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/>
  </bookViews>
  <sheets>
    <sheet name="2016 YTD Overview" sheetId="1" state="visible" r:id="rId1"/>
    <sheet name="By Period" sheetId="2" state="visible" r:id="rId2"/>
    <sheet name="By Week" sheetId="3" state="visible" r:id="rId3"/>
    <sheet name="Spend Tracker" sheetId="4" state="visible" r:id="rId4"/>
    <sheet name="Search" sheetId="5" state="visible" r:id="rId5"/>
    <sheet name="Affiliate" sheetId="6" state="visible" r:id="rId6"/>
    <sheet name="Linkshare Sales" sheetId="7" state="visible" r:id="rId7"/>
    <sheet name="Social - Promos" sheetId="8" state="visible" r:id="rId8"/>
    <sheet name="Social - Remarketing" sheetId="9" state="visible" r:id="rId9"/>
    <sheet name="Display - Promos" sheetId="10" state="visible" r:id="rId10"/>
    <sheet name="Display - Remarketing" sheetId="11" state="visible" r:id="rId11"/>
    <sheet name="Social Campaigns" sheetId="12" state="visible" r:id="rId12"/>
    <sheet name="Social Audiences" sheetId="13" state="visible" r:id="rId13"/>
  </sheets>
  <definedNames>
    <definedName hidden="1" localSheetId="5" name="_xlnm._FilterDatabase">Affiliate!$A$1:$AV$55</definedName>
    <definedName hidden="1" localSheetId="1" name="_xlnm._FilterDatabase">'By Period'!$A$2:$AF$14</definedName>
    <definedName hidden="1" localSheetId="2" name="_xlnm._FilterDatabase">'By Week'!$A$2:$AF$14</definedName>
    <definedName hidden="1" localSheetId="9" name="_xlnm._FilterDatabase">'Display - Promos'!$A$1:$AF$210</definedName>
    <definedName hidden="1" localSheetId="10" name="_xlnm._FilterDatabase">'Display - Remarketing'!$A$1:$AN$54</definedName>
    <definedName hidden="1" localSheetId="4" name="_xlnm._FilterDatabase">Search!$A$1:$AS$212</definedName>
    <definedName hidden="1" localSheetId="7" name="_xlnm._FilterDatabase">'Social - Promos'!$A$1:$AO$323</definedName>
    <definedName hidden="1" localSheetId="8" name="_xlnm._FilterDatabase">'Social - Remarketing'!$A$1:$BD$54</definedName>
    <definedName hidden="1" localSheetId="12" name="_xlnm._FilterDatabase">'Social Audiences'!$A$1:$W$94</definedName>
    <definedName hidden="1" localSheetId="11" name="_xlnm._FilterDatabase">'Social Campaigns'!$A$1:$V$10</definedName>
    <definedName hidden="1" localSheetId="1" name="_xlnm._FilterDatabase">'By Period'!$A$2:$AF$14</definedName>
    <definedName hidden="1" localSheetId="2" name="_xlnm._FilterDatabase">'By Week'!$A$2:$AF$14</definedName>
    <definedName hidden="1" localSheetId="4" name="_xlnm._FilterDatabase">Search!$A$1:$AS$212</definedName>
    <definedName hidden="1" localSheetId="5" name="_xlnm._FilterDatabase">Affiliate!$A$1:$AV$55</definedName>
    <definedName hidden="1" localSheetId="7" name="_xlnm._FilterDatabase">'Social - Promos'!$A$1:$AO$323</definedName>
    <definedName hidden="1" localSheetId="9" name="_xlnm._FilterDatabase">'Display - Promos'!$A$1:$AF$210</definedName>
    <definedName hidden="1" localSheetId="10" name="_xlnm._FilterDatabase">'Display - Remarketing'!$A$1:$AN$54</definedName>
    <definedName hidden="1" localSheetId="11" name="_xlnm._FilterDatabase">'Social Campaigns'!$A$1:$V$10</definedName>
    <definedName hidden="1" localSheetId="12" name="_xlnm._FilterDatabase">'Social Audiences'!$A$1:$W$94</definedName>
  </definedNames>
  <calcPr calcId="124519" fullCalcOnLoad="1"/>
</workbook>
</file>

<file path=xl/sharedStrings.xml><?xml version="1.0" encoding="utf-8"?>
<sst xmlns="http://schemas.openxmlformats.org/spreadsheetml/2006/main" uniqueCount="326">
  <si>
    <t>BeautyBOUTIQUE 2016 YTD Overview</t>
  </si>
  <si>
    <t>Revenue</t>
  </si>
  <si>
    <t>LY Revenue</t>
  </si>
  <si>
    <t>YoY</t>
  </si>
  <si>
    <t>Spend</t>
  </si>
  <si>
    <t>LY Spend</t>
  </si>
  <si>
    <t>ROAS</t>
  </si>
  <si>
    <t>LY ROAS</t>
  </si>
  <si>
    <t>Visits</t>
  </si>
  <si>
    <t>LY Visits</t>
  </si>
  <si>
    <t>Orders</t>
  </si>
  <si>
    <t>LY Orders</t>
  </si>
  <si>
    <t>CR</t>
  </si>
  <si>
    <t>LY CR</t>
  </si>
  <si>
    <t>CPA</t>
  </si>
  <si>
    <t>LY CPA</t>
  </si>
  <si>
    <t>AOV</t>
  </si>
  <si>
    <t>LY AOV</t>
  </si>
  <si>
    <t>Clicks</t>
  </si>
  <si>
    <t>LY Clicks</t>
  </si>
  <si>
    <t>Impressions</t>
  </si>
  <si>
    <t>LY Imp.</t>
  </si>
  <si>
    <t>CTR</t>
  </si>
  <si>
    <t>LY CTR</t>
  </si>
  <si>
    <t>PAID SEARCH TOTAL</t>
  </si>
  <si>
    <t>Brand YTD</t>
  </si>
  <si>
    <t>Non-Brand YTD</t>
  </si>
  <si>
    <t>AFFILIATE TOTAL</t>
  </si>
  <si>
    <t>SOCIAL TOTAL</t>
  </si>
  <si>
    <t>DISPLAY TOTAL</t>
  </si>
  <si>
    <t>YTD Paid Marketing Total</t>
  </si>
  <si>
    <t>beautyBOUTIQUE.ca 2017 by Week</t>
  </si>
  <si>
    <t>P1</t>
  </si>
  <si>
    <t>Imp</t>
  </si>
  <si>
    <t>LY Imp</t>
  </si>
  <si>
    <t>Brand</t>
  </si>
  <si>
    <t>Non-Brand</t>
  </si>
  <si>
    <t>Shopping Campaigns</t>
  </si>
  <si>
    <t>Promos</t>
  </si>
  <si>
    <t>Remarketing</t>
  </si>
  <si>
    <t>Paid Marketing Total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</si>
  <si>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</si>
  <si>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</si>
  <si>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</si>
  <si>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</si>
  <si>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</si>
  <si>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</si>
  <si>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</si>
  <si>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</si>
  <si>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</si>
  <si>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</si>
  <si>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</si>
  <si>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</si>
  <si>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WK48</t>
  </si>
  <si>
    <t>Beauty Boutique Spend Tracker (CAD $)</t>
  </si>
  <si>
    <t>Period</t>
  </si>
  <si>
    <t>Budget</t>
  </si>
  <si>
    <t>Actual</t>
  </si>
  <si>
    <t>Remaining</t>
  </si>
  <si>
    <t>% Remaining</t>
  </si>
  <si>
    <t>Total</t>
  </si>
  <si>
    <t>FW</t>
  </si>
  <si>
    <t>Week of</t>
  </si>
  <si>
    <t>Channel</t>
  </si>
  <si>
    <t>WoW</t>
  </si>
  <si>
    <t>LY Impressions</t>
  </si>
  <si>
    <t>Notes</t>
  </si>
  <si>
    <t>WK1</t>
  </si>
  <si>
    <t>WK2</t>
  </si>
  <si>
    <t>WK3</t>
  </si>
  <si>
    <t>18.5K on $75</t>
  </si>
  <si>
    <t>WK4</t>
  </si>
  <si>
    <t>20x on $50</t>
  </si>
  <si>
    <t>WK5</t>
  </si>
  <si>
    <t>Free Shipping, No Minimum, 18.5K on $75</t>
  </si>
  <si>
    <t>WK6</t>
  </si>
  <si>
    <t>Free Priority Shipping</t>
  </si>
  <si>
    <t>WK7</t>
  </si>
  <si>
    <t>Redemption Plus</t>
  </si>
  <si>
    <t>WK8</t>
  </si>
  <si>
    <t>WK9</t>
  </si>
  <si>
    <t>In-store offer</t>
  </si>
  <si>
    <t>WK10</t>
  </si>
  <si>
    <t>In-Store offer + 20x on $50</t>
  </si>
  <si>
    <t>WK11</t>
  </si>
  <si>
    <t>In-Store offer + 20x on $75 (week long)</t>
  </si>
  <si>
    <t>WK12</t>
  </si>
  <si>
    <t>In-Store offer + 20x on $75 (1 day)</t>
  </si>
  <si>
    <t>WK13</t>
  </si>
  <si>
    <t>In-Store Offer</t>
  </si>
  <si>
    <t>WK14</t>
  </si>
  <si>
    <t>20x on $75</t>
  </si>
  <si>
    <t>WK15</t>
  </si>
  <si>
    <t>WK16</t>
  </si>
  <si>
    <t>20x on $75 (week long)</t>
  </si>
  <si>
    <t>WK17</t>
  </si>
  <si>
    <t>WK18</t>
  </si>
  <si>
    <t>Redemption Event + Free Shipping</t>
  </si>
  <si>
    <t>WK19</t>
  </si>
  <si>
    <t>WK20</t>
  </si>
  <si>
    <t xml:space="preserve">20x on $75 (1 Day) + 20x on $50 </t>
  </si>
  <si>
    <t>WK21</t>
  </si>
  <si>
    <t>WK22</t>
  </si>
  <si>
    <t>WK23</t>
  </si>
  <si>
    <t>WK24</t>
  </si>
  <si>
    <t>Redemption Event (Spend your PLUS points)</t>
  </si>
  <si>
    <t>WK25</t>
  </si>
  <si>
    <t>20x on $50 + Gift Card Offer</t>
  </si>
  <si>
    <t>WK26</t>
  </si>
  <si>
    <t>WK27</t>
  </si>
  <si>
    <t>WK28</t>
  </si>
  <si>
    <t>WK29</t>
  </si>
  <si>
    <t>WK30</t>
  </si>
  <si>
    <t>Redemption Event</t>
  </si>
  <si>
    <t>WK31</t>
  </si>
  <si>
    <t>Free Shipping on Every Order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</si>
  <si>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</si>
  <si>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</si>
  <si>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</si>
  <si>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</si>
  <si>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</si>
  <si>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</si>
  <si>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</si>
  <si>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</si>
  <si>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</si>
  <si>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</si>
  <si>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</si>
  <si>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</si>
  <si>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</si>
  <si>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</si>
  <si>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</si>
  <si>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</si>
  <si>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WK49</t>
  </si>
  <si>
    <t>WK50</t>
  </si>
  <si>
    <t>WK51</t>
  </si>
  <si>
    <t>WK52</t>
  </si>
  <si>
    <t>YTD</t>
  </si>
  <si>
    <t>TOTAL</t>
  </si>
  <si>
    <t>LY Rev</t>
  </si>
  <si>
    <t>Total Spend</t>
  </si>
  <si>
    <t>LY Total Spend</t>
  </si>
  <si>
    <t>Commission</t>
  </si>
  <si>
    <t>LY Commission</t>
  </si>
  <si>
    <t>Media Spend</t>
  </si>
  <si>
    <t>LY Media Spend</t>
  </si>
  <si>
    <t>LS Fee</t>
  </si>
  <si>
    <t>LY LS Fee</t>
  </si>
  <si>
    <t>ROAS (excl. fees)</t>
  </si>
  <si>
    <t>LY ROAS (excl. fees)</t>
  </si>
  <si>
    <t>ROAS (inc fees)</t>
  </si>
  <si>
    <t>LY ROAS (inc fees)</t>
  </si>
  <si>
    <t>Decreased commissions</t>
  </si>
  <si>
    <t>Redemption event plus</t>
  </si>
  <si>
    <t>in-store offer</t>
  </si>
  <si>
    <t>in-store offer + 20x on $50</t>
  </si>
  <si>
    <t>in-store offer + 20x on $75 (week long)</t>
  </si>
  <si>
    <t>in-store offer + 20x on $75 (1 day)</t>
  </si>
  <si>
    <t xml:space="preserve">Redemption event </t>
  </si>
  <si>
    <t>Mobile Monday</t>
  </si>
  <si>
    <t xml:space="preserve">Lead Gen Redemption Event </t>
  </si>
  <si>
    <t>Redemption Event (Online Exclusive)</t>
  </si>
  <si>
    <t>Ebates Oct Media ($10,000, $2,000/week)</t>
  </si>
  <si>
    <t>Ebates Nov Media ($68,450, $17,112.5/week)</t>
  </si>
  <si>
    <t>Ebates Dec Media ($20,000, $5,000/week)</t>
  </si>
  <si>
    <t>Linkshare Fee</t>
  </si>
  <si>
    <t>Beauty Boutique Omniture vs. Linkshare Revenue (CAD $)</t>
  </si>
  <si>
    <t>Week</t>
  </si>
  <si>
    <t>Omniture</t>
  </si>
  <si>
    <t>Linkshare</t>
  </si>
  <si>
    <t>$ Variance</t>
  </si>
  <si>
    <t>% Variance</t>
  </si>
  <si>
    <t>Campaign</t>
  </si>
  <si>
    <t>Total Spend (inc fees)</t>
  </si>
  <si>
    <t>ROAS (exc. Fees)</t>
  </si>
  <si>
    <t>ROAS (incl. Fees)</t>
  </si>
  <si>
    <t>Reach</t>
  </si>
  <si>
    <t>LY Reach</t>
  </si>
  <si>
    <t>Residual</t>
  </si>
  <si>
    <t>18.5K Derm FB Campaign</t>
  </si>
  <si>
    <t>20x on $50 V-Day</t>
  </si>
  <si>
    <t>Awareness campaign</t>
  </si>
  <si>
    <t>P3 Awareness</t>
  </si>
  <si>
    <t>Email Acquisition</t>
  </si>
  <si>
    <t>Redemption event + Free shipping (Mother's Day)</t>
  </si>
  <si>
    <t>Free Shipping</t>
  </si>
  <si>
    <t xml:space="preserve">Redemption Event  </t>
  </si>
  <si>
    <t>Lead Gen/Redemption Event</t>
  </si>
  <si>
    <t xml:space="preserve">Redemption Event </t>
  </si>
  <si>
    <t>Email Acquistion</t>
  </si>
  <si>
    <t>Canvas Holiday Value Prop Women</t>
  </si>
  <si>
    <t>Standard and Carousel Holiday Value Prop Women</t>
  </si>
  <si>
    <t>Standard Holiday Value Prop Men</t>
  </si>
  <si>
    <t>Collection Black Friday Week</t>
  </si>
  <si>
    <t>Carousel Black Friday Week</t>
  </si>
  <si>
    <t>IG Carousel Black Friday Week</t>
  </si>
  <si>
    <t>Standard, Video and Carousel Holiday Value Prop Women</t>
  </si>
  <si>
    <t>Collection Cyber Monday</t>
  </si>
  <si>
    <t>Collection Black Friday Weekend</t>
  </si>
  <si>
    <t>Collection Free Shipping</t>
  </si>
  <si>
    <t>Carousel Black Friday Weekend</t>
  </si>
  <si>
    <t>IG Carousel Black Friday Weekend</t>
  </si>
  <si>
    <t>Carousel Cyber Monday</t>
  </si>
  <si>
    <t>IG Carousel Cyber Monday</t>
  </si>
  <si>
    <t>Free Shipping Standard</t>
  </si>
  <si>
    <t>Spend (inc Fees)</t>
  </si>
  <si>
    <t>LY Spend (inc Fees)</t>
  </si>
  <si>
    <t>Spend (ex Fees)</t>
  </si>
  <si>
    <t>LY Spend (ex Fees)</t>
  </si>
  <si>
    <t>ROAS (inc Fees)</t>
  </si>
  <si>
    <t>LY ROAS (inc Fees)</t>
  </si>
  <si>
    <t>ROAS (ex Fees)</t>
  </si>
  <si>
    <t>LY ROAS (ex Fees)</t>
  </si>
  <si>
    <t>CPC</t>
  </si>
  <si>
    <t>LW CPC</t>
  </si>
  <si>
    <t>20x on 75 week long?</t>
  </si>
  <si>
    <t>Start Date</t>
  </si>
  <si>
    <t>End Date</t>
  </si>
  <si>
    <t>Media</t>
  </si>
  <si>
    <t>Fees</t>
  </si>
  <si>
    <t>ROAS (EX Fees)</t>
  </si>
  <si>
    <t>ROAS (INC Fees)</t>
  </si>
  <si>
    <t>CPM</t>
  </si>
  <si>
    <t>Derm Products, Budget split 50/50 between desktop and mobile</t>
  </si>
  <si>
    <t>Valentine's Day Gift Sets</t>
  </si>
  <si>
    <t>Awareness</t>
  </si>
  <si>
    <t>2x Standard ads, 1x carousel ad, 1x slideshow ads, 2x video ads</t>
  </si>
  <si>
    <t>4x Standard ads. Test 2 copy versions and 2 creative versions. Turned off early due to affiliate leak</t>
  </si>
  <si>
    <t xml:space="preserve">2x Standard ads, 1x carousel ad  </t>
  </si>
  <si>
    <t xml:space="preserve">P5 </t>
  </si>
  <si>
    <t>Free Shipping (Mother's Day)</t>
  </si>
  <si>
    <t>WK 23</t>
  </si>
  <si>
    <t xml:space="preserve">P7 </t>
  </si>
  <si>
    <t>WK 25</t>
  </si>
  <si>
    <t xml:space="preserve">P8 </t>
  </si>
  <si>
    <t xml:space="preserve">2x Standard Ads, 1x Slideshow, 1x Collections Ad, 1x Carousel </t>
  </si>
  <si>
    <t>Audience</t>
  </si>
  <si>
    <t xml:space="preserve">Visits </t>
  </si>
  <si>
    <t>Competitors/ Brands</t>
  </si>
  <si>
    <t>Lookalike (CA, 4%) - BB Visitors (30 Days)</t>
  </si>
  <si>
    <t>Interests</t>
  </si>
  <si>
    <t>Visitor + Non-Purchaser (60 Days)</t>
  </si>
  <si>
    <t>Visitors (30 Days)</t>
  </si>
  <si>
    <t>BB Customer Emails</t>
  </si>
  <si>
    <t>Lookalike (CA, 1%) – BB Email Subs (Jan 16, 2017)</t>
  </si>
  <si>
    <t>BB Email Subs (Jan 16, 2017)</t>
  </si>
  <si>
    <t>Lookalike (CA, 5%) – BB Customer Emails</t>
  </si>
  <si>
    <t>Lookalike (CA, 10%) – BB Customer Emails</t>
  </si>
  <si>
    <t>BB Broad Target - W24-54 - Canada</t>
  </si>
  <si>
    <t>Lookalike (CA, 10%) – People Who Like SDM</t>
  </si>
  <si>
    <t>2x Standard ads, 1x carousel ad, 1x slideshow ads, 2x video ads. Turned off in first week due to poor performance</t>
  </si>
  <si>
    <t>Lookalike (CA, 8%) - BB Visitors (30 Days)</t>
  </si>
  <si>
    <t>Lookalike (CA, 5%) - Visitor + Non-Purchaser (60 Days)</t>
  </si>
  <si>
    <t>BB Visitor + Non Purchaser (60 Days)</t>
  </si>
  <si>
    <t xml:space="preserve">2x Standard ads, 1 Carousel </t>
  </si>
  <si>
    <t>Lookalike (CA, 4%, BB Visitors (30 Days)</t>
  </si>
  <si>
    <t>Lookalike (CA, 2%) People who like SDM</t>
  </si>
  <si>
    <t>Lookalike (CA, 1%) BB.ca Customer Emails</t>
  </si>
  <si>
    <t>WK 17</t>
  </si>
  <si>
    <t xml:space="preserve">BB.ca Customer Emails </t>
  </si>
  <si>
    <t>WK 18</t>
  </si>
  <si>
    <t>BB.ca Vistors (30 Days)</t>
  </si>
  <si>
    <t>BB.ca (Competitors &amp; Brands)</t>
  </si>
  <si>
    <t>Lookalike (CA, 1%) - BB Vistor + Non Purchaser (60 Days)</t>
  </si>
  <si>
    <t xml:space="preserve"> BB.ca Email Subs (Mar 30, 2017)</t>
  </si>
  <si>
    <t xml:space="preserve">Lookalike (CA, 1%) - BB.ca Email Subs (Mar 30, 2017 </t>
  </si>
  <si>
    <t xml:space="preserve">P6 </t>
  </si>
  <si>
    <t>[Bluecore] Lookalike Group</t>
  </si>
  <si>
    <t>Top 200K Beauty Customers via SDM</t>
  </si>
  <si>
    <t xml:space="preserve">[Bluecore] Likelihood to Convert - Medium </t>
  </si>
  <si>
    <t>[Bluecore] [DG] Life-Cycle - At-Risk-Buyer</t>
  </si>
  <si>
    <t>[Bluecore] Likelihood to Convert - High</t>
  </si>
  <si>
    <t xml:space="preserve">[Bluecore] [DG] Predicted CLV - 75th-90th Percentile </t>
  </si>
  <si>
    <t xml:space="preserve">[Bluecore] [DG] Life-Cycle - Active Buyer </t>
  </si>
  <si>
    <t>[Bluecore] [DG] Predicted CLV - Top 10%</t>
  </si>
  <si>
    <t xml:space="preserve">[Bluecore] [DG] Life-Cycle - Repeat Buyer </t>
  </si>
  <si>
    <t xml:space="preserve">Email Acquisition </t>
  </si>
  <si>
    <t>Lookalike (CA, 1%) [Bluecore Purchasers]</t>
  </si>
  <si>
    <t>-</t>
  </si>
  <si>
    <t>Lookalike CA (1%) Likelihood to Convert - High</t>
  </si>
  <si>
    <t>Lookalike (CA, 1%) [Bluecore] Life-Cycle - Repeat Buyer</t>
  </si>
  <si>
    <t>Lookalike (CA, 1%) Life-Cycle Active Buyer</t>
  </si>
  <si>
    <t xml:space="preserve">Lookalike (CA, 1%) [Bluecore] Likelihood to Convert - Medium </t>
  </si>
  <si>
    <t>Lookalike (CA, 1%) [Bluecore] Predicted CLV - Top 10%</t>
  </si>
  <si>
    <t>Lookalike (CA, 1%) Life-Cycle At Risk Buyer</t>
  </si>
  <si>
    <t xml:space="preserve"> Top 200K Beauty Customers via SDM</t>
  </si>
  <si>
    <t xml:space="preserve">Lookalike Collection </t>
  </si>
  <si>
    <t xml:space="preserve">BB.ca Interests </t>
  </si>
  <si>
    <t>BB.ca Competitors/Brands</t>
  </si>
  <si>
    <t xml:space="preserve"> [Bluecore] [DG] Predicted CLV - 30th -75th Percentile </t>
  </si>
  <si>
    <t xml:space="preserve">[Bluecore][DG] Likelihood to Convert - Medium </t>
  </si>
  <si>
    <t>Interests Skincare (Mobile Only)</t>
  </si>
  <si>
    <t>Interests Makeup (Mobile Only)</t>
  </si>
  <si>
    <t>Competitors/Brands Makeup (Mobile Only)</t>
  </si>
  <si>
    <t>Lookalike Collection (Mobile Only)</t>
  </si>
  <si>
    <t>Lookalike (CA, 1%) - [Bluecore] [DG] Viewed Product - Makeup (Mobile Only)</t>
  </si>
  <si>
    <t>BB.ca Interests (Mobile Only)</t>
  </si>
  <si>
    <t>Competitor/Brands - Skin Care (Mobile Only)</t>
  </si>
  <si>
    <t>BB.ca Competitors/Brands (Mobile Only)</t>
  </si>
  <si>
    <t>Top 200K Beauty Customers via SDM (Mobile Only)</t>
  </si>
  <si>
    <t>Lookalike (CA, 1%) - [Bluecore] [DG] Viewed Product - Skin Care (Mobile Only)</t>
  </si>
  <si>
    <t>[Bluecore][DG] Likelihood to Convert - Medium (Mobile Only)</t>
  </si>
  <si>
    <t>[Bluecore][DG] Likelihood to Convert - High</t>
  </si>
  <si>
    <t>[Bluecore] [DG] Viewed Product - Makeup (Mobile Only)</t>
  </si>
  <si>
    <t>[Bluecore] [DG] Viewed Product - Skin Care (Mobile Only)</t>
  </si>
  <si>
    <t>[Bluecore] [DG] Predicted CLV - 30th -75th Percentile (Mobile Only)</t>
  </si>
  <si>
    <t>[Bluecore][DG] Likelihood to Convert - High (Mobile Only)</t>
  </si>
  <si>
    <t>[Bluecore] [DG] Predicted CLV - Top 10% (Mobile Only)</t>
  </si>
  <si>
    <t>Interests - Beauty Tools (Mobile Only)</t>
  </si>
  <si>
    <t>Competitor/Brands - Beauty Tools (Mobile Only)</t>
  </si>
  <si>
    <t>Competitors/Brands - Makeup</t>
  </si>
  <si>
    <t>CompetitorsBrands - Skincare</t>
  </si>
  <si>
    <t>Interests - Makeup</t>
  </si>
  <si>
    <t>Interests - Skincare</t>
  </si>
  <si>
    <t>Lookalike - Group</t>
  </si>
  <si>
    <t>[Bluecore] Life-Cycle - Active Buyer</t>
  </si>
  <si>
    <t>[Bluecore] Predicted CLV - Top 10%</t>
  </si>
  <si>
    <t>[Bluecore] Viewed Product - Makeup (60 Days) - Collection</t>
  </si>
  <si>
    <t>[Bluecore] Viewed Product - Skincare (60 Days) - Collection</t>
  </si>
  <si>
    <t>Competitors/Brands - Makeup - Collection</t>
  </si>
  <si>
    <t>Competitors/Brands - Skincare - Collection</t>
  </si>
  <si>
    <t>Interests - Makeup - Collection</t>
  </si>
  <si>
    <t>Interests - Skincare - Collection</t>
  </si>
  <si>
    <t>Lookalike (CA, 1%) - [Bluecore] Viewed Product - Makeup (60 days) - Collection</t>
  </si>
  <si>
    <t>Lookalike (CA, 1%) - [Bluecore] Viewed Product - Skincare (60 days) - Collection</t>
  </si>
  <si>
    <t>Lookalike Group</t>
  </si>
  <si>
    <t>Top 200k Beauty Customers via SDM</t>
  </si>
</sst>
</file>

<file path=xl/styles.xml><?xml version="1.0" encoding="utf-8"?>
<styleSheet xmlns="http://schemas.openxmlformats.org/spreadsheetml/2006/main">
  <numFmts count="14">
    <numFmt formatCode="&quot;$&quot;#,##0_);[Red]\(&quot;$&quot;#,##0\)" numFmtId="164"/>
    <numFmt formatCode="_(&quot;$&quot;* #,##0.00_);_(&quot;$&quot;* \(#,##0.00\);_(&quot;$&quot;* &quot;-&quot;??_);_(@_)" numFmtId="165"/>
    <numFmt formatCode="_-&quot;$&quot;* #,##0.00_-;\-&quot;$&quot;* #,##0.00_-;_-&quot;$&quot;* &quot;-&quot;??_-;_-@_-" numFmtId="166"/>
    <numFmt formatCode="_-* #,##0.00_-;\-* #,##0.00_-;_-* &quot;-&quot;??_-;_-@_-" numFmtId="167"/>
    <numFmt formatCode="_-&quot;$&quot;* #,##0_-;\-&quot;$&quot;* #,##0_-;_-&quot;$&quot;* &quot;-&quot;??_-;_-@" numFmtId="168"/>
    <numFmt formatCode="_-&quot;$&quot;* #,##0.00_-;\-&quot;$&quot;* #,##0.00_-;_-&quot;$&quot;* &quot;-&quot;??_-;_-@" numFmtId="169"/>
    <numFmt formatCode="_-* #,##0_-;\-* #,##0_-;_-* &quot;-&quot;??_-;_-@" numFmtId="170"/>
    <numFmt formatCode="0.0%" numFmtId="171"/>
    <numFmt formatCode="_-&quot;$&quot;* #,##0_-;\-&quot;$&quot;* #,##0_-;_-&quot;$&quot;* &quot;-&quot;??_-;_-@_-" numFmtId="172"/>
    <numFmt formatCode="_-* #,##0_-;\-* #,##0_-;_-* &quot;-&quot;??_-;_-@_-" numFmtId="173"/>
    <numFmt formatCode="0.000%" numFmtId="174"/>
    <numFmt formatCode="&quot;$&quot;#,##0" numFmtId="175"/>
    <numFmt formatCode="&quot;$&quot;#,##0.00" numFmtId="176"/>
    <numFmt formatCode="_(&quot;$&quot;* #,##0.0000_);_(&quot;$&quot;* \(#,##0.0000\);_(&quot;$&quot;* &quot;-&quot;??_);_(@_)" numFmtId="177"/>
  </numFmts>
  <fonts count="46">
    <font>
      <name val="Calibri"/>
      <color rgb="FF000000"/>
      <sz val="12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rgb="FF000000"/>
      <sz val="20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b val="1"/>
      <i val="1"/>
      <color rgb="FF000000"/>
      <sz val="14"/>
    </font>
    <font>
      <name val="Calibri"/>
      <family val="2"/>
      <i val="1"/>
      <color rgb="FF000000"/>
      <sz val="14"/>
    </font>
    <font>
      <name val="Calibri"/>
      <family val="2"/>
      <b val="1"/>
      <color rgb="FF0000FF"/>
      <sz val="14"/>
    </font>
    <font>
      <name val="Calibri"/>
      <family val="2"/>
      <b val="1"/>
      <color rgb="FF000000"/>
      <sz val="12"/>
    </font>
    <font>
      <name val="Calibri"/>
      <family val="2"/>
      <b val="1"/>
      <color rgb="FF0000FF"/>
      <sz val="12"/>
    </font>
    <font>
      <name val="Calibri"/>
      <family val="2"/>
      <b val="1"/>
      <sz val="12"/>
    </font>
    <font>
      <name val="Calibri"/>
      <family val="2"/>
      <b val="1"/>
      <color rgb="FF000000"/>
      <sz val="13"/>
    </font>
    <font>
      <name val="Calibri"/>
      <family val="2"/>
      <i val="1"/>
      <color rgb="FF000000"/>
      <sz val="12"/>
    </font>
    <font>
      <name val="Calibri"/>
      <family val="2"/>
      <i val="1"/>
      <sz val="12"/>
    </font>
    <font>
      <name val="Calibri"/>
      <family val="2"/>
      <color theme="10"/>
      <sz val="12"/>
      <u val="single"/>
    </font>
    <font>
      <name val="Calibri"/>
      <family val="2"/>
      <color theme="11"/>
      <sz val="12"/>
      <u val="single"/>
    </font>
    <font>
      <name val="Calibri"/>
      <family val="2"/>
      <color rgb="FF000000"/>
      <sz val="12"/>
    </font>
    <font>
      <name val="Calibri"/>
      <family val="2"/>
      <b val="1"/>
      <color theme="0"/>
      <sz val="18"/>
      <scheme val="minor"/>
    </font>
    <font>
      <name val="Calibri"/>
      <family val="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0070C0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sz val="14"/>
    </font>
    <font>
      <name val="Calibri"/>
      <family val="2"/>
      <b val="1"/>
      <color rgb="FF0432FF"/>
      <sz val="14"/>
    </font>
    <font>
      <name val="Helvetica"/>
      <color rgb="FF000000"/>
      <sz val="11"/>
    </font>
    <font>
      <name val="Arial"/>
      <family val="2"/>
      <color rgb="FF000000"/>
      <sz val="11"/>
    </font>
    <font>
      <name val="Arial"/>
      <family val="2"/>
      <b val="1"/>
      <color rgb="FF00B050"/>
      <sz val="11"/>
    </font>
    <font>
      <name val="Calibri"/>
      <family val="2"/>
      <sz val="12"/>
    </font>
    <font>
      <name val="Calibri"/>
      <color theme="1"/>
      <sz val="12"/>
    </font>
    <font>
      <name val="Arial"/>
      <family val="2"/>
      <sz val="10"/>
    </font>
    <font>
      <name val="Calibri"/>
      <i val="1"/>
      <color rgb="FF000000"/>
      <sz val="13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0000FF"/>
      <sz val="14"/>
      <scheme val="minor"/>
    </font>
    <font>
      <name val="Calibri"/>
      <family val="2"/>
      <b val="1"/>
      <i val="1"/>
      <color theme="1"/>
      <sz val="14"/>
      <scheme val="minor"/>
    </font>
    <font>
      <name val="Calibri"/>
      <family val="2"/>
      <i val="1"/>
      <color theme="1"/>
      <sz val="14"/>
      <scheme val="minor"/>
    </font>
    <font>
      <name val="Calibri"/>
      <family val="2"/>
      <b val="1"/>
      <color rgb="FF0000FF"/>
      <sz val="16"/>
      <scheme val="minor"/>
    </font>
    <font>
      <name val="Calibri"/>
      <family val="2"/>
      <i val="1"/>
      <color theme="1"/>
      <sz val="16"/>
      <scheme val="minor"/>
    </font>
    <font>
      <name val="Calibri"/>
      <family val="2"/>
      <color rgb="FFFF0000"/>
      <sz val="12"/>
    </font>
    <font>
      <name val="Calibri"/>
      <family val="2"/>
      <color theme="1"/>
      <sz val="12"/>
    </font>
    <font>
      <name val="Calibri"/>
      <family val="2"/>
      <color rgb="FF000000"/>
      <sz val="13"/>
    </font>
  </fonts>
  <fills count="15">
    <fill>
      <patternFill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BFCB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8"/>
        <bgColor rgb="FFDBE5F1"/>
      </patternFill>
    </fill>
    <fill>
      <patternFill patternType="solid">
        <fgColor theme="4" tint="0.7999816888943144"/>
        <bgColor rgb="FFDBE5F1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8">
    <xf borderId="0" fillId="0" fontId="0" numFmtId="0"/>
    <xf borderId="0" fillId="0" fontId="16" numFmtId="0"/>
    <xf borderId="0" fillId="0" fontId="17" numFmtId="0"/>
    <xf borderId="0" fillId="0" fontId="16" numFmtId="0"/>
    <xf borderId="0" fillId="0" fontId="17" numFmtId="0"/>
    <xf borderId="0" fillId="0" fontId="16" numFmtId="0"/>
    <xf borderId="0" fillId="0" fontId="17" numFmtId="0"/>
    <xf borderId="0" fillId="0" fontId="16" numFmtId="0"/>
    <xf borderId="0" fillId="0" fontId="17" numFmtId="0"/>
    <xf borderId="0" fillId="0" fontId="25" numFmtId="166"/>
    <xf borderId="0" fillId="0" fontId="16" numFmtId="0"/>
    <xf borderId="0" fillId="0" fontId="17" numFmtId="0"/>
    <xf borderId="0" fillId="0" fontId="16" numFmtId="0"/>
    <xf borderId="0" fillId="0" fontId="17" numFmtId="0"/>
    <xf borderId="0" fillId="0" fontId="16" numFmtId="0"/>
    <xf borderId="0" fillId="0" fontId="17" numFmtId="0"/>
    <xf borderId="0" fillId="0" fontId="16" numFmtId="0"/>
    <xf borderId="0" fillId="0" fontId="17" numFmtId="0"/>
  </cellStyleXfs>
  <cellXfs count="638">
    <xf borderId="0" fillId="0" fontId="0" numFmtId="0" pivotButton="0" quotePrefix="0" xfId="0"/>
    <xf applyAlignment="1" borderId="1" fillId="0" fontId="5" numFmtId="0" pivotButton="0" quotePrefix="0" xfId="0">
      <alignment horizontal="center"/>
    </xf>
    <xf borderId="0" fillId="0" fontId="5" numFmtId="0" pivotButton="0" quotePrefix="0" xfId="0"/>
    <xf borderId="0" fillId="0" fontId="6" numFmtId="168" pivotButton="0" quotePrefix="0" xfId="0"/>
    <xf borderId="0" fillId="0" fontId="6" numFmtId="169" pivotButton="0" quotePrefix="0" xfId="0"/>
    <xf borderId="0" fillId="0" fontId="6" numFmtId="170" pivotButton="0" quotePrefix="0" xfId="0"/>
    <xf borderId="0" fillId="0" fontId="6" numFmtId="171" pivotButton="0" quotePrefix="0" xfId="0"/>
    <xf applyAlignment="1" borderId="2" fillId="3" fontId="7" numFmtId="0" pivotButton="0" quotePrefix="0" xfId="0">
      <alignment horizontal="right"/>
    </xf>
    <xf borderId="2" fillId="3" fontId="6" numFmtId="168" pivotButton="0" quotePrefix="0" xfId="0"/>
    <xf borderId="2" fillId="3" fontId="8" numFmtId="169" pivotButton="0" quotePrefix="0" xfId="0"/>
    <xf borderId="2" fillId="3" fontId="6" numFmtId="170" pivotButton="0" quotePrefix="0" xfId="0"/>
    <xf borderId="2" fillId="3" fontId="8" numFmtId="168" pivotButton="0" quotePrefix="0" xfId="0"/>
    <xf borderId="2" fillId="3" fontId="8" numFmtId="171" pivotButton="0" quotePrefix="0" xfId="0"/>
    <xf borderId="1" fillId="0" fontId="5" numFmtId="0" pivotButton="0" quotePrefix="0" xfId="0"/>
    <xf borderId="1" fillId="0" fontId="6" numFmtId="168" pivotButton="0" quotePrefix="0" xfId="0"/>
    <xf borderId="1" fillId="0" fontId="6" numFmtId="169" pivotButton="0" quotePrefix="0" xfId="0"/>
    <xf borderId="1" fillId="0" fontId="6" numFmtId="170" pivotButton="0" quotePrefix="0" xfId="0"/>
    <xf borderId="1" fillId="0" fontId="6" numFmtId="171" pivotButton="0" quotePrefix="0" xfId="0"/>
    <xf borderId="0" fillId="0" fontId="9" numFmtId="0" pivotButton="0" quotePrefix="0" xfId="0"/>
    <xf applyAlignment="1" borderId="0" fillId="0" fontId="9" numFmtId="168" pivotButton="0" quotePrefix="0" xfId="0">
      <alignment horizontal="center"/>
    </xf>
    <xf applyAlignment="1" borderId="0" fillId="0" fontId="9" numFmtId="169" pivotButton="0" quotePrefix="0" xfId="0">
      <alignment horizontal="center"/>
    </xf>
    <xf applyAlignment="1" borderId="0" fillId="0" fontId="9" numFmtId="170" pivotButton="0" quotePrefix="0" xfId="0">
      <alignment horizontal="center"/>
    </xf>
    <xf applyAlignment="1" borderId="0" fillId="0" fontId="9" numFmtId="171" pivotButton="0" quotePrefix="0" xfId="0">
      <alignment horizontal="center"/>
    </xf>
    <xf borderId="0" fillId="0" fontId="0" numFmtId="0" pivotButton="0" quotePrefix="0" xfId="0"/>
    <xf applyAlignment="1" borderId="0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11" numFmtId="9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0" fillId="2" fontId="13" numFmtId="0" pivotButton="0" quotePrefix="0" xfId="0">
      <alignment horizontal="left"/>
    </xf>
    <xf applyAlignment="1" borderId="0" fillId="2" fontId="13" numFmtId="16" pivotButton="0" quotePrefix="0" xfId="0">
      <alignment horizontal="left"/>
    </xf>
    <xf borderId="0" fillId="2" fontId="13" numFmtId="0" pivotButton="0" quotePrefix="0" xfId="0"/>
    <xf borderId="0" fillId="2" fontId="10" numFmtId="168" pivotButton="0" quotePrefix="0" xfId="0"/>
    <xf borderId="0" fillId="2" fontId="10" numFmtId="9" pivotButton="0" quotePrefix="0" xfId="0"/>
    <xf borderId="0" fillId="2" fontId="10" numFmtId="169" pivotButton="0" quotePrefix="0" xfId="0"/>
    <xf borderId="0" fillId="2" fontId="10" numFmtId="170" pivotButton="0" quotePrefix="0" xfId="0"/>
    <xf borderId="0" fillId="0" fontId="0" numFmtId="0" pivotButton="0" quotePrefix="0" xfId="0"/>
    <xf applyAlignment="1" borderId="0" fillId="0" fontId="14" numFmtId="0" pivotButton="0" quotePrefix="0" xfId="0">
      <alignment horizontal="right"/>
    </xf>
    <xf applyAlignment="1" borderId="0" fillId="0" fontId="14" numFmtId="16" pivotButton="0" quotePrefix="0" xfId="0">
      <alignment horizontal="right"/>
    </xf>
    <xf borderId="0" fillId="0" fontId="0" numFmtId="168" pivotButton="0" quotePrefix="0" xfId="0"/>
    <xf borderId="0" fillId="0" fontId="0" numFmtId="9" pivotButton="0" quotePrefix="0" xfId="0"/>
    <xf borderId="0" fillId="0" fontId="0" numFmtId="169" pivotButton="0" quotePrefix="0" xfId="0"/>
    <xf borderId="0" fillId="0" fontId="0" numFmtId="170" pivotButton="0" quotePrefix="0" xfId="0"/>
    <xf borderId="0" fillId="0" fontId="0" numFmtId="168" pivotButton="0" quotePrefix="0" xfId="0"/>
    <xf applyAlignment="1" borderId="0" fillId="0" fontId="0" numFmtId="0" pivotButton="0" quotePrefix="0" xfId="0">
      <alignment horizontal="center"/>
    </xf>
    <xf borderId="0" fillId="0" fontId="0" numFmtId="16" pivotButton="0" quotePrefix="0" xfId="0"/>
    <xf applyAlignment="1" borderId="0" fillId="0" fontId="0" numFmtId="16" pivotButton="0" quotePrefix="0" xfId="0">
      <alignment horizontal="center"/>
    </xf>
    <xf applyAlignment="1" borderId="0" fillId="0" fontId="10" numFmtId="170" pivotButton="0" quotePrefix="0" xfId="0">
      <alignment horizontal="center"/>
    </xf>
    <xf applyAlignment="1" borderId="0" fillId="0" fontId="10" numFmtId="170" pivotButton="0" quotePrefix="0" xfId="0">
      <alignment horizontal="center"/>
    </xf>
    <xf applyAlignment="1" borderId="0" fillId="2" fontId="13" numFmtId="0" pivotButton="0" quotePrefix="0" xfId="0">
      <alignment horizontal="center"/>
    </xf>
    <xf applyAlignment="1" borderId="0" fillId="2" fontId="13" numFmtId="16" pivotButton="0" quotePrefix="0" xfId="0">
      <alignment horizontal="center"/>
    </xf>
    <xf borderId="0" fillId="2" fontId="0" numFmtId="168" pivotButton="0" quotePrefix="0" xfId="0"/>
    <xf borderId="0" fillId="2" fontId="0" numFmtId="9" pivotButton="0" quotePrefix="0" xfId="0"/>
    <xf borderId="0" fillId="2" fontId="0" numFmtId="169" pivotButton="0" quotePrefix="0" xfId="0"/>
    <xf borderId="0" fillId="2" fontId="0" numFmtId="170" pivotButton="0" quotePrefix="0" xfId="0"/>
    <xf borderId="0" fillId="2" fontId="0" numFmtId="168" pivotButton="0" quotePrefix="0" xfId="0"/>
    <xf borderId="0" fillId="2" fontId="0" numFmtId="170" pivotButton="0" quotePrefix="0" xfId="0"/>
    <xf borderId="0" fillId="4" fontId="0" numFmtId="168" pivotButton="0" quotePrefix="0" xfId="0"/>
    <xf borderId="0" fillId="4" fontId="0" numFmtId="170" pivotButton="0" quotePrefix="0" xfId="0"/>
    <xf applyAlignment="1" borderId="1" fillId="2" fontId="13" numFmtId="0" pivotButton="0" quotePrefix="0" xfId="0">
      <alignment horizontal="center"/>
    </xf>
    <xf applyAlignment="1" borderId="1" fillId="2" fontId="13" numFmtId="16" pivotButton="0" quotePrefix="0" xfId="0">
      <alignment horizontal="center"/>
    </xf>
    <xf borderId="1" fillId="2" fontId="0" numFmtId="168" pivotButton="0" quotePrefix="0" xfId="0"/>
    <xf borderId="1" fillId="2" fontId="0" numFmtId="9" pivotButton="0" quotePrefix="0" xfId="0"/>
    <xf borderId="1" fillId="2" fontId="0" numFmtId="169" pivotButton="0" quotePrefix="0" xfId="0"/>
    <xf borderId="1" fillId="2" fontId="0" numFmtId="170" pivotButton="0" quotePrefix="0" xfId="0"/>
    <xf borderId="1" fillId="4" fontId="0" numFmtId="170" pivotButton="0" quotePrefix="0" xfId="0"/>
    <xf applyAlignment="1" borderId="0" fillId="0" fontId="11" numFmtId="0" pivotButton="0" quotePrefix="0" xfId="0">
      <alignment horizontal="center"/>
    </xf>
    <xf borderId="0" fillId="2" fontId="0" numFmtId="0" pivotButton="0" quotePrefix="0" xfId="0"/>
    <xf borderId="0" fillId="0" fontId="0" numFmtId="0" pivotButton="0" quotePrefix="0" xfId="0"/>
    <xf applyAlignment="1" borderId="4" fillId="2" fontId="13" numFmtId="0" pivotButton="0" quotePrefix="0" xfId="0">
      <alignment horizontal="center"/>
    </xf>
    <xf applyAlignment="1" borderId="4" fillId="2" fontId="13" numFmtId="16" pivotButton="0" quotePrefix="0" xfId="0">
      <alignment horizontal="center"/>
    </xf>
    <xf borderId="4" fillId="2" fontId="0" numFmtId="168" pivotButton="0" quotePrefix="0" xfId="0"/>
    <xf borderId="4" fillId="2" fontId="0" numFmtId="168" pivotButton="0" quotePrefix="0" xfId="0"/>
    <xf borderId="4" fillId="2" fontId="0" numFmtId="9" pivotButton="0" quotePrefix="0" xfId="0"/>
    <xf borderId="4" fillId="2" fontId="0" numFmtId="169" pivotButton="0" quotePrefix="0" xfId="0"/>
    <xf borderId="4" fillId="2" fontId="0" numFmtId="170" pivotButton="0" quotePrefix="0" xfId="0"/>
    <xf borderId="4" fillId="2" fontId="0" numFmtId="170" pivotButton="0" quotePrefix="0" xfId="0"/>
    <xf borderId="4" fillId="0" fontId="0" numFmtId="0" pivotButton="0" quotePrefix="0" xfId="0"/>
    <xf borderId="4" fillId="4" fontId="0" numFmtId="168" pivotButton="0" quotePrefix="0" xfId="0"/>
    <xf borderId="4" fillId="4" fontId="0" numFmtId="170" pivotButton="0" quotePrefix="0" xfId="0"/>
    <xf borderId="4" fillId="0" fontId="0" numFmtId="0" pivotButton="0" quotePrefix="0" xfId="0"/>
    <xf borderId="0" fillId="0" fontId="0" numFmtId="0" pivotButton="0" quotePrefix="0" xfId="0"/>
    <xf borderId="0" fillId="2" fontId="0" numFmtId="10" pivotButton="0" quotePrefix="0" xfId="26"/>
    <xf borderId="4" fillId="2" fontId="0" numFmtId="10" pivotButton="0" quotePrefix="0" xfId="26"/>
    <xf borderId="0" fillId="0" fontId="0" numFmtId="10" pivotButton="0" quotePrefix="0" xfId="26"/>
    <xf borderId="0" fillId="0" fontId="0" numFmtId="10" pivotButton="0" quotePrefix="0" xfId="26"/>
    <xf borderId="0" fillId="0" fontId="0" numFmtId="0" pivotButton="0" quotePrefix="0" xfId="0"/>
    <xf borderId="0" fillId="2" fontId="10" numFmtId="10" pivotButton="0" quotePrefix="0" xfId="26"/>
    <xf borderId="0" fillId="2" fontId="10" numFmtId="10" pivotButton="0" quotePrefix="0" xfId="0"/>
    <xf borderId="0" fillId="2" fontId="0" numFmtId="10" pivotButton="0" quotePrefix="0" xfId="0"/>
    <xf borderId="0" fillId="0" fontId="6" numFmtId="9" pivotButton="0" quotePrefix="0" xfId="26"/>
    <xf borderId="0" fillId="0" fontId="0" numFmtId="9" pivotButton="0" quotePrefix="0" xfId="26"/>
    <xf applyAlignment="1" borderId="0" fillId="0" fontId="9" numFmtId="9" pivotButton="0" quotePrefix="0" xfId="26">
      <alignment horizontal="center"/>
    </xf>
    <xf borderId="0" fillId="0" fontId="6" numFmtId="9" pivotButton="0" quotePrefix="0" xfId="26"/>
    <xf borderId="2" fillId="3" fontId="6" numFmtId="9" pivotButton="0" quotePrefix="0" xfId="26"/>
    <xf borderId="1" fillId="0" fontId="6" numFmtId="9" pivotButton="0" quotePrefix="0" xfId="26"/>
    <xf borderId="0" fillId="0" fontId="0" numFmtId="0" pivotButton="0" quotePrefix="0" xfId="0"/>
    <xf borderId="0" fillId="2" fontId="10" numFmtId="172" pivotButton="0" quotePrefix="0" xfId="9"/>
    <xf borderId="0" fillId="0" fontId="0" numFmtId="172" pivotButton="0" quotePrefix="0" xfId="9"/>
    <xf borderId="0" fillId="2" fontId="0" numFmtId="171" pivotButton="0" quotePrefix="0" xfId="0"/>
    <xf borderId="4" fillId="2" fontId="0" numFmtId="171" pivotButton="0" quotePrefix="0" xfId="0"/>
    <xf borderId="1" fillId="2" fontId="0" numFmtId="171" pivotButton="0" quotePrefix="0" xfId="0"/>
    <xf applyAlignment="1" borderId="0" fillId="0" fontId="11" numFmtId="9" pivotButton="0" quotePrefix="0" xfId="26">
      <alignment horizontal="center"/>
    </xf>
    <xf borderId="0" fillId="2" fontId="0" numFmtId="9" pivotButton="0" quotePrefix="0" xfId="26"/>
    <xf borderId="4" fillId="2" fontId="0" numFmtId="9" pivotButton="0" quotePrefix="0" xfId="26"/>
    <xf borderId="0" fillId="0" fontId="0" numFmtId="9" pivotButton="0" quotePrefix="0" xfId="26"/>
    <xf borderId="5" fillId="0" fontId="0" numFmtId="0" pivotButton="0" quotePrefix="0" xfId="0"/>
    <xf borderId="5" fillId="2" fontId="0" numFmtId="168" pivotButton="0" quotePrefix="0" xfId="0"/>
    <xf borderId="5" fillId="0" fontId="0" numFmtId="0" pivotButton="0" quotePrefix="0" xfId="0"/>
    <xf borderId="0" fillId="0" fontId="0" numFmtId="168" pivotButton="0" quotePrefix="0" xfId="0"/>
    <xf borderId="0" fillId="0" fontId="0" numFmtId="9" pivotButton="0" quotePrefix="0" xfId="0"/>
    <xf borderId="0" fillId="0" fontId="0" numFmtId="169" pivotButton="0" quotePrefix="0" xfId="0"/>
    <xf borderId="0" fillId="0" fontId="0" numFmtId="170" pivotButton="0" quotePrefix="0" xfId="0"/>
    <xf borderId="0" fillId="0" fontId="0" numFmtId="10" pivotButton="0" quotePrefix="0" xfId="0"/>
    <xf borderId="0" fillId="0" fontId="0" numFmtId="172" pivotButton="0" quotePrefix="0" xfId="9"/>
    <xf borderId="5" fillId="2" fontId="10" numFmtId="168" pivotButton="0" quotePrefix="0" xfId="0"/>
    <xf borderId="5" fillId="2" fontId="10" numFmtId="9" pivotButton="0" quotePrefix="0" xfId="0"/>
    <xf borderId="5" fillId="2" fontId="10" numFmtId="169" pivotButton="0" quotePrefix="0" xfId="0"/>
    <xf borderId="5" fillId="2" fontId="10" numFmtId="170" pivotButton="0" quotePrefix="0" xfId="0"/>
    <xf borderId="5" fillId="2" fontId="10" numFmtId="10" pivotButton="0" quotePrefix="0" xfId="0"/>
    <xf borderId="5" fillId="2" fontId="10" numFmtId="172" pivotButton="0" quotePrefix="0" xfId="9"/>
    <xf borderId="0" fillId="0" fontId="20" numFmtId="173" pivotButton="0" quotePrefix="0" xfId="391"/>
    <xf applyAlignment="1" borderId="0" fillId="0" fontId="21" numFmtId="0" pivotButton="0" quotePrefix="0" xfId="0">
      <alignment horizontal="center" vertical="center"/>
    </xf>
    <xf applyAlignment="1" borderId="0" fillId="0" fontId="22" numFmtId="0" pivotButton="0" quotePrefix="0" xfId="0">
      <alignment horizontal="center" vertical="center"/>
    </xf>
    <xf applyAlignment="1" borderId="0" fillId="0" fontId="20" numFmtId="0" pivotButton="0" quotePrefix="0" xfId="0">
      <alignment vertical="center"/>
    </xf>
    <xf applyAlignment="1" borderId="0" fillId="0" fontId="21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0" numFmtId="172" pivotButton="0" quotePrefix="0" xfId="9">
      <alignment horizontal="center"/>
    </xf>
    <xf applyAlignment="1" borderId="0" fillId="0" fontId="22" numFmtId="172" pivotButton="0" quotePrefix="0" xfId="9">
      <alignment horizontal="center"/>
    </xf>
    <xf applyAlignment="1" borderId="0" fillId="0" fontId="20" numFmtId="9" pivotButton="0" quotePrefix="0" xfId="26">
      <alignment horizontal="center"/>
    </xf>
    <xf applyAlignment="1" borderId="0" fillId="0" fontId="20" numFmtId="173" pivotButton="0" quotePrefix="0" xfId="391">
      <alignment horizontal="center"/>
    </xf>
    <xf borderId="0" fillId="0" fontId="20" numFmtId="172" pivotButton="0" quotePrefix="0" xfId="9"/>
    <xf borderId="0" fillId="0" fontId="22" numFmtId="172" pivotButton="0" quotePrefix="0" xfId="9"/>
    <xf applyAlignment="1" borderId="0" fillId="0" fontId="20" numFmtId="172" pivotButton="0" quotePrefix="0" xfId="9">
      <alignment vertical="center"/>
    </xf>
    <xf applyAlignment="1" borderId="0" fillId="8" fontId="21" numFmtId="0" pivotButton="0" quotePrefix="0" xfId="0">
      <alignment horizontal="center"/>
    </xf>
    <xf borderId="0" fillId="8" fontId="20" numFmtId="172" pivotButton="0" quotePrefix="0" xfId="9"/>
    <xf borderId="0" fillId="8" fontId="22" numFmtId="172" pivotButton="0" quotePrefix="0" xfId="9"/>
    <xf applyAlignment="1" borderId="0" fillId="8" fontId="20" numFmtId="172" pivotButton="0" quotePrefix="0" xfId="9">
      <alignment horizontal="center"/>
    </xf>
    <xf applyAlignment="1" borderId="0" fillId="8" fontId="20" numFmtId="9" pivotButton="0" quotePrefix="0" xfId="26">
      <alignment horizontal="center"/>
    </xf>
    <xf borderId="0" fillId="0" fontId="20" numFmtId="166" pivotButton="0" quotePrefix="0" xfId="9"/>
    <xf borderId="0" fillId="0" fontId="0" numFmtId="169" pivotButton="0" quotePrefix="0" xfId="0"/>
    <xf borderId="0" fillId="6" fontId="23" numFmtId="172" pivotButton="0" quotePrefix="0" xfId="9"/>
    <xf borderId="0" fillId="6" fontId="23" numFmtId="173" pivotButton="0" quotePrefix="0" xfId="391"/>
    <xf borderId="0" fillId="9" fontId="24" numFmtId="173" pivotButton="0" quotePrefix="0" xfId="0"/>
    <xf borderId="0" fillId="0" fontId="25" numFmtId="0" pivotButton="0" quotePrefix="0" xfId="0"/>
    <xf borderId="0" fillId="2" fontId="10" numFmtId="166" pivotButton="0" quotePrefix="0" xfId="9"/>
    <xf borderId="0" fillId="2" fontId="10" numFmtId="174" pivotButton="0" quotePrefix="0" xfId="0"/>
    <xf borderId="4" fillId="2" fontId="0" numFmtId="10" pivotButton="0" quotePrefix="0" xfId="0"/>
    <xf borderId="1" fillId="2" fontId="0" numFmtId="10" pivotButton="0" quotePrefix="0" xfId="0"/>
    <xf borderId="0" fillId="2" fontId="10" numFmtId="9" pivotButton="0" quotePrefix="0" xfId="26"/>
    <xf borderId="0" fillId="10" fontId="10" numFmtId="9" pivotButton="0" quotePrefix="0" xfId="0"/>
    <xf applyAlignment="1" borderId="4" fillId="0" fontId="10" numFmtId="0" pivotButton="0" quotePrefix="0" xfId="0">
      <alignment horizontal="center"/>
    </xf>
    <xf applyAlignment="1" borderId="4" fillId="0" fontId="10" numFmtId="170" pivotButton="0" quotePrefix="0" xfId="0">
      <alignment horizontal="center"/>
    </xf>
    <xf applyAlignment="1" borderId="4" fillId="0" fontId="12" numFmtId="10" pivotButton="0" quotePrefix="0" xfId="26">
      <alignment horizontal="center"/>
    </xf>
    <xf borderId="0" fillId="0" fontId="0" numFmtId="16" pivotButton="0" quotePrefix="0" xfId="0"/>
    <xf borderId="0" fillId="0" fontId="0" numFmtId="166" pivotButton="0" quotePrefix="0" xfId="9"/>
    <xf borderId="0" fillId="0" fontId="0" numFmtId="173" pivotButton="0" quotePrefix="0" xfId="391"/>
    <xf applyAlignment="1" borderId="7" fillId="0" fontId="10" numFmtId="0" pivotButton="0" quotePrefix="0" xfId="0">
      <alignment horizontal="center"/>
    </xf>
    <xf borderId="6" fillId="0" fontId="0" numFmtId="16" pivotButton="0" quotePrefix="0" xfId="0"/>
    <xf borderId="6" fillId="0" fontId="0" numFmtId="0" pivotButton="0" quotePrefix="0" xfId="0"/>
    <xf borderId="0" fillId="0" fontId="6" numFmtId="0" pivotButton="0" quotePrefix="0" xfId="0"/>
    <xf borderId="0" fillId="0" fontId="6" numFmtId="0" pivotButton="0" quotePrefix="0" xfId="0"/>
    <xf applyAlignment="1" borderId="1" fillId="0" fontId="26" numFmtId="0" pivotButton="0" quotePrefix="0" xfId="0">
      <alignment horizontal="center"/>
    </xf>
    <xf applyAlignment="1" borderId="1" fillId="0" fontId="27" numFmtId="0" pivotButton="0" quotePrefix="0" xfId="0">
      <alignment horizontal="center"/>
    </xf>
    <xf borderId="0" fillId="0" fontId="6" numFmtId="171" pivotButton="0" quotePrefix="0" xfId="26"/>
    <xf borderId="2" fillId="3" fontId="6" numFmtId="171" pivotButton="0" quotePrefix="0" xfId="26"/>
    <xf borderId="1" fillId="0" fontId="6" numFmtId="171" pivotButton="0" quotePrefix="0" xfId="26"/>
    <xf applyAlignment="1" borderId="0" fillId="0" fontId="9" numFmtId="171" pivotButton="0" quotePrefix="0" xfId="26">
      <alignment horizontal="center"/>
    </xf>
    <xf borderId="0" fillId="0" fontId="6" numFmtId="166" pivotButton="0" quotePrefix="0" xfId="9"/>
    <xf borderId="2" fillId="3" fontId="6" numFmtId="166" pivotButton="0" quotePrefix="0" xfId="9"/>
    <xf borderId="1" fillId="0" fontId="6" numFmtId="166" pivotButton="0" quotePrefix="0" xfId="9"/>
    <xf applyAlignment="1" borderId="0" fillId="0" fontId="9" numFmtId="166" pivotButton="0" quotePrefix="0" xfId="9">
      <alignment horizontal="center"/>
    </xf>
    <xf applyAlignment="1" borderId="3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5" numFmtId="16" pivotButton="0" quotePrefix="0" xfId="0">
      <alignment horizontal="center"/>
    </xf>
    <xf borderId="0" fillId="0" fontId="5" numFmtId="168" pivotButton="0" quotePrefix="0" xfId="0"/>
    <xf borderId="0" fillId="0" fontId="5" numFmtId="169" pivotButton="0" quotePrefix="0" xfId="0"/>
    <xf borderId="0" fillId="0" fontId="5" numFmtId="170" pivotButton="0" quotePrefix="0" xfId="0"/>
    <xf borderId="0" fillId="0" fontId="5" numFmtId="10" pivotButton="0" quotePrefix="0" xfId="26"/>
    <xf borderId="0" fillId="0" fontId="5" numFmtId="9" pivotButton="0" quotePrefix="0" xfId="26"/>
    <xf borderId="4" fillId="2" fontId="5" numFmtId="9" pivotButton="0" quotePrefix="0" xfId="0"/>
    <xf borderId="0" fillId="6" fontId="3" numFmtId="168" pivotButton="0" quotePrefix="0" xfId="9"/>
    <xf borderId="0" fillId="0" fontId="5" numFmtId="0" pivotButton="0" quotePrefix="0" xfId="0"/>
    <xf applyAlignment="1" borderId="0" fillId="0" fontId="10" numFmtId="0" pivotButton="0" quotePrefix="0" xfId="0">
      <alignment horizontal="center" vertical="center" wrapText="1"/>
    </xf>
    <xf applyAlignment="1" borderId="0" fillId="0" fontId="11" numFmtId="9" pivotButton="0" quotePrefix="0" xfId="0">
      <alignment horizontal="center" vertical="center" wrapText="1"/>
    </xf>
    <xf applyAlignment="1" borderId="0" fillId="0" fontId="10" numFmtId="17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0" fillId="0" fontId="12" numFmtId="10" pivotButton="0" quotePrefix="0" xfId="26">
      <alignment horizontal="center" vertical="center" wrapText="1"/>
    </xf>
    <xf applyAlignment="1" borderId="0" fillId="0" fontId="0" numFmtId="0" pivotButton="0" quotePrefix="0" xfId="0">
      <alignment vertical="center" wrapText="1"/>
    </xf>
    <xf borderId="0" fillId="6" fontId="0" numFmtId="168" pivotButton="0" quotePrefix="0" xfId="0"/>
    <xf borderId="1" fillId="2" fontId="5" numFmtId="9" pivotButton="0" quotePrefix="0" xfId="26"/>
    <xf borderId="0" fillId="0" fontId="5" numFmtId="9" pivotButton="0" quotePrefix="0" xfId="26"/>
    <xf borderId="0" fillId="2" fontId="0" numFmtId="172" pivotButton="0" quotePrefix="0" xfId="9"/>
    <xf borderId="0" fillId="2" fontId="0" numFmtId="172" pivotButton="0" quotePrefix="0" xfId="9"/>
    <xf borderId="4" fillId="2" fontId="0" numFmtId="172" pivotButton="0" quotePrefix="0" xfId="9"/>
    <xf borderId="4" fillId="2" fontId="0" numFmtId="172" pivotButton="0" quotePrefix="0" xfId="9"/>
    <xf borderId="4" fillId="4" fontId="0" numFmtId="172" pivotButton="0" quotePrefix="0" xfId="9"/>
    <xf borderId="0" fillId="4" fontId="0" numFmtId="172" pivotButton="0" quotePrefix="0" xfId="9"/>
    <xf borderId="0" fillId="2" fontId="0" numFmtId="172" pivotButton="0" quotePrefix="0" xfId="0"/>
    <xf borderId="1" fillId="2" fontId="0" numFmtId="172" pivotButton="0" quotePrefix="0" xfId="0"/>
    <xf applyAlignment="1" borderId="0" fillId="0" fontId="10" numFmtId="168" pivotButton="0" quotePrefix="0" xfId="0">
      <alignment horizontal="center" vertical="center" wrapText="1"/>
    </xf>
    <xf applyAlignment="1" borderId="0" fillId="0" fontId="10" numFmtId="169" pivotButton="0" quotePrefix="0" xfId="0">
      <alignment horizontal="center" vertical="center" wrapText="1"/>
    </xf>
    <xf applyAlignment="1" borderId="0" fillId="0" fontId="12" numFmtId="9" pivotButton="0" quotePrefix="0" xfId="0">
      <alignment horizontal="center" vertical="center" wrapText="1"/>
    </xf>
    <xf applyAlignment="1" borderId="4" fillId="0" fontId="21" numFmtId="0" pivotButton="0" quotePrefix="0" xfId="0">
      <alignment horizontal="center"/>
    </xf>
    <xf borderId="4" fillId="0" fontId="20" numFmtId="172" pivotButton="0" quotePrefix="0" xfId="9"/>
    <xf applyAlignment="1" borderId="4" fillId="0" fontId="22" numFmtId="172" pivotButton="0" quotePrefix="0" xfId="9">
      <alignment horizontal="center"/>
    </xf>
    <xf applyAlignment="1" borderId="4" fillId="0" fontId="20" numFmtId="172" pivotButton="0" quotePrefix="0" xfId="9">
      <alignment horizontal="center"/>
    </xf>
    <xf applyAlignment="1" borderId="4" fillId="0" fontId="20" numFmtId="9" pivotButton="0" quotePrefix="0" xfId="26">
      <alignment horizontal="center"/>
    </xf>
    <xf borderId="4" fillId="0" fontId="22" numFmtId="172" pivotButton="0" quotePrefix="0" xfId="9"/>
    <xf applyAlignment="1" borderId="4" fillId="0" fontId="21" numFmtId="0" pivotButton="0" quotePrefix="0" xfId="0">
      <alignment horizontal="center" vertical="center"/>
    </xf>
    <xf borderId="0" fillId="0" fontId="0" numFmtId="3" pivotButton="0" quotePrefix="0" xfId="0"/>
    <xf borderId="0" fillId="0" fontId="25" numFmtId="0" pivotButton="0" quotePrefix="0" xfId="0"/>
    <xf borderId="0" fillId="0" fontId="0" numFmtId="3" pivotButton="0" quotePrefix="0" xfId="9"/>
    <xf borderId="0" fillId="0" fontId="0" numFmtId="1" pivotButton="0" quotePrefix="0" xfId="9"/>
    <xf borderId="0" fillId="0" fontId="25" numFmtId="0" pivotButton="0" quotePrefix="0" xfId="0"/>
    <xf borderId="0" fillId="0" fontId="0" numFmtId="173" pivotButton="0" quotePrefix="0" xfId="0"/>
    <xf applyAlignment="1" borderId="0" fillId="0" fontId="29" numFmtId="164" pivotButton="0" quotePrefix="0" xfId="0">
      <alignment horizontal="center" readingOrder="1" vertical="center" wrapText="1"/>
    </xf>
    <xf applyAlignment="1" borderId="0" fillId="0" fontId="30" numFmtId="164" pivotButton="0" quotePrefix="0" xfId="0">
      <alignment horizontal="center" readingOrder="1" vertical="center" wrapText="1"/>
    </xf>
    <xf applyAlignment="1" borderId="0" fillId="0" fontId="28" numFmtId="164" pivotButton="0" quotePrefix="0" xfId="0">
      <alignment horizontal="center" readingOrder="1" wrapText="1"/>
    </xf>
    <xf applyAlignment="1" borderId="0" fillId="0" fontId="0" numFmtId="0" pivotButton="0" quotePrefix="0" xfId="0">
      <alignment horizontal="right"/>
    </xf>
    <xf borderId="0" fillId="0" fontId="0" numFmtId="0" pivotButton="0" quotePrefix="0" xfId="0"/>
    <xf borderId="0" fillId="0" fontId="0" numFmtId="16" pivotButton="0" quotePrefix="0" xfId="0"/>
    <xf borderId="6" fillId="0" fontId="0" numFmtId="16" pivotButton="0" quotePrefix="0" xfId="0"/>
    <xf borderId="0" fillId="0" fontId="0" numFmtId="172" pivotButton="0" quotePrefix="0" xfId="9"/>
    <xf borderId="0" fillId="0" fontId="0" numFmtId="166" pivotButton="0" quotePrefix="0" xfId="9"/>
    <xf borderId="0" fillId="0" fontId="0" numFmtId="3" pivotButton="0" quotePrefix="0" xfId="9"/>
    <xf borderId="0" fillId="0" fontId="0" numFmtId="1" pivotButton="0" quotePrefix="0" xfId="9"/>
    <xf borderId="0" fillId="0" fontId="0" numFmtId="10" pivotButton="0" quotePrefix="0" xfId="26"/>
    <xf borderId="0" fillId="0" fontId="0" numFmtId="173" pivotButton="0" quotePrefix="0" xfId="0"/>
    <xf borderId="0" fillId="0" fontId="18" numFmtId="0" pivotButton="0" quotePrefix="0" xfId="0"/>
    <xf borderId="0" fillId="0" fontId="31" numFmtId="0" pivotButton="0" quotePrefix="0" xfId="0"/>
    <xf borderId="0" fillId="0" fontId="31" numFmtId="16" pivotButton="0" quotePrefix="0" xfId="0"/>
    <xf borderId="6" fillId="0" fontId="31" numFmtId="16" pivotButton="0" quotePrefix="0" xfId="0"/>
    <xf borderId="0" fillId="0" fontId="31" numFmtId="172" pivotButton="0" quotePrefix="0" xfId="9"/>
    <xf borderId="0" fillId="0" fontId="31" numFmtId="166" pivotButton="0" quotePrefix="0" xfId="9"/>
    <xf borderId="0" fillId="0" fontId="31" numFmtId="173" pivotButton="0" quotePrefix="0" xfId="391"/>
    <xf borderId="0" fillId="0" fontId="31" numFmtId="10" pivotButton="0" quotePrefix="0" xfId="26"/>
    <xf borderId="0" fillId="0" fontId="31" numFmtId="3" pivotButton="0" quotePrefix="0" xfId="0"/>
    <xf borderId="0" fillId="0" fontId="0" numFmtId="173" pivotButton="0" quotePrefix="0" xfId="391"/>
    <xf borderId="0" fillId="0" fontId="25" numFmtId="3" pivotButton="0" quotePrefix="0" xfId="0"/>
    <xf borderId="4" fillId="2" fontId="10" numFmtId="9" pivotButton="0" quotePrefix="0" xfId="0"/>
    <xf borderId="4" fillId="0" fontId="0" numFmtId="9" pivotButton="0" quotePrefix="0" xfId="0"/>
    <xf applyAlignment="1" borderId="0" fillId="11" fontId="13" numFmtId="0" pivotButton="0" quotePrefix="0" xfId="0">
      <alignment horizontal="left"/>
    </xf>
    <xf applyAlignment="1" borderId="0" fillId="11" fontId="13" numFmtId="16" pivotButton="0" quotePrefix="0" xfId="0">
      <alignment horizontal="left"/>
    </xf>
    <xf borderId="0" fillId="11" fontId="13" numFmtId="0" pivotButton="0" quotePrefix="0" xfId="0"/>
    <xf borderId="0" fillId="2" fontId="32" numFmtId="168" pivotButton="0" quotePrefix="0" xfId="0"/>
    <xf borderId="4" fillId="2" fontId="32" numFmtId="168" pivotButton="0" quotePrefix="0" xfId="0"/>
    <xf borderId="0" fillId="0" fontId="31" numFmtId="0" pivotButton="0" quotePrefix="0" xfId="0"/>
    <xf borderId="0" fillId="0" fontId="31" numFmtId="16" pivotButton="0" quotePrefix="0" xfId="0"/>
    <xf borderId="6" fillId="0" fontId="31" numFmtId="16" pivotButton="0" quotePrefix="0" xfId="0"/>
    <xf borderId="0" fillId="0" fontId="31" numFmtId="172" pivotButton="0" quotePrefix="0" xfId="9"/>
    <xf borderId="0" fillId="0" fontId="31" numFmtId="166" pivotButton="0" quotePrefix="0" xfId="9"/>
    <xf applyAlignment="1" borderId="0" fillId="0" fontId="31" numFmtId="0" pivotButton="0" quotePrefix="0" xfId="0">
      <alignment horizontal="center"/>
    </xf>
    <xf borderId="0" fillId="0" fontId="31" numFmtId="10" pivotButton="0" quotePrefix="0" xfId="26"/>
    <xf borderId="0" fillId="0" fontId="31" numFmtId="3" pivotButton="0" quotePrefix="0" xfId="0"/>
    <xf borderId="0" fillId="0" fontId="31" numFmtId="173" pivotButton="0" quotePrefix="0" xfId="391"/>
    <xf applyAlignment="1" borderId="4" fillId="0" fontId="10" numFmtId="0" pivotButton="0" quotePrefix="0" xfId="0">
      <alignment horizontal="right"/>
    </xf>
    <xf borderId="0" fillId="0" fontId="0" numFmtId="166" pivotButton="0" quotePrefix="0" xfId="9"/>
    <xf borderId="0" fillId="0" fontId="0" numFmtId="175" pivotButton="0" quotePrefix="0" xfId="9"/>
    <xf applyAlignment="1" borderId="0" fillId="0" fontId="33" numFmtId="1" pivotButton="0" quotePrefix="0" xfId="0">
      <alignment horizontal="right" readingOrder="1" vertical="center" wrapText="1"/>
    </xf>
    <xf applyAlignment="1" borderId="0" fillId="0" fontId="14" numFmtId="0" pivotButton="0" quotePrefix="0" xfId="0">
      <alignment horizontal="right"/>
    </xf>
    <xf applyAlignment="1" borderId="0" fillId="0" fontId="14" numFmtId="16" pivotButton="0" quotePrefix="0" xfId="0">
      <alignment horizontal="right"/>
    </xf>
    <xf borderId="0" fillId="0" fontId="0" numFmtId="168" pivotButton="0" quotePrefix="0" xfId="0"/>
    <xf borderId="0" fillId="0" fontId="0" numFmtId="169" pivotButton="0" quotePrefix="0" xfId="0"/>
    <xf borderId="0" fillId="0" fontId="0" numFmtId="170" pivotButton="0" quotePrefix="0" xfId="0"/>
    <xf applyAlignment="1" borderId="0" fillId="0" fontId="15" numFmtId="0" pivotButton="0" quotePrefix="0" xfId="0">
      <alignment horizontal="right"/>
    </xf>
    <xf borderId="0" fillId="0" fontId="0" numFmtId="174" pivotButton="0" quotePrefix="0" xfId="0"/>
    <xf borderId="0" fillId="0" fontId="10" numFmtId="9" pivotButton="0" quotePrefix="0" xfId="0"/>
    <xf borderId="0" fillId="0" fontId="18" numFmtId="0" pivotButton="0" quotePrefix="0" xfId="0"/>
    <xf borderId="0" fillId="0" fontId="0" numFmtId="166" pivotButton="0" quotePrefix="0" xfId="9"/>
    <xf applyAlignment="1" borderId="0" fillId="0" fontId="0" numFmtId="168" pivotButton="0" quotePrefix="0" xfId="0">
      <alignment horizontal="left"/>
    </xf>
    <xf applyAlignment="1" borderId="0" fillId="0" fontId="0" numFmtId="169" pivotButton="0" quotePrefix="0" xfId="0">
      <alignment horizontal="left"/>
    </xf>
    <xf applyAlignment="1" borderId="5" fillId="2" fontId="13" numFmtId="0" pivotButton="0" quotePrefix="0" xfId="0">
      <alignment horizontal="left"/>
    </xf>
    <xf applyAlignment="1" borderId="5" fillId="2" fontId="13" numFmtId="16" pivotButton="0" quotePrefix="0" xfId="0">
      <alignment horizontal="left"/>
    </xf>
    <xf borderId="5" fillId="2" fontId="13" numFmtId="0" pivotButton="0" quotePrefix="0" xfId="0"/>
    <xf borderId="5" fillId="2" fontId="10" numFmtId="166" pivotButton="0" quotePrefix="0" xfId="9"/>
    <xf borderId="5" fillId="10" fontId="10" numFmtId="9" pivotButton="0" quotePrefix="0" xfId="0"/>
    <xf borderId="5" fillId="0" fontId="10" numFmtId="9" pivotButton="0" quotePrefix="0" xfId="0"/>
    <xf borderId="0" fillId="2" fontId="10" numFmtId="9" pivotButton="0" quotePrefix="0" xfId="26"/>
    <xf applyAlignment="1" borderId="0" fillId="0" fontId="13" numFmtId="0" pivotButton="0" quotePrefix="0" xfId="0">
      <alignment horizontal="center"/>
    </xf>
    <xf applyAlignment="1" borderId="0" fillId="0" fontId="13" numFmtId="16" pivotButton="0" quotePrefix="0" xfId="0">
      <alignment horizontal="center"/>
    </xf>
    <xf borderId="0" fillId="0" fontId="0" numFmtId="168" pivotButton="0" quotePrefix="0" xfId="0"/>
    <xf borderId="0" fillId="0" fontId="0" numFmtId="9" pivotButton="0" quotePrefix="0" xfId="0"/>
    <xf borderId="0" fillId="0" fontId="0" numFmtId="169" pivotButton="0" quotePrefix="0" xfId="0"/>
    <xf borderId="0" fillId="0" fontId="0" numFmtId="170" pivotButton="0" quotePrefix="0" xfId="0"/>
    <xf borderId="0" fillId="0" fontId="0" numFmtId="170" pivotButton="0" quotePrefix="0" xfId="0"/>
    <xf borderId="0" fillId="0" fontId="0" numFmtId="10" pivotButton="0" quotePrefix="0" xfId="26"/>
    <xf applyAlignment="1" borderId="8" fillId="0" fontId="13" numFmtId="0" pivotButton="0" quotePrefix="0" xfId="0">
      <alignment horizontal="center"/>
    </xf>
    <xf applyAlignment="1" borderId="8" fillId="0" fontId="13" numFmtId="16" pivotButton="0" quotePrefix="0" xfId="0">
      <alignment horizontal="center"/>
    </xf>
    <xf borderId="8" fillId="0" fontId="0" numFmtId="168" pivotButton="0" quotePrefix="0" xfId="0"/>
    <xf borderId="8" fillId="0" fontId="0" numFmtId="9" pivotButton="0" quotePrefix="0" xfId="0"/>
    <xf borderId="8" fillId="0" fontId="0" numFmtId="169" pivotButton="0" quotePrefix="0" xfId="0"/>
    <xf borderId="8" fillId="0" fontId="0" numFmtId="170" pivotButton="0" quotePrefix="0" xfId="0"/>
    <xf borderId="8" fillId="0" fontId="0" numFmtId="170" pivotButton="0" quotePrefix="0" xfId="0"/>
    <xf borderId="8" fillId="0" fontId="0" numFmtId="0" pivotButton="0" quotePrefix="0" xfId="0"/>
    <xf borderId="8" fillId="0" fontId="0" numFmtId="10" pivotButton="0" quotePrefix="0" xfId="26"/>
    <xf borderId="8" fillId="0" fontId="0" numFmtId="0" pivotButton="0" quotePrefix="0" xfId="0"/>
    <xf applyAlignment="1" borderId="0" fillId="0" fontId="34" numFmtId="16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9" pivotButton="0" quotePrefix="0" xfId="0">
      <alignment horizontal="center"/>
    </xf>
    <xf applyAlignment="1" borderId="0" fillId="0" fontId="12" numFmtId="9" pivotButton="0" quotePrefix="0" xfId="0">
      <alignment horizontal="center"/>
    </xf>
    <xf applyAlignment="1" borderId="0" fillId="0" fontId="12" numFmtId="172" pivotButton="0" quotePrefix="0" xfId="9">
      <alignment horizontal="center"/>
    </xf>
    <xf applyAlignment="1" borderId="0" fillId="0" fontId="12" numFmtId="0" pivotButton="0" quotePrefix="0" xfId="0">
      <alignment horizontal="center"/>
    </xf>
    <xf applyAlignment="1" borderId="0" fillId="0" fontId="10" numFmtId="0" pivotButton="0" quotePrefix="0" xfId="0">
      <alignment horizontal="center" vertical="center"/>
    </xf>
    <xf applyAlignment="1" borderId="0" fillId="0" fontId="10" numFmtId="9" pivotButton="0" quotePrefix="0" xfId="0">
      <alignment horizontal="center"/>
    </xf>
    <xf borderId="0" fillId="0" fontId="0" numFmtId="172" pivotButton="0" quotePrefix="0" xfId="9"/>
    <xf borderId="8" fillId="0" fontId="5" numFmtId="168" pivotButton="0" quotePrefix="0" xfId="0"/>
    <xf borderId="8" fillId="0" fontId="5" numFmtId="9" pivotButton="0" quotePrefix="0" xfId="0"/>
    <xf borderId="8" fillId="0" fontId="5" numFmtId="169" pivotButton="0" quotePrefix="0" xfId="0"/>
    <xf borderId="8" fillId="0" fontId="5" numFmtId="170" pivotButton="0" quotePrefix="0" xfId="0"/>
    <xf borderId="8" fillId="0" fontId="5" numFmtId="10" pivotButton="0" quotePrefix="0" xfId="0"/>
    <xf borderId="8" fillId="0" fontId="5" numFmtId="172" pivotButton="0" quotePrefix="0" xfId="9"/>
    <xf borderId="8" fillId="0" fontId="6" numFmtId="0" pivotButton="0" quotePrefix="0" xfId="0"/>
    <xf borderId="8" fillId="0" fontId="6" numFmtId="0" pivotButton="0" quotePrefix="0" xfId="0"/>
    <xf applyAlignment="1" borderId="9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8" fillId="0" fontId="5" numFmtId="16" pivotButton="0" quotePrefix="0" xfId="0">
      <alignment horizontal="center"/>
    </xf>
    <xf applyAlignment="1" borderId="8" fillId="0" fontId="7" numFmtId="0" pivotButton="0" quotePrefix="0" xfId="0">
      <alignment horizontal="right"/>
    </xf>
    <xf applyAlignment="1" borderId="8" fillId="0" fontId="14" numFmtId="0" pivotButton="0" quotePrefix="0" xfId="0">
      <alignment horizontal="right"/>
    </xf>
    <xf applyAlignment="1" borderId="8" fillId="0" fontId="14" numFmtId="16" pivotButton="0" quotePrefix="0" xfId="0">
      <alignment horizontal="right"/>
    </xf>
    <xf borderId="8" fillId="0" fontId="0" numFmtId="168" pivotButton="0" quotePrefix="0" xfId="0"/>
    <xf borderId="8" fillId="2" fontId="10" numFmtId="9" pivotButton="0" quotePrefix="0" xfId="0"/>
    <xf borderId="8" fillId="0" fontId="0" numFmtId="169" pivotButton="0" quotePrefix="0" xfId="0"/>
    <xf borderId="8" fillId="0" fontId="0" numFmtId="170" pivotButton="0" quotePrefix="0" xfId="0"/>
    <xf borderId="8" fillId="0" fontId="0" numFmtId="10" pivotButton="0" quotePrefix="0" xfId="0"/>
    <xf borderId="8" fillId="0" fontId="0" numFmtId="172" pivotButton="0" quotePrefix="0" xfId="9"/>
    <xf borderId="8" fillId="10" fontId="10" numFmtId="9" pivotButton="0" quotePrefix="0" xfId="0"/>
    <xf borderId="8" fillId="0" fontId="10" numFmtId="9" pivotButton="0" quotePrefix="0" xfId="0"/>
    <xf borderId="8" fillId="0" fontId="0" numFmtId="9" pivotButton="0" quotePrefix="0" xfId="0"/>
    <xf borderId="8" fillId="0" fontId="0" numFmtId="0" pivotButton="0" quotePrefix="0" xfId="0"/>
    <xf borderId="8" fillId="0" fontId="0" numFmtId="0" pivotButton="0" quotePrefix="0" xfId="0"/>
    <xf applyAlignment="1" borderId="10" fillId="5" fontId="5" numFmtId="0" pivotButton="0" quotePrefix="0" xfId="0">
      <alignment horizontal="center"/>
    </xf>
    <xf borderId="11" fillId="5" fontId="6" numFmtId="16" pivotButton="0" quotePrefix="0" xfId="0"/>
    <xf applyAlignment="1" borderId="11" fillId="5" fontId="7" numFmtId="0" pivotButton="0" quotePrefix="0" xfId="0">
      <alignment horizontal="right"/>
    </xf>
    <xf borderId="11" fillId="5" fontId="5" numFmtId="168" pivotButton="0" quotePrefix="0" xfId="0"/>
    <xf borderId="11" fillId="5" fontId="6" numFmtId="9" pivotButton="0" quotePrefix="0" xfId="0"/>
    <xf borderId="11" fillId="5" fontId="5" numFmtId="169" pivotButton="0" quotePrefix="0" xfId="0"/>
    <xf borderId="11" fillId="5" fontId="5" numFmtId="9" pivotButton="0" quotePrefix="0" xfId="0"/>
    <xf borderId="11" fillId="5" fontId="5" numFmtId="170" pivotButton="0" quotePrefix="0" xfId="0"/>
    <xf borderId="11" fillId="5" fontId="6" numFmtId="10" pivotButton="0" quotePrefix="0" xfId="0"/>
    <xf borderId="11" fillId="5" fontId="6" numFmtId="172" pivotButton="0" quotePrefix="0" xfId="9"/>
    <xf borderId="11" fillId="5" fontId="6" numFmtId="168" pivotButton="0" quotePrefix="0" xfId="0"/>
    <xf borderId="11" fillId="0" fontId="6" numFmtId="0" pivotButton="0" quotePrefix="0" xfId="0"/>
    <xf borderId="11" fillId="0" fontId="6" numFmtId="0" pivotButton="0" quotePrefix="0" xfId="0"/>
    <xf borderId="11" fillId="5" fontId="6" numFmtId="0" pivotButton="0" quotePrefix="0" xfId="0"/>
    <xf applyAlignment="1" borderId="8" fillId="0" fontId="34" numFmtId="16" pivotButton="0" quotePrefix="0" xfId="0">
      <alignment horizontal="right"/>
    </xf>
    <xf borderId="4" fillId="6" fontId="0" numFmtId="168" pivotButton="0" quotePrefix="0" xfId="0"/>
    <xf applyAlignment="1" borderId="4" fillId="0" fontId="13" numFmtId="0" pivotButton="0" quotePrefix="0" xfId="0">
      <alignment horizontal="center"/>
    </xf>
    <xf applyAlignment="1" borderId="4" fillId="0" fontId="13" numFmtId="16" pivotButton="0" quotePrefix="0" xfId="0">
      <alignment horizontal="center"/>
    </xf>
    <xf applyAlignment="1" borderId="4" fillId="0" fontId="34" numFmtId="16" pivotButton="0" quotePrefix="0" xfId="0">
      <alignment horizontal="right"/>
    </xf>
    <xf borderId="4" fillId="0" fontId="0" numFmtId="168" pivotButton="0" quotePrefix="0" xfId="0"/>
    <xf borderId="4" fillId="0" fontId="0" numFmtId="9" pivotButton="0" quotePrefix="0" xfId="0"/>
    <xf borderId="4" fillId="0" fontId="0" numFmtId="169" pivotButton="0" quotePrefix="0" xfId="0"/>
    <xf borderId="4" fillId="0" fontId="0" numFmtId="170" pivotButton="0" quotePrefix="0" xfId="0"/>
    <xf borderId="4" fillId="0" fontId="0" numFmtId="170" pivotButton="0" quotePrefix="0" xfId="0"/>
    <xf borderId="4" fillId="0" fontId="0" numFmtId="0" pivotButton="0" quotePrefix="0" xfId="0"/>
    <xf borderId="4" fillId="0" fontId="0" numFmtId="10" pivotButton="0" quotePrefix="0" xfId="26"/>
    <xf borderId="4" fillId="0" fontId="0" numFmtId="0" pivotButton="0" quotePrefix="0" xfId="0"/>
    <xf borderId="0" fillId="0" fontId="36" numFmtId="0" pivotButton="0" quotePrefix="0" xfId="414"/>
    <xf applyAlignment="1" borderId="4" fillId="0" fontId="37" numFmtId="0" pivotButton="0" quotePrefix="0" xfId="414">
      <alignment horizontal="left"/>
    </xf>
    <xf applyAlignment="1" borderId="4" fillId="0" fontId="37" numFmtId="172" pivotButton="0" quotePrefix="0" xfId="415">
      <alignment horizontal="center"/>
    </xf>
    <xf applyAlignment="1" borderId="4" fillId="0" fontId="38" numFmtId="172" pivotButton="0" quotePrefix="0" xfId="415">
      <alignment horizontal="center"/>
    </xf>
    <xf applyAlignment="1" borderId="4" fillId="0" fontId="37" numFmtId="166" pivotButton="0" quotePrefix="0" xfId="415">
      <alignment horizontal="center"/>
    </xf>
    <xf applyAlignment="1" borderId="4" fillId="0" fontId="37" numFmtId="173" pivotButton="0" quotePrefix="0" xfId="416">
      <alignment horizontal="center"/>
    </xf>
    <xf applyAlignment="1" borderId="4" fillId="0" fontId="21" numFmtId="172" pivotButton="0" quotePrefix="0" xfId="415">
      <alignment horizontal="center"/>
    </xf>
    <xf applyAlignment="1" borderId="4" fillId="0" fontId="37" numFmtId="173" pivotButton="0" quotePrefix="0" xfId="416">
      <alignment horizontal="center" vertical="center"/>
    </xf>
    <xf applyAlignment="1" borderId="4" fillId="0" fontId="37" numFmtId="171" pivotButton="0" quotePrefix="0" xfId="417">
      <alignment horizontal="center"/>
    </xf>
    <xf borderId="0" fillId="0" fontId="37" numFmtId="0" pivotButton="0" quotePrefix="0" xfId="414"/>
    <xf borderId="0" fillId="0" fontId="37" numFmtId="172" pivotButton="0" quotePrefix="0" xfId="415"/>
    <xf borderId="0" fillId="0" fontId="39" numFmtId="9" pivotButton="0" quotePrefix="0" xfId="417"/>
    <xf borderId="0" fillId="0" fontId="37" numFmtId="166" pivotButton="0" quotePrefix="0" xfId="415"/>
    <xf borderId="0" fillId="0" fontId="37" numFmtId="1" pivotButton="0" quotePrefix="0" xfId="415"/>
    <xf borderId="0" fillId="0" fontId="37" numFmtId="171" pivotButton="0" quotePrefix="0" xfId="417"/>
    <xf applyAlignment="1" borderId="0" fillId="12" fontId="39" numFmtId="0" pivotButton="0" quotePrefix="0" xfId="414">
      <alignment horizontal="right"/>
    </xf>
    <xf borderId="0" fillId="12" fontId="40" numFmtId="172" pivotButton="0" quotePrefix="0" xfId="415"/>
    <xf borderId="0" fillId="0" fontId="40" numFmtId="9" pivotButton="0" quotePrefix="0" xfId="417"/>
    <xf borderId="0" fillId="12" fontId="40" numFmtId="166" pivotButton="0" quotePrefix="0" xfId="415"/>
    <xf borderId="0" fillId="12" fontId="40" numFmtId="1" pivotButton="0" quotePrefix="0" xfId="415"/>
    <xf borderId="0" fillId="12" fontId="40" numFmtId="9" pivotButton="0" quotePrefix="0" xfId="417"/>
    <xf borderId="0" fillId="12" fontId="40" numFmtId="171" pivotButton="0" quotePrefix="0" xfId="417"/>
    <xf applyAlignment="1" borderId="0" fillId="0" fontId="37" numFmtId="0" pivotButton="0" quotePrefix="0" xfId="414">
      <alignment horizontal="left"/>
    </xf>
    <xf borderId="0" fillId="12" fontId="39" numFmtId="9" pivotButton="0" quotePrefix="0" xfId="417"/>
    <xf borderId="0" fillId="12" fontId="39" numFmtId="171" pivotButton="0" quotePrefix="0" xfId="417"/>
    <xf borderId="0" fillId="12" fontId="39" numFmtId="172" pivotButton="0" quotePrefix="0" xfId="415"/>
    <xf borderId="0" fillId="13" fontId="37" numFmtId="1" pivotButton="0" quotePrefix="0" xfId="415"/>
    <xf borderId="0" fillId="13" fontId="39" numFmtId="171" pivotButton="0" quotePrefix="0" xfId="417"/>
    <xf borderId="0" fillId="0" fontId="36" numFmtId="166" pivotButton="0" quotePrefix="0" xfId="415"/>
    <xf borderId="12" fillId="6" fontId="41" numFmtId="0" pivotButton="0" quotePrefix="0" xfId="414"/>
    <xf borderId="12" fillId="6" fontId="41" numFmtId="172" pivotButton="0" quotePrefix="0" xfId="415"/>
    <xf borderId="12" fillId="6" fontId="42" numFmtId="9" pivotButton="0" quotePrefix="0" xfId="417"/>
    <xf borderId="12" fillId="0" fontId="42" numFmtId="9" pivotButton="0" quotePrefix="0" xfId="417"/>
    <xf borderId="12" fillId="6" fontId="41" numFmtId="166" pivotButton="0" quotePrefix="0" xfId="415"/>
    <xf borderId="12" fillId="6" fontId="41" numFmtId="173" pivotButton="0" quotePrefix="0" xfId="416"/>
    <xf borderId="12" fillId="6" fontId="41" numFmtId="171" pivotButton="0" quotePrefix="0" xfId="417"/>
    <xf borderId="12" fillId="6" fontId="41" numFmtId="173" pivotButton="0" quotePrefix="0" xfId="415"/>
    <xf borderId="12" fillId="0" fontId="36" numFmtId="0" pivotButton="0" quotePrefix="0" xfId="414"/>
    <xf borderId="0" fillId="0" fontId="36" numFmtId="172" pivotButton="0" quotePrefix="0" xfId="415"/>
    <xf borderId="0" fillId="0" fontId="36" numFmtId="173" pivotButton="0" quotePrefix="0" xfId="416"/>
    <xf borderId="0" fillId="0" fontId="36" numFmtId="171" pivotButton="0" quotePrefix="0" xfId="417"/>
    <xf borderId="0" fillId="2" fontId="31" numFmtId="168" pivotButton="0" quotePrefix="0" xfId="0"/>
    <xf borderId="4" fillId="2" fontId="31" numFmtId="168" pivotButton="0" quotePrefix="0" xfId="0"/>
    <xf borderId="4" fillId="2" fontId="43" numFmtId="168" pivotButton="0" quotePrefix="0" xfId="0"/>
    <xf borderId="0" fillId="2" fontId="43" numFmtId="168" pivotButton="0" quotePrefix="0" xfId="0"/>
    <xf applyAlignment="1" borderId="0" fillId="2" fontId="13" numFmtId="16" pivotButton="0" quotePrefix="0" xfId="0">
      <alignment horizontal="right"/>
    </xf>
    <xf borderId="0" fillId="0" fontId="0" numFmtId="9" pivotButton="0" quotePrefix="0" xfId="26"/>
    <xf borderId="4" fillId="0" fontId="0" numFmtId="9" pivotButton="0" quotePrefix="0" xfId="26"/>
    <xf applyAlignment="1" borderId="13" fillId="0" fontId="13" numFmtId="0" pivotButton="0" quotePrefix="0" xfId="0">
      <alignment horizontal="center"/>
    </xf>
    <xf applyAlignment="1" borderId="13" fillId="0" fontId="13" numFmtId="16" pivotButton="0" quotePrefix="0" xfId="0">
      <alignment horizontal="center"/>
    </xf>
    <xf applyAlignment="1" borderId="13" fillId="0" fontId="34" numFmtId="16" pivotButton="0" quotePrefix="0" xfId="0">
      <alignment horizontal="right"/>
    </xf>
    <xf borderId="13" fillId="0" fontId="0" numFmtId="168" pivotButton="0" quotePrefix="0" xfId="0"/>
    <xf borderId="13" fillId="0" fontId="0" numFmtId="9" pivotButton="0" quotePrefix="0" xfId="26"/>
    <xf borderId="13" fillId="0" fontId="0" numFmtId="169" pivotButton="0" quotePrefix="0" xfId="0"/>
    <xf borderId="13" fillId="0" fontId="0" numFmtId="170" pivotButton="0" quotePrefix="0" xfId="0"/>
    <xf borderId="13" fillId="0" fontId="0" numFmtId="10" pivotButton="0" quotePrefix="0" xfId="26"/>
    <xf borderId="13" fillId="0" fontId="0" numFmtId="0" pivotButton="0" quotePrefix="0" xfId="0"/>
    <xf borderId="13" fillId="0" fontId="0" numFmtId="0" pivotButton="0" quotePrefix="0" xfId="0"/>
    <xf borderId="0" fillId="0" fontId="37" numFmtId="167" pivotButton="0" quotePrefix="0" xfId="391"/>
    <xf borderId="0" fillId="12" fontId="40" numFmtId="167" pivotButton="0" quotePrefix="0" xfId="391"/>
    <xf borderId="0" fillId="12" fontId="40" numFmtId="2" pivotButton="0" quotePrefix="0" xfId="415"/>
    <xf borderId="0" fillId="12" fontId="40" numFmtId="173" pivotButton="0" quotePrefix="0" xfId="391"/>
    <xf borderId="0" fillId="0" fontId="37" numFmtId="173" pivotButton="0" quotePrefix="0" xfId="391"/>
    <xf borderId="0" fillId="0" fontId="36" numFmtId="9" pivotButton="0" quotePrefix="0" xfId="26"/>
    <xf borderId="0" fillId="0" fontId="0" numFmtId="0" pivotButton="0" quotePrefix="0" xfId="0"/>
    <xf borderId="0" fillId="0" fontId="0" numFmtId="166" pivotButton="0" quotePrefix="0" xfId="9"/>
    <xf borderId="0" fillId="0" fontId="0" numFmtId="176" pivotButton="0" quotePrefix="0" xfId="0"/>
    <xf borderId="4" fillId="2" fontId="44" numFmtId="168" pivotButton="0" quotePrefix="0" xfId="0"/>
    <xf borderId="0" fillId="2" fontId="44" numFmtId="168" pivotButton="0" quotePrefix="0" xfId="0"/>
    <xf borderId="4" fillId="6" fontId="23" numFmtId="172" pivotButton="0" quotePrefix="0" xfId="9"/>
    <xf applyAlignment="1" borderId="3" fillId="0" fontId="10" numFmtId="0" pivotButton="0" quotePrefix="0" xfId="0">
      <alignment horizontal="center"/>
    </xf>
    <xf applyAlignment="1" borderId="0" fillId="0" fontId="10" numFmtId="16" pivotButton="0" quotePrefix="0" xfId="0">
      <alignment horizontal="center"/>
    </xf>
    <xf borderId="0" fillId="0" fontId="10" numFmtId="168" pivotButton="0" quotePrefix="0" xfId="0"/>
    <xf borderId="0" fillId="0" fontId="10" numFmtId="9" pivotButton="0" quotePrefix="0" xfId="0"/>
    <xf borderId="1" fillId="2" fontId="10" numFmtId="9" pivotButton="0" quotePrefix="0" xfId="0"/>
    <xf borderId="0" fillId="0" fontId="10" numFmtId="169" pivotButton="0" quotePrefix="0" xfId="0"/>
    <xf borderId="0" fillId="0" fontId="10" numFmtId="170" pivotButton="0" quotePrefix="0" xfId="0"/>
    <xf borderId="0" fillId="0" fontId="10" numFmtId="171" pivotButton="0" quotePrefix="0" xfId="0"/>
    <xf borderId="0" fillId="0" fontId="10" numFmtId="0" pivotButton="0" quotePrefix="0" xfId="0"/>
    <xf borderId="0" fillId="0" fontId="10" numFmtId="0" pivotButton="0" quotePrefix="0" xfId="0"/>
    <xf borderId="4" fillId="9" fontId="24" numFmtId="173" pivotButton="0" quotePrefix="0" xfId="0"/>
    <xf borderId="4" fillId="6" fontId="23" numFmtId="173" pivotButton="0" quotePrefix="0" xfId="391"/>
    <xf applyAlignment="1" borderId="0" fillId="0" fontId="45" numFmtId="16" pivotButton="0" quotePrefix="0" xfId="0">
      <alignment horizontal="center"/>
    </xf>
    <xf borderId="0" fillId="0" fontId="37" numFmtId="165" pivotButton="0" quotePrefix="0" xfId="415"/>
    <xf applyAlignment="1" borderId="4" fillId="0" fontId="37" numFmtId="173" pivotButton="0" quotePrefix="0" xfId="391">
      <alignment horizontal="center"/>
    </xf>
    <xf borderId="0" fillId="13" fontId="37" numFmtId="173" pivotButton="0" quotePrefix="0" xfId="391"/>
    <xf borderId="12" fillId="6" fontId="41" numFmtId="173" pivotButton="0" quotePrefix="0" xfId="391"/>
    <xf borderId="0" fillId="0" fontId="36" numFmtId="173" pivotButton="0" quotePrefix="0" xfId="391"/>
    <xf applyAlignment="1" borderId="4" fillId="0" fontId="21" numFmtId="173" pivotButton="0" quotePrefix="0" xfId="391">
      <alignment horizontal="center"/>
    </xf>
    <xf borderId="0" fillId="2" fontId="5" numFmtId="9" pivotButton="0" quotePrefix="0" xfId="26"/>
    <xf borderId="0" fillId="2" fontId="44" numFmtId="9" pivotButton="0" quotePrefix="0" xfId="26"/>
    <xf borderId="4" fillId="2" fontId="44" numFmtId="9" pivotButton="0" quotePrefix="0" xfId="26"/>
    <xf borderId="0" fillId="2" fontId="0" numFmtId="166" pivotButton="0" quotePrefix="0" xfId="9"/>
    <xf borderId="4" fillId="2" fontId="0" numFmtId="166" pivotButton="0" quotePrefix="0" xfId="9"/>
    <xf borderId="0" fillId="0" fontId="0" numFmtId="0" pivotButton="0" quotePrefix="0" xfId="0"/>
    <xf borderId="0" fillId="0" fontId="0" numFmtId="177" pivotButton="0" quotePrefix="0" xfId="0"/>
    <xf borderId="0" fillId="0" fontId="0" numFmtId="168" pivotButton="0" quotePrefix="0" xfId="0"/>
    <xf applyAlignment="1" borderId="0" fillId="2" fontId="4" numFmtId="0" pivotButton="0" quotePrefix="0" xfId="0">
      <alignment horizontal="center" vertical="center"/>
    </xf>
    <xf applyAlignment="1" borderId="0" fillId="14" fontId="35" numFmtId="0" pivotButton="0" quotePrefix="0" xfId="414">
      <alignment horizontal="center" vertical="center"/>
    </xf>
    <xf applyAlignment="1" borderId="0" fillId="7" fontId="19" numFmtId="0" pivotButton="0" quotePrefix="0" xfId="0">
      <alignment horizontal="center" vertical="center"/>
    </xf>
    <xf borderId="0" fillId="0" fontId="6" numFmtId="168" pivotButton="0" quotePrefix="0" xfId="0"/>
    <xf borderId="0" fillId="0" fontId="6" numFmtId="169" pivotButton="0" quotePrefix="0" xfId="0"/>
    <xf borderId="0" fillId="0" fontId="6" numFmtId="170" pivotButton="0" quotePrefix="0" xfId="0"/>
    <xf borderId="0" fillId="0" fontId="6" numFmtId="171" pivotButton="0" quotePrefix="0" xfId="26"/>
    <xf borderId="0" fillId="0" fontId="6" numFmtId="166" pivotButton="0" quotePrefix="0" xfId="9"/>
    <xf borderId="0" fillId="0" fontId="6" numFmtId="171" pivotButton="0" quotePrefix="0" xfId="0"/>
    <xf borderId="2" fillId="3" fontId="6" numFmtId="168" pivotButton="0" quotePrefix="0" xfId="0"/>
    <xf borderId="2" fillId="3" fontId="8" numFmtId="169" pivotButton="0" quotePrefix="0" xfId="0"/>
    <xf borderId="2" fillId="3" fontId="6" numFmtId="170" pivotButton="0" quotePrefix="0" xfId="0"/>
    <xf borderId="2" fillId="3" fontId="6" numFmtId="171" pivotButton="0" quotePrefix="0" xfId="26"/>
    <xf borderId="2" fillId="3" fontId="6" numFmtId="166" pivotButton="0" quotePrefix="0" xfId="9"/>
    <xf borderId="2" fillId="3" fontId="8" numFmtId="168" pivotButton="0" quotePrefix="0" xfId="0"/>
    <xf borderId="2" fillId="3" fontId="8" numFmtId="171" pivotButton="0" quotePrefix="0" xfId="0"/>
    <xf borderId="1" fillId="0" fontId="6" numFmtId="168" pivotButton="0" quotePrefix="0" xfId="0"/>
    <xf borderId="1" fillId="0" fontId="6" numFmtId="169" pivotButton="0" quotePrefix="0" xfId="0"/>
    <xf borderId="1" fillId="0" fontId="6" numFmtId="170" pivotButton="0" quotePrefix="0" xfId="0"/>
    <xf borderId="1" fillId="0" fontId="6" numFmtId="171" pivotButton="0" quotePrefix="0" xfId="26"/>
    <xf borderId="1" fillId="0" fontId="6" numFmtId="166" pivotButton="0" quotePrefix="0" xfId="9"/>
    <xf borderId="1" fillId="0" fontId="6" numFmtId="171" pivotButton="0" quotePrefix="0" xfId="0"/>
    <xf applyAlignment="1" borderId="0" fillId="0" fontId="9" numFmtId="168" pivotButton="0" quotePrefix="0" xfId="0">
      <alignment horizontal="center"/>
    </xf>
    <xf applyAlignment="1" borderId="0" fillId="0" fontId="9" numFmtId="169" pivotButton="0" quotePrefix="0" xfId="0">
      <alignment horizontal="center"/>
    </xf>
    <xf applyAlignment="1" borderId="0" fillId="0" fontId="9" numFmtId="170" pivotButton="0" quotePrefix="0" xfId="0">
      <alignment horizontal="center"/>
    </xf>
    <xf applyAlignment="1" borderId="0" fillId="0" fontId="9" numFmtId="171" pivotButton="0" quotePrefix="0" xfId="26">
      <alignment horizontal="center"/>
    </xf>
    <xf applyAlignment="1" borderId="0" fillId="0" fontId="9" numFmtId="166" pivotButton="0" quotePrefix="0" xfId="9">
      <alignment horizontal="center"/>
    </xf>
    <xf applyAlignment="1" borderId="0" fillId="0" fontId="9" numFmtId="171" pivotButton="0" quotePrefix="0" xfId="0">
      <alignment horizontal="center"/>
    </xf>
    <xf borderId="0" fillId="0" fontId="36" numFmtId="172" pivotButton="0" quotePrefix="0" xfId="415"/>
    <xf borderId="0" fillId="0" fontId="36" numFmtId="166" pivotButton="0" quotePrefix="0" xfId="415"/>
    <xf borderId="0" fillId="0" fontId="36" numFmtId="173" pivotButton="0" quotePrefix="0" xfId="416"/>
    <xf borderId="0" fillId="0" fontId="36" numFmtId="173" pivotButton="0" quotePrefix="0" xfId="391"/>
    <xf borderId="0" fillId="0" fontId="36" numFmtId="171" pivotButton="0" quotePrefix="0" xfId="417"/>
    <xf applyAlignment="1" borderId="4" fillId="0" fontId="37" numFmtId="172" pivotButton="0" quotePrefix="0" xfId="415">
      <alignment horizontal="center"/>
    </xf>
    <xf applyAlignment="1" borderId="4" fillId="0" fontId="38" numFmtId="172" pivotButton="0" quotePrefix="0" xfId="415">
      <alignment horizontal="center"/>
    </xf>
    <xf applyAlignment="1" borderId="4" fillId="0" fontId="37" numFmtId="166" pivotButton="0" quotePrefix="0" xfId="415">
      <alignment horizontal="center"/>
    </xf>
    <xf applyAlignment="1" borderId="4" fillId="0" fontId="37" numFmtId="173" pivotButton="0" quotePrefix="0" xfId="416">
      <alignment horizontal="center"/>
    </xf>
    <xf applyAlignment="1" borderId="4" fillId="0" fontId="21" numFmtId="172" pivotButton="0" quotePrefix="0" xfId="415">
      <alignment horizontal="center"/>
    </xf>
    <xf applyAlignment="1" borderId="4" fillId="0" fontId="21" numFmtId="173" pivotButton="0" quotePrefix="0" xfId="391">
      <alignment horizontal="center"/>
    </xf>
    <xf applyAlignment="1" borderId="4" fillId="0" fontId="37" numFmtId="173" pivotButton="0" quotePrefix="0" xfId="391">
      <alignment horizontal="center"/>
    </xf>
    <xf applyAlignment="1" borderId="4" fillId="0" fontId="37" numFmtId="173" pivotButton="0" quotePrefix="0" xfId="416">
      <alignment horizontal="center" vertical="center"/>
    </xf>
    <xf applyAlignment="1" borderId="4" fillId="0" fontId="37" numFmtId="171" pivotButton="0" quotePrefix="0" xfId="417">
      <alignment horizontal="center"/>
    </xf>
    <xf borderId="0" fillId="0" fontId="37" numFmtId="172" pivotButton="0" quotePrefix="0" xfId="415"/>
    <xf borderId="0" fillId="0" fontId="37" numFmtId="166" pivotButton="0" quotePrefix="0" xfId="415"/>
    <xf borderId="0" fillId="0" fontId="37" numFmtId="167" pivotButton="0" quotePrefix="0" xfId="391"/>
    <xf borderId="0" fillId="0" fontId="37" numFmtId="171" pivotButton="0" quotePrefix="0" xfId="417"/>
    <xf borderId="0" fillId="0" fontId="37" numFmtId="173" pivotButton="0" quotePrefix="0" xfId="391"/>
    <xf borderId="0" fillId="12" fontId="40" numFmtId="172" pivotButton="0" quotePrefix="0" xfId="415"/>
    <xf borderId="0" fillId="12" fontId="40" numFmtId="166" pivotButton="0" quotePrefix="0" xfId="415"/>
    <xf borderId="0" fillId="12" fontId="40" numFmtId="167" pivotButton="0" quotePrefix="0" xfId="391"/>
    <xf borderId="0" fillId="12" fontId="40" numFmtId="171" pivotButton="0" quotePrefix="0" xfId="417"/>
    <xf borderId="0" fillId="12" fontId="40" numFmtId="173" pivotButton="0" quotePrefix="0" xfId="391"/>
    <xf borderId="0" fillId="12" fontId="39" numFmtId="171" pivotButton="0" quotePrefix="0" xfId="417"/>
    <xf borderId="0" fillId="12" fontId="39" numFmtId="172" pivotButton="0" quotePrefix="0" xfId="415"/>
    <xf borderId="0" fillId="13" fontId="37" numFmtId="173" pivotButton="0" quotePrefix="0" xfId="391"/>
    <xf borderId="0" fillId="13" fontId="39" numFmtId="171" pivotButton="0" quotePrefix="0" xfId="417"/>
    <xf borderId="12" fillId="6" fontId="41" numFmtId="172" pivotButton="0" quotePrefix="0" xfId="415"/>
    <xf borderId="12" fillId="6" fontId="41" numFmtId="166" pivotButton="0" quotePrefix="0" xfId="415"/>
    <xf borderId="12" fillId="6" fontId="41" numFmtId="173" pivotButton="0" quotePrefix="0" xfId="416"/>
    <xf borderId="12" fillId="6" fontId="41" numFmtId="171" pivotButton="0" quotePrefix="0" xfId="417"/>
    <xf borderId="12" fillId="6" fontId="41" numFmtId="173" pivotButton="0" quotePrefix="0" xfId="391"/>
    <xf borderId="12" fillId="6" fontId="41" numFmtId="173" pivotButton="0" quotePrefix="0" xfId="415"/>
    <xf borderId="0" fillId="0" fontId="37" numFmtId="165" pivotButton="0" quotePrefix="0" xfId="415"/>
    <xf borderId="0" fillId="0" fontId="20" numFmtId="172" pivotButton="0" quotePrefix="0" xfId="9"/>
    <xf borderId="0" fillId="0" fontId="20" numFmtId="166" pivotButton="0" quotePrefix="0" xfId="9"/>
    <xf borderId="0" fillId="0" fontId="20" numFmtId="173" pivotButton="0" quotePrefix="0" xfId="391"/>
    <xf applyAlignment="1" borderId="0" fillId="0" fontId="20" numFmtId="172" pivotButton="0" quotePrefix="0" xfId="9">
      <alignment horizontal="center"/>
    </xf>
    <xf applyAlignment="1" borderId="0" fillId="0" fontId="22" numFmtId="172" pivotButton="0" quotePrefix="0" xfId="9">
      <alignment horizontal="center"/>
    </xf>
    <xf applyAlignment="1" borderId="0" fillId="0" fontId="20" numFmtId="173" pivotButton="0" quotePrefix="0" xfId="391">
      <alignment horizontal="center"/>
    </xf>
    <xf borderId="0" fillId="0" fontId="22" numFmtId="172" pivotButton="0" quotePrefix="0" xfId="9"/>
    <xf applyAlignment="1" borderId="0" fillId="0" fontId="20" numFmtId="172" pivotButton="0" quotePrefix="0" xfId="9">
      <alignment vertical="center"/>
    </xf>
    <xf borderId="0" fillId="8" fontId="20" numFmtId="172" pivotButton="0" quotePrefix="0" xfId="9"/>
    <xf borderId="0" fillId="8" fontId="22" numFmtId="172" pivotButton="0" quotePrefix="0" xfId="9"/>
    <xf applyAlignment="1" borderId="0" fillId="8" fontId="20" numFmtId="172" pivotButton="0" quotePrefix="0" xfId="9">
      <alignment horizontal="center"/>
    </xf>
    <xf borderId="0" fillId="0" fontId="0" numFmtId="172" pivotButton="0" quotePrefix="0" xfId="9"/>
    <xf applyAlignment="1" borderId="0" fillId="0" fontId="12" numFmtId="172" pivotButton="0" quotePrefix="0" xfId="9">
      <alignment horizontal="center"/>
    </xf>
    <xf borderId="0" fillId="2" fontId="10" numFmtId="168" pivotButton="0" quotePrefix="0" xfId="0"/>
    <xf borderId="0" fillId="2" fontId="10" numFmtId="169" pivotButton="0" quotePrefix="0" xfId="0"/>
    <xf borderId="0" fillId="2" fontId="10" numFmtId="170" pivotButton="0" quotePrefix="0" xfId="0"/>
    <xf borderId="0" fillId="2" fontId="10" numFmtId="166" pivotButton="0" quotePrefix="0" xfId="9"/>
    <xf borderId="0" fillId="0" fontId="0" numFmtId="168" pivotButton="0" quotePrefix="0" xfId="0"/>
    <xf borderId="0" fillId="0" fontId="0" numFmtId="169" pivotButton="0" quotePrefix="0" xfId="0"/>
    <xf borderId="0" fillId="0" fontId="0" numFmtId="170" pivotButton="0" quotePrefix="0" xfId="0"/>
    <xf borderId="0" fillId="0" fontId="0" numFmtId="174" pivotButton="0" quotePrefix="0" xfId="0"/>
    <xf borderId="0" fillId="2" fontId="10" numFmtId="174" pivotButton="0" quotePrefix="0" xfId="0"/>
    <xf borderId="0" fillId="2" fontId="10" numFmtId="172" pivotButton="0" quotePrefix="0" xfId="9"/>
    <xf borderId="5" fillId="2" fontId="10" numFmtId="168" pivotButton="0" quotePrefix="0" xfId="0"/>
    <xf borderId="5" fillId="2" fontId="10" numFmtId="169" pivotButton="0" quotePrefix="0" xfId="0"/>
    <xf borderId="5" fillId="2" fontId="10" numFmtId="170" pivotButton="0" quotePrefix="0" xfId="0"/>
    <xf borderId="5" fillId="2" fontId="10" numFmtId="172" pivotButton="0" quotePrefix="0" xfId="9"/>
    <xf borderId="5" fillId="2" fontId="10" numFmtId="166" pivotButton="0" quotePrefix="0" xfId="9"/>
    <xf borderId="0" fillId="0" fontId="0" numFmtId="166" pivotButton="0" quotePrefix="0" xfId="9"/>
    <xf applyAlignment="1" borderId="0" fillId="0" fontId="0" numFmtId="168" pivotButton="0" quotePrefix="0" xfId="0">
      <alignment horizontal="left"/>
    </xf>
    <xf applyAlignment="1" borderId="0" fillId="0" fontId="0" numFmtId="169" pivotButton="0" quotePrefix="0" xfId="0">
      <alignment horizontal="left"/>
    </xf>
    <xf borderId="8" fillId="0" fontId="0" numFmtId="168" pivotButton="0" quotePrefix="0" xfId="0"/>
    <xf borderId="8" fillId="0" fontId="0" numFmtId="169" pivotButton="0" quotePrefix="0" xfId="0"/>
    <xf borderId="8" fillId="0" fontId="0" numFmtId="170" pivotButton="0" quotePrefix="0" xfId="0"/>
    <xf borderId="8" fillId="0" fontId="0" numFmtId="172" pivotButton="0" quotePrefix="0" xfId="9"/>
    <xf borderId="8" fillId="0" fontId="5" numFmtId="168" pivotButton="0" quotePrefix="0" xfId="0"/>
    <xf borderId="8" fillId="0" fontId="5" numFmtId="169" pivotButton="0" quotePrefix="0" xfId="0"/>
    <xf borderId="8" fillId="0" fontId="5" numFmtId="170" pivotButton="0" quotePrefix="0" xfId="0"/>
    <xf borderId="8" fillId="0" fontId="5" numFmtId="172" pivotButton="0" quotePrefix="0" xfId="9"/>
    <xf borderId="11" fillId="5" fontId="5" numFmtId="168" pivotButton="0" quotePrefix="0" xfId="0"/>
    <xf borderId="11" fillId="5" fontId="5" numFmtId="169" pivotButton="0" quotePrefix="0" xfId="0"/>
    <xf borderId="11" fillId="5" fontId="5" numFmtId="170" pivotButton="0" quotePrefix="0" xfId="0"/>
    <xf borderId="11" fillId="5" fontId="6" numFmtId="172" pivotButton="0" quotePrefix="0" xfId="9"/>
    <xf borderId="11" fillId="5" fontId="6" numFmtId="168" pivotButton="0" quotePrefix="0" xfId="0"/>
    <xf applyAlignment="1" borderId="0" fillId="0" fontId="10" numFmtId="168" pivotButton="0" quotePrefix="0" xfId="0">
      <alignment horizontal="center" vertical="center" wrapText="1"/>
    </xf>
    <xf applyAlignment="1" borderId="0" fillId="0" fontId="10" numFmtId="169" pivotButton="0" quotePrefix="0" xfId="0">
      <alignment horizontal="center" vertical="center" wrapText="1"/>
    </xf>
    <xf applyAlignment="1" borderId="0" fillId="0" fontId="10" numFmtId="170" pivotButton="0" quotePrefix="0" xfId="0">
      <alignment horizontal="center" vertical="center" wrapText="1"/>
    </xf>
    <xf borderId="0" fillId="2" fontId="0" numFmtId="172" pivotButton="0" quotePrefix="0" xfId="9"/>
    <xf borderId="0" fillId="2" fontId="0" numFmtId="168" pivotButton="0" quotePrefix="0" xfId="0"/>
    <xf borderId="0" fillId="2" fontId="0" numFmtId="169" pivotButton="0" quotePrefix="0" xfId="0"/>
    <xf borderId="0" fillId="2" fontId="0" numFmtId="170" pivotButton="0" quotePrefix="0" xfId="0"/>
    <xf borderId="0" fillId="2" fontId="0" numFmtId="171" pivotButton="0" quotePrefix="0" xfId="0"/>
    <xf borderId="4" fillId="2" fontId="0" numFmtId="172" pivotButton="0" quotePrefix="0" xfId="9"/>
    <xf borderId="4" fillId="2" fontId="0" numFmtId="168" pivotButton="0" quotePrefix="0" xfId="0"/>
    <xf borderId="4" fillId="2" fontId="0" numFmtId="169" pivotButton="0" quotePrefix="0" xfId="0"/>
    <xf borderId="4" fillId="2" fontId="0" numFmtId="170" pivotButton="0" quotePrefix="0" xfId="0"/>
    <xf borderId="4" fillId="2" fontId="0" numFmtId="171" pivotButton="0" quotePrefix="0" xfId="0"/>
    <xf borderId="5" fillId="2" fontId="0" numFmtId="168" pivotButton="0" quotePrefix="0" xfId="0"/>
    <xf borderId="0" fillId="2" fontId="32" numFmtId="168" pivotButton="0" quotePrefix="0" xfId="0"/>
    <xf borderId="4" fillId="2" fontId="32" numFmtId="168" pivotButton="0" quotePrefix="0" xfId="0"/>
    <xf borderId="0" fillId="2" fontId="31" numFmtId="168" pivotButton="0" quotePrefix="0" xfId="0"/>
    <xf borderId="4" fillId="2" fontId="31" numFmtId="168" pivotButton="0" quotePrefix="0" xfId="0"/>
    <xf borderId="4" fillId="2" fontId="44" numFmtId="168" pivotButton="0" quotePrefix="0" xfId="0"/>
    <xf borderId="0" fillId="2" fontId="44" numFmtId="168" pivotButton="0" quotePrefix="0" xfId="0"/>
    <xf borderId="4" fillId="2" fontId="43" numFmtId="168" pivotButton="0" quotePrefix="0" xfId="0"/>
    <xf borderId="0" fillId="2" fontId="43" numFmtId="168" pivotButton="0" quotePrefix="0" xfId="0"/>
    <xf borderId="4" fillId="4" fontId="0" numFmtId="172" pivotButton="0" quotePrefix="0" xfId="9"/>
    <xf borderId="4" fillId="4" fontId="0" numFmtId="168" pivotButton="0" quotePrefix="0" xfId="0"/>
    <xf borderId="0" fillId="4" fontId="0" numFmtId="172" pivotButton="0" quotePrefix="0" xfId="9"/>
    <xf borderId="0" fillId="4" fontId="0" numFmtId="168" pivotButton="0" quotePrefix="0" xfId="0"/>
    <xf borderId="0" fillId="4" fontId="0" numFmtId="170" pivotButton="0" quotePrefix="0" xfId="0"/>
    <xf borderId="4" fillId="4" fontId="0" numFmtId="170" pivotButton="0" quotePrefix="0" xfId="0"/>
    <xf borderId="0" fillId="2" fontId="0" numFmtId="172" pivotButton="0" quotePrefix="0" xfId="0"/>
    <xf borderId="0" fillId="6" fontId="23" numFmtId="172" pivotButton="0" quotePrefix="0" xfId="9"/>
    <xf borderId="0" fillId="6" fontId="3" numFmtId="168" pivotButton="0" quotePrefix="0" xfId="9"/>
    <xf borderId="0" fillId="6" fontId="23" numFmtId="173" pivotButton="0" quotePrefix="0" xfId="391"/>
    <xf borderId="0" fillId="9" fontId="24" numFmtId="173" pivotButton="0" quotePrefix="0" xfId="0"/>
    <xf borderId="1" fillId="2" fontId="0" numFmtId="172" pivotButton="0" quotePrefix="0" xfId="0"/>
    <xf borderId="4" fillId="6" fontId="23" numFmtId="172" pivotButton="0" quotePrefix="0" xfId="9"/>
    <xf borderId="1" fillId="2" fontId="0" numFmtId="168" pivotButton="0" quotePrefix="0" xfId="0"/>
    <xf borderId="1" fillId="2" fontId="0" numFmtId="169" pivotButton="0" quotePrefix="0" xfId="0"/>
    <xf borderId="1" fillId="2" fontId="0" numFmtId="170" pivotButton="0" quotePrefix="0" xfId="0"/>
    <xf borderId="4" fillId="6" fontId="23" numFmtId="173" pivotButton="0" quotePrefix="0" xfId="391"/>
    <xf borderId="1" fillId="4" fontId="0" numFmtId="170" pivotButton="0" quotePrefix="0" xfId="0"/>
    <xf borderId="4" fillId="9" fontId="24" numFmtId="173" pivotButton="0" quotePrefix="0" xfId="0"/>
    <xf borderId="1" fillId="2" fontId="0" numFmtId="171" pivotButton="0" quotePrefix="0" xfId="0"/>
    <xf borderId="0" fillId="0" fontId="10" numFmtId="168" pivotButton="0" quotePrefix="0" xfId="0"/>
    <xf borderId="0" fillId="0" fontId="10" numFmtId="169" pivotButton="0" quotePrefix="0" xfId="0"/>
    <xf borderId="0" fillId="0" fontId="10" numFmtId="170" pivotButton="0" quotePrefix="0" xfId="0"/>
    <xf borderId="0" fillId="0" fontId="10" numFmtId="171" pivotButton="0" quotePrefix="0" xfId="0"/>
    <xf borderId="4" fillId="0" fontId="20" numFmtId="172" pivotButton="0" quotePrefix="0" xfId="9"/>
    <xf applyAlignment="1" borderId="4" fillId="0" fontId="22" numFmtId="172" pivotButton="0" quotePrefix="0" xfId="9">
      <alignment horizontal="center"/>
    </xf>
    <xf applyAlignment="1" borderId="4" fillId="0" fontId="20" numFmtId="172" pivotButton="0" quotePrefix="0" xfId="9">
      <alignment horizontal="center"/>
    </xf>
    <xf borderId="4" fillId="0" fontId="22" numFmtId="172" pivotButton="0" quotePrefix="0" xfId="9"/>
    <xf borderId="4" fillId="0" fontId="0" numFmtId="168" pivotButton="0" quotePrefix="0" xfId="0"/>
    <xf borderId="4" fillId="0" fontId="0" numFmtId="169" pivotButton="0" quotePrefix="0" xfId="0"/>
    <xf borderId="4" fillId="0" fontId="0" numFmtId="170" pivotButton="0" quotePrefix="0" xfId="0"/>
    <xf borderId="0" fillId="0" fontId="0" numFmtId="173" pivotButton="0" quotePrefix="0" xfId="391"/>
    <xf borderId="0" fillId="0" fontId="0" numFmtId="177" pivotButton="0" quotePrefix="0" xfId="0"/>
    <xf borderId="0" fillId="0" fontId="5" numFmtId="168" pivotButton="0" quotePrefix="0" xfId="0"/>
    <xf borderId="0" fillId="0" fontId="5" numFmtId="169" pivotButton="0" quotePrefix="0" xfId="0"/>
    <xf borderId="0" fillId="0" fontId="5" numFmtId="170" pivotButton="0" quotePrefix="0" xfId="0"/>
    <xf applyAlignment="1" borderId="0" fillId="0" fontId="10" numFmtId="170" pivotButton="0" quotePrefix="0" xfId="0">
      <alignment horizontal="center"/>
    </xf>
    <xf borderId="0" fillId="2" fontId="0" numFmtId="166" pivotButton="0" quotePrefix="0" xfId="9"/>
    <xf borderId="4" fillId="2" fontId="0" numFmtId="166" pivotButton="0" quotePrefix="0" xfId="9"/>
    <xf borderId="0" fillId="6" fontId="0" numFmtId="168" pivotButton="0" quotePrefix="0" xfId="0"/>
    <xf borderId="4" fillId="6" fontId="0" numFmtId="168" pivotButton="0" quotePrefix="0" xfId="0"/>
    <xf borderId="13" fillId="0" fontId="0" numFmtId="168" pivotButton="0" quotePrefix="0" xfId="0"/>
    <xf borderId="13" fillId="0" fontId="0" numFmtId="169" pivotButton="0" quotePrefix="0" xfId="0"/>
    <xf borderId="13" fillId="0" fontId="0" numFmtId="170" pivotButton="0" quotePrefix="0" xfId="0"/>
    <xf applyAlignment="1" borderId="4" fillId="0" fontId="10" numFmtId="170" pivotButton="0" quotePrefix="0" xfId="0">
      <alignment horizontal="center"/>
    </xf>
    <xf borderId="0" fillId="0" fontId="31" numFmtId="172" pivotButton="0" quotePrefix="0" xfId="9"/>
    <xf borderId="0" fillId="0" fontId="31" numFmtId="166" pivotButton="0" quotePrefix="0" xfId="9"/>
    <xf borderId="0" fillId="0" fontId="31" numFmtId="173" pivotButton="0" quotePrefix="0" xfId="391"/>
    <xf applyAlignment="1" borderId="0" fillId="0" fontId="28" numFmtId="164" pivotButton="0" quotePrefix="0" xfId="0">
      <alignment horizontal="center" readingOrder="1" wrapText="1"/>
    </xf>
    <xf applyAlignment="1" borderId="0" fillId="0" fontId="29" numFmtId="164" pivotButton="0" quotePrefix="0" xfId="0">
      <alignment horizontal="center" readingOrder="1" vertical="center" wrapText="1"/>
    </xf>
    <xf applyAlignment="1" borderId="0" fillId="0" fontId="30" numFmtId="164" pivotButton="0" quotePrefix="0" xfId="0">
      <alignment horizontal="center" readingOrder="1" vertical="center" wrapText="1"/>
    </xf>
    <xf borderId="0" fillId="0" fontId="0" numFmtId="173" pivotButton="0" quotePrefix="0" xfId="0"/>
    <xf borderId="0" fillId="0" fontId="0" numFmtId="175" pivotButton="0" quotePrefix="0" xfId="9"/>
    <xf borderId="0" fillId="0" fontId="0" numFmtId="176" pivotButton="0" quotePrefix="0" xfId="0"/>
  </cellXfs>
  <cellStyles count="18">
    <cellStyle builtinId="0" name="Normal" xfId="0"/>
    <cellStyle builtinId="8" hidden="1" name="Hyperlink" xfId="1"/>
    <cellStyle builtinId="9" hidden="1" name="Followed Hyperlink" xfId="2"/>
    <cellStyle builtinId="4" name="Currency" xfId="3"/>
    <cellStyle builtinId="5" name="Percent" xfId="4"/>
    <cellStyle builtinId="3" name="Comma" xfId="5"/>
    <cellStyle name="Normal 2" xfId="6"/>
    <cellStyle name="Percent 2" xfId="7"/>
    <cellStyle name="Currency 2" xfId="8"/>
    <cellStyle name="Comma 2" xfId="9"/>
    <cellStyle name="Normal 3" xfId="10"/>
    <cellStyle name="Percent 3" xfId="11"/>
    <cellStyle name="Currency 3" xfId="12"/>
    <cellStyle name="Comma 3" xfId="13"/>
    <cellStyle name="Normal 4" xfId="14"/>
    <cellStyle name="Currency 4" xfId="15"/>
    <cellStyle name="Comma 4" xfId="16"/>
    <cellStyle name="Percent 4" xfId="17"/>
  </cellStyles>
  <dxfs count="3768"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  <dxf>
      <font>
        <color rgb="FF980000"/>
      </font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  <dxf>
      <font>
        <color rgb="FF980000"/>
      </font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  <dxf>
      <font>
        <color rgb="FF980000"/>
      </font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  <dxf>
      <font>
        <color rgb="FF980000"/>
      </font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  <diagon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tabColor theme="8"/>
    <outlinePr summaryBelow="1" summaryRight="1"/>
    <pageSetUpPr/>
  </sheetPr>
  <dimension ref="A1:AH1000"/>
  <sheetViews>
    <sheetView workbookViewId="0">
      <selection activeCell="B20" sqref="B20"/>
    </sheetView>
  </sheetViews>
  <sheetFormatPr baseColWidth="8" defaultColWidth="13.5" defaultRowHeight="15.75" outlineLevelCol="1"/>
  <cols>
    <col customWidth="1" max="1" min="1" style="452" width="32.875"/>
    <col bestFit="1" customWidth="1" max="2" min="2" style="452" width="14"/>
    <col customWidth="1" hidden="1" max="3" min="3" outlineLevel="1" style="452" width="13"/>
    <col bestFit="1" collapsed="1" customWidth="1" max="4" min="4" style="452" width="8.5"/>
    <col bestFit="1" customWidth="1" max="5" min="5" style="452" width="12"/>
    <col customWidth="1" hidden="1" max="6" min="6" outlineLevel="1" style="452" width="11.375"/>
    <col bestFit="1" collapsed="1" customWidth="1" max="7" min="7" style="452" width="8.5"/>
    <col customWidth="1" max="8" min="8" style="452" width="9"/>
    <col customWidth="1" hidden="1" max="9" min="9" outlineLevel="1" style="452" width="9"/>
    <col bestFit="1" collapsed="1" customWidth="1" max="10" min="10" style="452" width="8.5"/>
    <col bestFit="1" customWidth="1" max="11" min="11" style="452" width="10.625"/>
    <col customWidth="1" hidden="1" max="12" min="12" outlineLevel="1" style="452" width="10.125"/>
    <col bestFit="1" collapsed="1" customWidth="1" max="13" min="13" style="452" width="8.5"/>
    <col bestFit="1" customWidth="1" max="14" min="14" style="452" width="9.5"/>
    <col customWidth="1" hidden="1" max="15" min="15" outlineLevel="1" style="452" width="10.375"/>
    <col collapsed="1" customWidth="1" max="16" min="16" style="452" width="8.375"/>
    <col customWidth="1" max="17" min="17" style="452" width="8.375"/>
    <col customWidth="1" hidden="1" max="18" min="18" outlineLevel="1" style="452" width="8.375"/>
    <col collapsed="1" customWidth="1" max="19" min="19" style="452" width="8.375"/>
    <col bestFit="1" customWidth="1" max="20" min="20" style="452" width="10.125"/>
    <col customWidth="1" hidden="1" max="21" min="21" outlineLevel="1" style="452" width="12"/>
    <col bestFit="1" collapsed="1" customWidth="1" max="22" min="22" style="452" width="8.5"/>
    <col customWidth="1" max="23" min="23" style="452" width="8.5"/>
    <col customWidth="1" hidden="1" max="24" min="24" outlineLevel="1" style="452" width="8.125"/>
    <col bestFit="1" collapsed="1" customWidth="1" max="25" min="25" style="452" width="8.5"/>
    <col bestFit="1" customWidth="1" max="26" min="26" style="452" width="10.625"/>
    <col customWidth="1" hidden="1" max="27" min="27" outlineLevel="1" style="452" width="10.125"/>
    <col bestFit="1" collapsed="1" customWidth="1" max="28" min="28" style="452" width="8.5"/>
    <col bestFit="1" customWidth="1" max="29" min="29" style="452" width="14"/>
    <col customWidth="1" hidden="1" max="30" min="30" outlineLevel="1" style="452" width="13.125"/>
    <col bestFit="1" collapsed="1" customWidth="1" max="31" min="31" style="452" width="8.5"/>
    <col customWidth="1" max="32" min="32" style="452" width="9.125"/>
    <col customWidth="1" hidden="1" max="33" min="33" outlineLevel="1" style="452" width="10.5"/>
    <col bestFit="1" collapsed="1" customWidth="1" max="34" min="34" style="452" width="8.5"/>
    <col customWidth="1" max="48" min="35" style="452" width="10.5"/>
  </cols>
  <sheetData>
    <row customHeight="1" ht="26.25" r="1" s="452" spans="1:34">
      <c r="A1" s="455" t="s">
        <v>0</v>
      </c>
    </row>
    <row customHeight="1" ht="18.75" r="2" s="452" spans="1:34">
      <c r="A2" s="1" t="n">
        <v>2016</v>
      </c>
      <c r="B2" s="1" t="s">
        <v>1</v>
      </c>
      <c r="C2" s="1" t="s">
        <v>2</v>
      </c>
      <c r="D2" s="163" t="s">
        <v>3</v>
      </c>
      <c r="E2" s="1" t="s">
        <v>4</v>
      </c>
      <c r="F2" s="1" t="s">
        <v>5</v>
      </c>
      <c r="G2" s="163" t="s">
        <v>3</v>
      </c>
      <c r="H2" s="1" t="s">
        <v>6</v>
      </c>
      <c r="I2" s="1" t="s">
        <v>7</v>
      </c>
      <c r="J2" s="163" t="s">
        <v>3</v>
      </c>
      <c r="K2" s="1" t="s">
        <v>8</v>
      </c>
      <c r="L2" s="1" t="s">
        <v>9</v>
      </c>
      <c r="M2" s="163" t="s">
        <v>3</v>
      </c>
      <c r="N2" s="1" t="s">
        <v>10</v>
      </c>
      <c r="O2" s="1" t="s">
        <v>11</v>
      </c>
      <c r="P2" s="163" t="s">
        <v>3</v>
      </c>
      <c r="Q2" s="1" t="s">
        <v>12</v>
      </c>
      <c r="R2" s="1" t="s">
        <v>13</v>
      </c>
      <c r="S2" s="163" t="s">
        <v>3</v>
      </c>
      <c r="T2" s="162" t="s">
        <v>14</v>
      </c>
      <c r="U2" s="162" t="s">
        <v>15</v>
      </c>
      <c r="V2" s="163" t="s">
        <v>3</v>
      </c>
      <c r="W2" s="1" t="s">
        <v>16</v>
      </c>
      <c r="X2" s="1" t="s">
        <v>17</v>
      </c>
      <c r="Y2" s="163" t="s">
        <v>3</v>
      </c>
      <c r="Z2" s="1" t="s">
        <v>18</v>
      </c>
      <c r="AA2" s="1" t="s">
        <v>19</v>
      </c>
      <c r="AB2" s="163" t="s">
        <v>3</v>
      </c>
      <c r="AC2" s="1" t="s">
        <v>20</v>
      </c>
      <c r="AD2" s="1" t="s">
        <v>21</v>
      </c>
      <c r="AE2" s="163" t="s">
        <v>3</v>
      </c>
      <c r="AF2" s="1" t="s">
        <v>22</v>
      </c>
      <c r="AG2" s="1" t="s">
        <v>23</v>
      </c>
      <c r="AH2" s="163" t="s">
        <v>3</v>
      </c>
    </row>
    <row customHeight="1" ht="18.75" r="3" s="452" spans="1:34">
      <c r="A3" s="182" t="s">
        <v>24</v>
      </c>
      <c r="B3" s="458">
        <f>B4+B5</f>
        <v/>
      </c>
      <c r="C3" s="458">
        <f>C4+C5</f>
        <v/>
      </c>
      <c r="D3" s="93">
        <f>(B3-C3)/C3</f>
        <v/>
      </c>
      <c r="E3" s="458">
        <f>E4+E5</f>
        <v/>
      </c>
      <c r="F3" s="458">
        <f>F4+F5</f>
        <v/>
      </c>
      <c r="G3" s="93">
        <f>(E3-F3)/F3</f>
        <v/>
      </c>
      <c r="H3" s="459">
        <f>B3/E3</f>
        <v/>
      </c>
      <c r="I3" s="459">
        <f>C3/F3</f>
        <v/>
      </c>
      <c r="J3" s="93">
        <f>(H3-I3)/I3</f>
        <v/>
      </c>
      <c r="K3" s="460">
        <f>K4+K5</f>
        <v/>
      </c>
      <c r="L3" s="460">
        <f>L4+L5</f>
        <v/>
      </c>
      <c r="M3" s="93">
        <f>(K3-L3)/L3</f>
        <v/>
      </c>
      <c r="N3" s="460">
        <f>N4+N5</f>
        <v/>
      </c>
      <c r="O3" s="460">
        <f>O4+O5</f>
        <v/>
      </c>
      <c r="P3" s="93">
        <f>(N3-O3)/O3</f>
        <v/>
      </c>
      <c r="Q3" s="461">
        <f>N3/K3</f>
        <v/>
      </c>
      <c r="R3" s="461">
        <f>O3/L3</f>
        <v/>
      </c>
      <c r="S3" s="93">
        <f>(Q3-R3)/R3</f>
        <v/>
      </c>
      <c r="T3" s="462">
        <f>E3/N3</f>
        <v/>
      </c>
      <c r="U3" s="462">
        <f>F3/O3</f>
        <v/>
      </c>
      <c r="V3" s="93">
        <f>(T3-U3)/U3</f>
        <v/>
      </c>
      <c r="W3" s="458">
        <f>B3/N3</f>
        <v/>
      </c>
      <c r="X3" s="458">
        <f>C3/O3</f>
        <v/>
      </c>
      <c r="Y3" s="93">
        <f>(W3-X3)/X3</f>
        <v/>
      </c>
      <c r="Z3" s="460">
        <f>Z4+Z5</f>
        <v/>
      </c>
      <c r="AA3" s="460">
        <f>AA4+AA5</f>
        <v/>
      </c>
      <c r="AB3" s="93">
        <f>(Z3-AA3)/AA3</f>
        <v/>
      </c>
      <c r="AC3" s="460">
        <f>AC4+AC5</f>
        <v/>
      </c>
      <c r="AD3" s="460">
        <f>AD4+AD5</f>
        <v/>
      </c>
      <c r="AE3" s="93">
        <f>(AC3-AD3)/AD3</f>
        <v/>
      </c>
      <c r="AF3" s="463">
        <f>Z3/AC3</f>
        <v/>
      </c>
      <c r="AG3" s="463">
        <f>AA3/AD3</f>
        <v/>
      </c>
      <c r="AH3" s="93">
        <f>(AF3-AG3)/AG3</f>
        <v/>
      </c>
    </row>
    <row customHeight="1" ht="18.75" r="4" s="452" spans="1:34">
      <c r="A4" s="7" t="s">
        <v>25</v>
      </c>
      <c r="B4" s="464">
        <f>Search!E211</f>
        <v/>
      </c>
      <c r="C4" s="464">
        <f>Search!F211</f>
        <v/>
      </c>
      <c r="D4" s="94">
        <f>(B4-C4)/C4</f>
        <v/>
      </c>
      <c r="E4" s="464">
        <f>Search!I211</f>
        <v/>
      </c>
      <c r="F4" s="464">
        <f>Search!J211</f>
        <v/>
      </c>
      <c r="G4" s="94">
        <f>(E4-F4)/F4</f>
        <v/>
      </c>
      <c r="H4" s="465">
        <f>B4/E4</f>
        <v/>
      </c>
      <c r="I4" s="465">
        <f>C4/F4</f>
        <v/>
      </c>
      <c r="J4" s="94">
        <f>(H4-I4)/I4</f>
        <v/>
      </c>
      <c r="K4" s="466">
        <f>Search!Q211</f>
        <v/>
      </c>
      <c r="L4" s="466">
        <f>Search!R211</f>
        <v/>
      </c>
      <c r="M4" s="94">
        <f>(K4-L4)/L4</f>
        <v/>
      </c>
      <c r="N4" s="466">
        <f>Search!U211</f>
        <v/>
      </c>
      <c r="O4" s="466">
        <f>Search!V211</f>
        <v/>
      </c>
      <c r="P4" s="94">
        <f>(N4-O4)/O4</f>
        <v/>
      </c>
      <c r="Q4" s="467">
        <f>N4/K4</f>
        <v/>
      </c>
      <c r="R4" s="467">
        <f>O4/L4</f>
        <v/>
      </c>
      <c r="S4" s="94">
        <f>(Q4-R4)/R4</f>
        <v/>
      </c>
      <c r="T4" s="468">
        <f>E4/N4</f>
        <v/>
      </c>
      <c r="U4" s="468">
        <f>F4/O4</f>
        <v/>
      </c>
      <c r="V4" s="94">
        <f>(T4-U4)/U4</f>
        <v/>
      </c>
      <c r="W4" s="469">
        <f>B4/N4</f>
        <v/>
      </c>
      <c r="X4" s="469">
        <f>C4/O4</f>
        <v/>
      </c>
      <c r="Y4" s="94">
        <f>(W4-X4)/X4</f>
        <v/>
      </c>
      <c r="Z4" s="466">
        <f>Search!AG211</f>
        <v/>
      </c>
      <c r="AA4" s="466">
        <f>Search!AH211</f>
        <v/>
      </c>
      <c r="AB4" s="94">
        <f>(Z4-AA4)/AA4</f>
        <v/>
      </c>
      <c r="AC4" s="466">
        <f>Search!AK211</f>
        <v/>
      </c>
      <c r="AD4" s="466">
        <f>Search!AL211</f>
        <v/>
      </c>
      <c r="AE4" s="94">
        <f>(AC4-AD4)/AD4</f>
        <v/>
      </c>
      <c r="AF4" s="470">
        <f>Z4/AC4</f>
        <v/>
      </c>
      <c r="AG4" s="470">
        <f>AA4/AD4</f>
        <v/>
      </c>
      <c r="AH4" s="94">
        <f>(AF4-AG4)/AG4</f>
        <v/>
      </c>
    </row>
    <row customHeight="1" ht="18.75" r="5" s="452" spans="1:34">
      <c r="A5" s="7" t="s">
        <v>26</v>
      </c>
      <c r="B5" s="464">
        <f>Search!E212</f>
        <v/>
      </c>
      <c r="C5" s="464">
        <f>Search!F212</f>
        <v/>
      </c>
      <c r="D5" s="94">
        <f>(B5-C5)/C5</f>
        <v/>
      </c>
      <c r="E5" s="464">
        <f>Search!I212</f>
        <v/>
      </c>
      <c r="F5" s="464">
        <f>Search!J212</f>
        <v/>
      </c>
      <c r="G5" s="94">
        <f>(E5-F5)/F5</f>
        <v/>
      </c>
      <c r="H5" s="465">
        <f>B5/E5</f>
        <v/>
      </c>
      <c r="I5" s="465">
        <f>C5/F5</f>
        <v/>
      </c>
      <c r="J5" s="94">
        <f>(H5-I5)/I5</f>
        <v/>
      </c>
      <c r="K5" s="466">
        <f>Search!Q212</f>
        <v/>
      </c>
      <c r="L5" s="466">
        <f>Search!R212</f>
        <v/>
      </c>
      <c r="M5" s="94">
        <f>(K5-L5)/L5</f>
        <v/>
      </c>
      <c r="N5" s="466">
        <f>Search!U212</f>
        <v/>
      </c>
      <c r="O5" s="466">
        <f>Search!V212</f>
        <v/>
      </c>
      <c r="P5" s="94">
        <f>(N5-O5)/O5</f>
        <v/>
      </c>
      <c r="Q5" s="467">
        <f>N5/K5</f>
        <v/>
      </c>
      <c r="R5" s="467">
        <f>O5/L5</f>
        <v/>
      </c>
      <c r="S5" s="94">
        <f>(Q5-R5)/R5</f>
        <v/>
      </c>
      <c r="T5" s="468">
        <f>E5/N5</f>
        <v/>
      </c>
      <c r="U5" s="468">
        <f>F5/O5</f>
        <v/>
      </c>
      <c r="V5" s="94">
        <f>(T5-U5)/U5</f>
        <v/>
      </c>
      <c r="W5" s="469">
        <f>B5/N5</f>
        <v/>
      </c>
      <c r="X5" s="469">
        <f>C5/O5</f>
        <v/>
      </c>
      <c r="Y5" s="94">
        <f>(W5-X5)/X5</f>
        <v/>
      </c>
      <c r="Z5" s="466">
        <f>Search!AG212</f>
        <v/>
      </c>
      <c r="AA5" s="466">
        <f>Search!AH212</f>
        <v/>
      </c>
      <c r="AB5" s="94">
        <f>(Z5-AA5)/AA5</f>
        <v/>
      </c>
      <c r="AC5" s="466">
        <f>Search!AK212</f>
        <v/>
      </c>
      <c r="AD5" s="466">
        <f>Search!AL212</f>
        <v/>
      </c>
      <c r="AE5" s="94">
        <f>(AC5-AD5)/AD5</f>
        <v/>
      </c>
      <c r="AF5" s="470">
        <f>Z5/AC5</f>
        <v/>
      </c>
      <c r="AG5" s="470">
        <f>AA5/AD5</f>
        <v/>
      </c>
      <c r="AH5" s="94">
        <f>(AF5-AG5)/AG5</f>
        <v/>
      </c>
    </row>
    <row customHeight="1" ht="18.75" r="6" s="452" spans="1:34">
      <c r="A6" s="182" t="s">
        <v>27</v>
      </c>
      <c r="B6" s="458">
        <f>Affiliate!D54</f>
        <v/>
      </c>
      <c r="C6" s="458">
        <f>Affiliate!E54</f>
        <v/>
      </c>
      <c r="D6" s="93">
        <f>(B6-C6)/C6</f>
        <v/>
      </c>
      <c r="E6" s="458">
        <f>Affiliate!L54</f>
        <v/>
      </c>
      <c r="F6" s="458">
        <f>Affiliate!M54</f>
        <v/>
      </c>
      <c r="G6" s="93">
        <f>(E6-F6)/F6</f>
        <v/>
      </c>
      <c r="H6" s="459">
        <f>B6/E6</f>
        <v/>
      </c>
      <c r="I6" s="459">
        <f>C6/F6</f>
        <v/>
      </c>
      <c r="J6" s="93">
        <f>(H6-I6)/I6</f>
        <v/>
      </c>
      <c r="K6" s="460">
        <f>Affiliate!AF54</f>
        <v/>
      </c>
      <c r="L6" s="460">
        <f>Affiliate!AG54</f>
        <v/>
      </c>
      <c r="M6" s="93">
        <f>(K6-L6)/L6</f>
        <v/>
      </c>
      <c r="N6" s="460">
        <f>Affiliate!AJ54</f>
        <v/>
      </c>
      <c r="O6" s="460">
        <f>Affiliate!AK54</f>
        <v/>
      </c>
      <c r="P6" s="93">
        <f>(N6-O6)/O6</f>
        <v/>
      </c>
      <c r="Q6" s="461">
        <f>N6/K6</f>
        <v/>
      </c>
      <c r="R6" s="461">
        <f>O6/L6</f>
        <v/>
      </c>
      <c r="S6" s="93">
        <f>(Q6-R6)/R6</f>
        <v/>
      </c>
      <c r="T6" s="462">
        <f>E6/N6</f>
        <v/>
      </c>
      <c r="U6" s="462">
        <f>F6/O6</f>
        <v/>
      </c>
      <c r="V6" s="93">
        <f>(T6-U6)/U6</f>
        <v/>
      </c>
      <c r="W6" s="458">
        <f>B6/N6</f>
        <v/>
      </c>
      <c r="X6" s="458">
        <f>C6/O6</f>
        <v/>
      </c>
      <c r="Y6" s="93">
        <f>(W6-X6)/X6</f>
        <v/>
      </c>
      <c r="Z6" s="460" t="n">
        <v>0</v>
      </c>
      <c r="AA6" s="460" t="n">
        <v>0</v>
      </c>
      <c r="AB6" s="93">
        <f>(Z6-AA6)/AA6</f>
        <v/>
      </c>
      <c r="AC6" s="460" t="n">
        <v>0</v>
      </c>
      <c r="AD6" s="460" t="n">
        <v>0</v>
      </c>
      <c r="AE6" s="93">
        <f>(AC6-AD6)/AD6</f>
        <v/>
      </c>
      <c r="AF6" s="463" t="n"/>
      <c r="AG6" s="463" t="n"/>
      <c r="AH6" s="93">
        <f>(AF6-AG6)/AG6</f>
        <v/>
      </c>
    </row>
    <row customHeight="1" ht="18.75" r="7" s="452" spans="1:34">
      <c r="A7" s="182" t="s">
        <v>28</v>
      </c>
      <c r="B7" s="458">
        <f>'Social - Promos'!E323</f>
        <v/>
      </c>
      <c r="C7" s="458">
        <f>'Social - Promos'!F323</f>
        <v/>
      </c>
      <c r="D7" s="93">
        <f>(B7-C7)/C7</f>
        <v/>
      </c>
      <c r="E7" s="458">
        <f>'Social - Promos'!H323</f>
        <v/>
      </c>
      <c r="F7" s="458">
        <f>'Social - Promos'!I323</f>
        <v/>
      </c>
      <c r="G7" s="93">
        <f>(E7-F7)/F7</f>
        <v/>
      </c>
      <c r="H7" s="459">
        <f>B7/E7</f>
        <v/>
      </c>
      <c r="I7" s="459">
        <f>C7/F7</f>
        <v/>
      </c>
      <c r="J7" s="93">
        <f>(H7-I7)/I7</f>
        <v/>
      </c>
      <c r="K7" s="460">
        <f>'Social - Promos'!T323</f>
        <v/>
      </c>
      <c r="L7" s="460">
        <f>'Social - Promos'!U323</f>
        <v/>
      </c>
      <c r="M7" s="93">
        <f>(K7-L7)/L7</f>
        <v/>
      </c>
      <c r="N7" s="460">
        <f>'Social - Promos'!W323</f>
        <v/>
      </c>
      <c r="O7" s="460">
        <f>'Social - Promos'!X323</f>
        <v/>
      </c>
      <c r="P7" s="93">
        <f>(N7-O7)/O7</f>
        <v/>
      </c>
      <c r="Q7" s="461">
        <f>N7/K7</f>
        <v/>
      </c>
      <c r="R7" s="461">
        <f>O7/L7</f>
        <v/>
      </c>
      <c r="S7" s="93">
        <f>(Q7-R7)/R7</f>
        <v/>
      </c>
      <c r="T7" s="462">
        <f>E7/N7</f>
        <v/>
      </c>
      <c r="U7" s="462">
        <f>F7/O7</f>
        <v/>
      </c>
      <c r="V7" s="93">
        <f>(T7-U7)/U7</f>
        <v/>
      </c>
      <c r="W7" s="458">
        <f>B7/N7</f>
        <v/>
      </c>
      <c r="X7" s="458">
        <f>C7/O7</f>
        <v/>
      </c>
      <c r="Y7" s="93">
        <f>(W7-X7)/X7</f>
        <v/>
      </c>
      <c r="Z7" s="460">
        <f>'Social - Promos'!AF323</f>
        <v/>
      </c>
      <c r="AA7" s="460">
        <f>'Social - Promos'!AG323</f>
        <v/>
      </c>
      <c r="AB7" s="93">
        <f>(Z7-AA7)/AA7</f>
        <v/>
      </c>
      <c r="AC7" s="460">
        <f>'Social - Promos'!AI323</f>
        <v/>
      </c>
      <c r="AD7" s="460">
        <f>'Social - Promos'!AJ323</f>
        <v/>
      </c>
      <c r="AE7" s="93">
        <f>(AC7-AD7)/AD7</f>
        <v/>
      </c>
      <c r="AF7" s="463">
        <f>Z7/AC7</f>
        <v/>
      </c>
      <c r="AG7" s="463">
        <f>AA7/AD7</f>
        <v/>
      </c>
      <c r="AH7" s="93">
        <f>(AF7-AG7)/AG7</f>
        <v/>
      </c>
    </row>
    <row customHeight="1" ht="18.75" r="8" s="452" spans="1:34">
      <c r="A8" s="13" t="s">
        <v>29</v>
      </c>
      <c r="B8" s="471">
        <f>'Display - Promos'!E210</f>
        <v/>
      </c>
      <c r="C8" s="471">
        <f>'Display - Promos'!F210</f>
        <v/>
      </c>
      <c r="D8" s="95">
        <f>(B8-C8)/C8</f>
        <v/>
      </c>
      <c r="E8" s="471">
        <f>'Display - Promos'!H210</f>
        <v/>
      </c>
      <c r="F8" s="471">
        <f>'Display - Promos'!I210</f>
        <v/>
      </c>
      <c r="G8" s="95">
        <f>(E8-F8)/F8</f>
        <v/>
      </c>
      <c r="H8" s="472">
        <f>B8/E8</f>
        <v/>
      </c>
      <c r="I8" s="472">
        <f>C8/F8</f>
        <v/>
      </c>
      <c r="J8" s="95">
        <f>(H8-I8)/I8</f>
        <v/>
      </c>
      <c r="K8" s="473">
        <f>'Display - Promos'!N210</f>
        <v/>
      </c>
      <c r="L8" s="473">
        <f>'Display - Promos'!O210</f>
        <v/>
      </c>
      <c r="M8" s="95">
        <f>(K8-L8)/L8</f>
        <v/>
      </c>
      <c r="N8" s="473">
        <f>'Display - Promos'!Q210</f>
        <v/>
      </c>
      <c r="O8" s="473">
        <f>'Display - Promos'!R210</f>
        <v/>
      </c>
      <c r="P8" s="95">
        <f>(N8-O8)/O8</f>
        <v/>
      </c>
      <c r="Q8" s="474">
        <f>N8/K8</f>
        <v/>
      </c>
      <c r="R8" s="474">
        <f>O8/L8</f>
        <v/>
      </c>
      <c r="S8" s="95">
        <f>(Q8-R8)/R8</f>
        <v/>
      </c>
      <c r="T8" s="475">
        <f>E8/N8</f>
        <v/>
      </c>
      <c r="U8" s="475">
        <f>F8/O8</f>
        <v/>
      </c>
      <c r="V8" s="95">
        <f>(T8-U8)/U8</f>
        <v/>
      </c>
      <c r="W8" s="471">
        <f>B8/N8</f>
        <v/>
      </c>
      <c r="X8" s="471">
        <f>C8/O8</f>
        <v/>
      </c>
      <c r="Y8" s="95">
        <f>(W8-X8)/X8</f>
        <v/>
      </c>
      <c r="Z8" s="473">
        <f>'Display - Promos'!W210</f>
        <v/>
      </c>
      <c r="AA8" s="473">
        <f>'Display - Promos'!X210</f>
        <v/>
      </c>
      <c r="AB8" s="95">
        <f>(Z8-AA8)/AA8</f>
        <v/>
      </c>
      <c r="AC8" s="473">
        <f>'Display - Promos'!Z210</f>
        <v/>
      </c>
      <c r="AD8" s="473">
        <f>'Display - Promos'!AA210</f>
        <v/>
      </c>
      <c r="AE8" s="95">
        <f>(AC8-AD8)/AD8</f>
        <v/>
      </c>
      <c r="AF8" s="476">
        <f>Z8/AC8</f>
        <v/>
      </c>
      <c r="AG8" s="476">
        <f>AA8/AD8</f>
        <v/>
      </c>
      <c r="AH8" s="95">
        <f>(AF8-AG8)/AG8</f>
        <v/>
      </c>
    </row>
    <row customHeight="1" ht="18.75" r="9" s="452" spans="1:34">
      <c r="A9" s="18" t="s">
        <v>30</v>
      </c>
      <c r="B9" s="477">
        <f>SUM(B3,B6:B8)</f>
        <v/>
      </c>
      <c r="C9" s="477">
        <f>SUM(C3,C6:C8)</f>
        <v/>
      </c>
      <c r="D9" s="92">
        <f>(B9-C9)/C9</f>
        <v/>
      </c>
      <c r="E9" s="477">
        <f>SUM(E3,E6:E8)</f>
        <v/>
      </c>
      <c r="F9" s="477">
        <f>SUM(F3,F6:F8)</f>
        <v/>
      </c>
      <c r="G9" s="92">
        <f>(E9-F9)/F9</f>
        <v/>
      </c>
      <c r="H9" s="478">
        <f>B9/E9</f>
        <v/>
      </c>
      <c r="I9" s="478">
        <f>C9/F9</f>
        <v/>
      </c>
      <c r="J9" s="92">
        <f>(H9-I9)/I9</f>
        <v/>
      </c>
      <c r="K9" s="479">
        <f>SUM(K3,K6:K8)</f>
        <v/>
      </c>
      <c r="L9" s="479">
        <f>SUM(L3,L6:L8)</f>
        <v/>
      </c>
      <c r="M9" s="92">
        <f>(K9-L9)/L9</f>
        <v/>
      </c>
      <c r="N9" s="479">
        <f>SUM(N3,N6:N8)</f>
        <v/>
      </c>
      <c r="O9" s="479">
        <f>SUM(O3,O6:O8)</f>
        <v/>
      </c>
      <c r="P9" s="92">
        <f>(N9-O9)/O9</f>
        <v/>
      </c>
      <c r="Q9" s="480">
        <f>N9/K9</f>
        <v/>
      </c>
      <c r="R9" s="480">
        <f>O9/L9</f>
        <v/>
      </c>
      <c r="S9" s="92">
        <f>(Q9-R9)/R9</f>
        <v/>
      </c>
      <c r="T9" s="481">
        <f>E9/N9</f>
        <v/>
      </c>
      <c r="U9" s="481">
        <f>F9/O9</f>
        <v/>
      </c>
      <c r="V9" s="92">
        <f>(T9-U9)/U9</f>
        <v/>
      </c>
      <c r="W9" s="477">
        <f>B9/N9</f>
        <v/>
      </c>
      <c r="X9" s="477">
        <f>C9/O9</f>
        <v/>
      </c>
      <c r="Y9" s="92">
        <f>(W9-X9)/X9</f>
        <v/>
      </c>
      <c r="Z9" s="479">
        <f>SUM(Z3,Z6:Z8)</f>
        <v/>
      </c>
      <c r="AA9" s="479">
        <f>SUM(AA3,AA6:AA8)</f>
        <v/>
      </c>
      <c r="AB9" s="92">
        <f>(Z9-AA9)/AA9</f>
        <v/>
      </c>
      <c r="AC9" s="479">
        <f>SUM(AC3,AC6:AC8)</f>
        <v/>
      </c>
      <c r="AD9" s="479">
        <f>SUM(AD3,AD6:AD8)</f>
        <v/>
      </c>
      <c r="AE9" s="92">
        <f>(AC9-AD9)/AD9</f>
        <v/>
      </c>
      <c r="AF9" s="482">
        <f>Z9/AC9</f>
        <v/>
      </c>
      <c r="AG9" s="482">
        <f>AA9/AD9</f>
        <v/>
      </c>
      <c r="AH9" s="92">
        <f>(AF9-AG9)/AG9</f>
        <v/>
      </c>
    </row>
    <row r="10" spans="1:34"/>
    <row r="11" spans="1:34"/>
    <row r="12" spans="1:34"/>
    <row r="13" spans="1:34"/>
    <row r="14" spans="1:34"/>
    <row r="15" spans="1:34"/>
    <row r="16" spans="1:34"/>
    <row r="17" spans="1:34"/>
    <row r="18" spans="1:34"/>
    <row r="19" spans="1:34"/>
    <row r="20" spans="1:34"/>
    <row r="21" spans="1:34"/>
    <row r="22" spans="1:34"/>
    <row r="23" spans="1:34"/>
    <row r="24" spans="1:34"/>
    <row r="25" spans="1:34"/>
    <row r="26" spans="1:34"/>
    <row r="27" spans="1:34"/>
    <row r="28" spans="1:34"/>
    <row r="29" spans="1:34"/>
    <row r="30" spans="1:34"/>
    <row r="31" spans="1:34"/>
    <row r="32" spans="1:34"/>
    <row r="33" spans="1:34"/>
    <row r="34" spans="1:34"/>
    <row r="35" spans="1:34"/>
    <row r="36" spans="1:34"/>
    <row r="37" spans="1:34"/>
    <row r="38" spans="1:34"/>
    <row r="39" spans="1:34"/>
    <row r="40" spans="1:34"/>
    <row r="41" spans="1:34"/>
    <row r="42" spans="1:34"/>
    <row r="43" spans="1:34"/>
    <row r="44" spans="1:34"/>
    <row r="45" spans="1:34"/>
    <row r="46" spans="1:34"/>
    <row r="47" spans="1:34"/>
    <row r="48" spans="1:34"/>
    <row r="49" spans="1:34"/>
    <row r="50" spans="1:34"/>
    <row r="51" spans="1:34"/>
    <row r="52" spans="1:34"/>
    <row r="53" spans="1:34"/>
    <row r="54" spans="1:34"/>
    <row r="55" spans="1:34"/>
    <row r="56" spans="1:34"/>
    <row r="57" spans="1:34"/>
    <row r="58" spans="1:34"/>
    <row r="59" spans="1:34"/>
    <row r="60" spans="1:34"/>
    <row r="61" spans="1:34"/>
    <row r="62" spans="1:34"/>
    <row r="63" spans="1:34"/>
    <row r="64" spans="1:34"/>
    <row r="65" spans="1:34"/>
    <row r="66" spans="1:34"/>
    <row r="67" spans="1:34"/>
    <row r="68" spans="1:34"/>
    <row r="69" spans="1:34"/>
    <row r="70" spans="1:34"/>
    <row r="71" spans="1:34"/>
    <row r="72" spans="1:34"/>
    <row r="73" spans="1:34"/>
    <row r="74" spans="1:34"/>
    <row r="75" spans="1:34"/>
    <row r="76" spans="1:34"/>
    <row r="77" spans="1:34"/>
    <row r="78" spans="1:34"/>
    <row r="79" spans="1:34"/>
    <row r="80" spans="1:34"/>
    <row r="81" spans="1:34"/>
    <row r="82" spans="1:34"/>
    <row r="83" spans="1:34"/>
    <row r="84" spans="1:34"/>
    <row r="85" spans="1:34"/>
    <row r="86" spans="1:34"/>
    <row r="87" spans="1:34"/>
    <row r="88" spans="1:34"/>
    <row r="89" spans="1:34"/>
    <row r="90" spans="1:34"/>
    <row r="91" spans="1:34"/>
    <row r="92" spans="1:34"/>
    <row r="93" spans="1:34"/>
    <row r="94" spans="1:34"/>
    <row r="95" spans="1:34"/>
    <row r="96" spans="1:34"/>
    <row r="97" spans="1:34"/>
    <row r="98" spans="1:34"/>
    <row r="99" spans="1:34"/>
    <row r="100" spans="1:34"/>
    <row r="101" spans="1:34"/>
    <row r="102" spans="1:34"/>
    <row r="103" spans="1:34"/>
    <row r="104" spans="1:34"/>
    <row r="105" spans="1:34"/>
    <row r="106" spans="1:34"/>
    <row r="107" spans="1:34"/>
    <row r="108" spans="1:34"/>
    <row r="109" spans="1:34"/>
    <row r="110" spans="1:34"/>
    <row r="111" spans="1:34"/>
    <row r="112" spans="1:34"/>
    <row r="113" spans="1:34"/>
    <row r="114" spans="1:34"/>
    <row r="115" spans="1:34"/>
    <row r="116" spans="1:34"/>
    <row r="117" spans="1:34"/>
    <row r="118" spans="1:34"/>
    <row r="119" spans="1:34"/>
    <row r="120" spans="1:34"/>
    <row r="121" spans="1:34"/>
    <row r="122" spans="1:34"/>
    <row r="123" spans="1:34"/>
    <row r="124" spans="1:34"/>
    <row r="125" spans="1:34"/>
    <row r="126" spans="1:34"/>
    <row r="127" spans="1:34"/>
    <row r="128" spans="1:34"/>
    <row r="129" spans="1:34"/>
    <row r="130" spans="1:34"/>
    <row r="131" spans="1:34"/>
    <row r="132" spans="1:34"/>
    <row r="133" spans="1:34"/>
    <row r="134" spans="1:34"/>
    <row r="135" spans="1:34"/>
    <row r="136" spans="1:34"/>
    <row r="137" spans="1:34"/>
    <row r="138" spans="1:34"/>
    <row r="139" spans="1:34"/>
    <row r="140" spans="1:34"/>
    <row r="141" spans="1:34"/>
    <row r="142" spans="1:34"/>
    <row r="143" spans="1:34"/>
    <row r="144" spans="1:34"/>
    <row r="145" spans="1:34"/>
    <row r="146" spans="1:34"/>
    <row r="147" spans="1:34"/>
    <row r="148" spans="1:34"/>
    <row r="149" spans="1:34"/>
    <row r="150" spans="1:34"/>
    <row r="151" spans="1:34"/>
    <row r="152" spans="1:34"/>
    <row r="153" spans="1:34"/>
    <row r="154" spans="1:34"/>
    <row r="155" spans="1:34"/>
    <row r="156" spans="1:34"/>
    <row r="157" spans="1:34"/>
    <row r="158" spans="1:34"/>
    <row r="159" spans="1:34"/>
    <row r="160" spans="1:34"/>
    <row r="161" spans="1:34"/>
    <row r="162" spans="1:34"/>
    <row r="163" spans="1:34"/>
    <row r="164" spans="1:34"/>
    <row r="165" spans="1:34"/>
    <row r="166" spans="1:34"/>
    <row r="167" spans="1:34"/>
    <row r="168" spans="1:34"/>
    <row r="169" spans="1:34"/>
    <row r="170" spans="1:34"/>
    <row r="171" spans="1:34"/>
    <row r="172" spans="1:34"/>
    <row r="173" spans="1:34"/>
    <row r="174" spans="1:34"/>
    <row r="175" spans="1:34"/>
    <row r="176" spans="1:34"/>
    <row r="177" spans="1:34"/>
    <row r="178" spans="1:34"/>
    <row r="179" spans="1:34"/>
    <row r="180" spans="1:34"/>
    <row r="181" spans="1:34"/>
    <row r="182" spans="1:34"/>
    <row r="183" spans="1:34"/>
    <row r="184" spans="1:34"/>
    <row r="185" spans="1:34"/>
    <row r="186" spans="1:34"/>
    <row r="187" spans="1:34"/>
    <row r="188" spans="1:34"/>
    <row r="189" spans="1:34"/>
    <row r="190" spans="1:34"/>
    <row r="191" spans="1:34"/>
    <row r="192" spans="1:34"/>
    <row r="193" spans="1:34"/>
    <row r="194" spans="1:34"/>
    <row r="195" spans="1:34"/>
    <row r="196" spans="1:34"/>
    <row r="197" spans="1:34"/>
    <row r="198" spans="1:34"/>
    <row r="199" spans="1:34"/>
    <row r="200" spans="1:34"/>
    <row r="201" spans="1:34"/>
    <row r="202" spans="1:34"/>
    <row r="203" spans="1:34"/>
    <row r="204" spans="1:34"/>
    <row r="205" spans="1:34"/>
    <row r="206" spans="1:34"/>
    <row r="207" spans="1:34"/>
    <row r="208" spans="1:34"/>
    <row r="209" spans="1:34"/>
    <row r="210" spans="1:34"/>
    <row r="211" spans="1:34"/>
    <row r="212" spans="1:34"/>
    <row r="213" spans="1:34"/>
    <row r="214" spans="1:34"/>
    <row r="215" spans="1:34"/>
    <row r="216" spans="1:34"/>
    <row r="217" spans="1:34"/>
    <row r="218" spans="1:34"/>
    <row r="219" spans="1:34"/>
    <row r="220" spans="1:34"/>
    <row r="221" spans="1:34"/>
    <row r="222" spans="1:34"/>
    <row r="223" spans="1:34"/>
    <row r="224" spans="1:34"/>
    <row r="225" spans="1:34"/>
    <row r="226" spans="1:34"/>
    <row r="227" spans="1:34"/>
    <row r="228" spans="1:34"/>
    <row r="229" spans="1:34"/>
    <row r="230" spans="1:34"/>
    <row r="231" spans="1:34"/>
    <row r="232" spans="1:34"/>
    <row r="233" spans="1:34"/>
    <row r="234" spans="1:34"/>
    <row r="235" spans="1:34"/>
    <row r="236" spans="1:34"/>
    <row r="237" spans="1:34"/>
    <row r="238" spans="1:34"/>
    <row r="239" spans="1:34"/>
    <row r="240" spans="1:34"/>
    <row r="241" spans="1:34"/>
    <row r="242" spans="1:34"/>
    <row r="243" spans="1:34"/>
    <row r="244" spans="1:34"/>
    <row r="245" spans="1:34"/>
    <row r="246" spans="1:34"/>
    <row r="247" spans="1:34"/>
    <row r="248" spans="1:34"/>
    <row r="249" spans="1:34"/>
    <row r="250" spans="1:34"/>
    <row r="251" spans="1:34"/>
    <row r="252" spans="1:34"/>
    <row r="253" spans="1:34"/>
    <row r="254" spans="1:34"/>
    <row r="255" spans="1:34"/>
    <row r="256" spans="1:34"/>
    <row r="257" spans="1:34"/>
    <row r="258" spans="1:34"/>
    <row r="259" spans="1:34"/>
    <row r="260" spans="1:34"/>
    <row r="261" spans="1:34"/>
    <row r="262" spans="1:34"/>
    <row r="263" spans="1:34"/>
    <row r="264" spans="1:34"/>
    <row r="265" spans="1:34"/>
    <row r="266" spans="1:34"/>
    <row r="267" spans="1:34"/>
    <row r="268" spans="1:34"/>
    <row r="269" spans="1:34"/>
    <row r="270" spans="1:34"/>
    <row r="271" spans="1:34"/>
    <row r="272" spans="1:34"/>
    <row r="273" spans="1:34"/>
    <row r="274" spans="1:34"/>
    <row r="275" spans="1:34"/>
    <row r="276" spans="1:34"/>
    <row r="277" spans="1:34"/>
    <row r="278" spans="1:34"/>
    <row r="279" spans="1:34"/>
    <row r="280" spans="1:34"/>
    <row r="281" spans="1:34"/>
    <row r="282" spans="1:34"/>
    <row r="283" spans="1:34"/>
    <row r="284" spans="1:34"/>
    <row r="285" spans="1:34"/>
    <row r="286" spans="1:34"/>
    <row r="287" spans="1:34"/>
    <row r="288" spans="1:34"/>
    <row r="289" spans="1:34"/>
    <row r="290" spans="1:34"/>
    <row r="291" spans="1:34"/>
    <row r="292" spans="1:34"/>
    <row r="293" spans="1:34"/>
    <row r="294" spans="1:34"/>
    <row r="295" spans="1:34"/>
    <row r="296" spans="1:34"/>
    <row r="297" spans="1:34"/>
    <row r="298" spans="1:34"/>
    <row r="299" spans="1:34"/>
    <row r="300" spans="1:34"/>
    <row r="301" spans="1:34"/>
    <row r="302" spans="1:34"/>
    <row r="303" spans="1:34"/>
    <row r="304" spans="1:34"/>
    <row r="305" spans="1:34"/>
    <row r="306" spans="1:34"/>
    <row r="307" spans="1:34"/>
    <row r="308" spans="1:34"/>
    <row r="309" spans="1:34"/>
    <row r="310" spans="1:34"/>
    <row r="311" spans="1:34"/>
    <row r="312" spans="1:34"/>
    <row r="313" spans="1:34"/>
    <row r="314" spans="1:34"/>
    <row r="315" spans="1:34"/>
    <row r="316" spans="1:34"/>
    <row r="317" spans="1:34"/>
    <row r="318" spans="1:34"/>
    <row r="319" spans="1:34"/>
    <row r="320" spans="1:34"/>
    <row r="321" spans="1:34"/>
    <row r="322" spans="1:34"/>
    <row r="323" spans="1:34"/>
    <row r="324" spans="1:34"/>
    <row r="325" spans="1:34"/>
    <row r="326" spans="1:34"/>
    <row r="327" spans="1:34"/>
    <row r="328" spans="1:34"/>
    <row r="329" spans="1:34"/>
    <row r="330" spans="1:34"/>
    <row r="331" spans="1:34"/>
    <row r="332" spans="1:34"/>
    <row r="333" spans="1:34"/>
    <row r="334" spans="1:34"/>
    <row r="335" spans="1:34"/>
    <row r="336" spans="1:34"/>
    <row r="337" spans="1:34"/>
    <row r="338" spans="1:34"/>
    <row r="339" spans="1:34"/>
    <row r="340" spans="1:34"/>
    <row r="341" spans="1:34"/>
    <row r="342" spans="1:34"/>
    <row r="343" spans="1:34"/>
    <row r="344" spans="1:34"/>
    <row r="345" spans="1:34"/>
    <row r="346" spans="1:34"/>
    <row r="347" spans="1:34"/>
    <row r="348" spans="1:34"/>
    <row r="349" spans="1:34"/>
    <row r="350" spans="1:34"/>
    <row r="351" spans="1:34"/>
    <row r="352" spans="1:34"/>
    <row r="353" spans="1:34"/>
    <row r="354" spans="1:34"/>
    <row r="355" spans="1:34"/>
    <row r="356" spans="1:34"/>
    <row r="357" spans="1:34"/>
    <row r="358" spans="1:34"/>
    <row r="359" spans="1:34"/>
    <row r="360" spans="1:34"/>
    <row r="361" spans="1:34"/>
    <row r="362" spans="1:34"/>
    <row r="363" spans="1:34"/>
    <row r="364" spans="1:34"/>
    <row r="365" spans="1:34"/>
    <row r="366" spans="1:34"/>
    <row r="367" spans="1:34"/>
    <row r="368" spans="1:34"/>
    <row r="369" spans="1:34"/>
    <row r="370" spans="1:34"/>
    <row r="371" spans="1:34"/>
    <row r="372" spans="1:34"/>
    <row r="373" spans="1:34"/>
    <row r="374" spans="1:34"/>
    <row r="375" spans="1:34"/>
    <row r="376" spans="1:34"/>
    <row r="377" spans="1:34"/>
    <row r="378" spans="1:34"/>
    <row r="379" spans="1:34"/>
    <row r="380" spans="1:34"/>
    <row r="381" spans="1:34"/>
    <row r="382" spans="1:34"/>
    <row r="383" spans="1:34"/>
    <row r="384" spans="1:34"/>
    <row r="385" spans="1:34"/>
    <row r="386" spans="1:34"/>
    <row r="387" spans="1:34"/>
    <row r="388" spans="1:34"/>
    <row r="389" spans="1:34"/>
    <row r="390" spans="1:34"/>
    <row r="391" spans="1:34"/>
    <row r="392" spans="1:34"/>
    <row r="393" spans="1:34"/>
    <row r="394" spans="1:34"/>
    <row r="395" spans="1:34"/>
    <row r="396" spans="1:34"/>
    <row r="397" spans="1:34"/>
    <row r="398" spans="1:34"/>
    <row r="399" spans="1:34"/>
    <row r="400" spans="1:34"/>
    <row r="401" spans="1:34"/>
    <row r="402" spans="1:34"/>
    <row r="403" spans="1:34"/>
    <row r="404" spans="1:34"/>
    <row r="405" spans="1:34"/>
    <row r="406" spans="1:34"/>
    <row r="407" spans="1:34"/>
    <row r="408" spans="1:34"/>
    <row r="409" spans="1:34"/>
    <row r="410" spans="1:34"/>
    <row r="411" spans="1:34"/>
    <row r="412" spans="1:34"/>
    <row r="413" spans="1:34"/>
    <row r="414" spans="1:34"/>
    <row r="415" spans="1:34"/>
    <row r="416" spans="1:34"/>
    <row r="417" spans="1:34"/>
    <row r="418" spans="1:34"/>
    <row r="419" spans="1:34"/>
    <row r="420" spans="1:34"/>
    <row r="421" spans="1:34"/>
    <row r="422" spans="1:34"/>
    <row r="423" spans="1:34"/>
    <row r="424" spans="1:34"/>
    <row r="425" spans="1:34"/>
    <row r="426" spans="1:34"/>
    <row r="427" spans="1:34"/>
    <row r="428" spans="1:34"/>
    <row r="429" spans="1:34"/>
    <row r="430" spans="1:34"/>
    <row r="431" spans="1:34"/>
    <row r="432" spans="1:34"/>
    <row r="433" spans="1:34"/>
    <row r="434" spans="1:34"/>
    <row r="435" spans="1:34"/>
    <row r="436" spans="1:34"/>
    <row r="437" spans="1:34"/>
    <row r="438" spans="1:34"/>
    <row r="439" spans="1:34"/>
    <row r="440" spans="1:34"/>
    <row r="441" spans="1:34"/>
    <row r="442" spans="1:34"/>
    <row r="443" spans="1:34"/>
    <row r="444" spans="1:34"/>
    <row r="445" spans="1:34"/>
    <row r="446" spans="1:34"/>
    <row r="447" spans="1:34"/>
    <row r="448" spans="1:34"/>
    <row r="449" spans="1:34"/>
    <row r="450" spans="1:34"/>
    <row r="451" spans="1:34"/>
    <row r="452" spans="1:34"/>
    <row r="453" spans="1:34"/>
    <row r="454" spans="1:34"/>
    <row r="455" spans="1:34"/>
    <row r="456" spans="1:34"/>
    <row r="457" spans="1:34"/>
    <row r="458" spans="1:34"/>
    <row r="459" spans="1:34"/>
    <row r="460" spans="1:34"/>
    <row r="461" spans="1:34"/>
    <row r="462" spans="1:34"/>
    <row r="463" spans="1:34"/>
    <row r="464" spans="1:34"/>
    <row r="465" spans="1:34"/>
    <row r="466" spans="1:34"/>
    <row r="467" spans="1:34"/>
    <row r="468" spans="1:34"/>
    <row r="469" spans="1:34"/>
    <row r="470" spans="1:34"/>
    <row r="471" spans="1:34"/>
    <row r="472" spans="1:34"/>
    <row r="473" spans="1:34"/>
    <row r="474" spans="1:34"/>
    <row r="475" spans="1:34"/>
    <row r="476" spans="1:34"/>
    <row r="477" spans="1:34"/>
    <row r="478" spans="1:34"/>
    <row r="479" spans="1:34"/>
    <row r="480" spans="1:34"/>
    <row r="481" spans="1:34"/>
    <row r="482" spans="1:34"/>
    <row r="483" spans="1:34"/>
    <row r="484" spans="1:34"/>
    <row r="485" spans="1:34"/>
    <row r="486" spans="1:34"/>
    <row r="487" spans="1:34"/>
    <row r="488" spans="1:34"/>
    <row r="489" spans="1:34"/>
    <row r="490" spans="1:34"/>
    <row r="491" spans="1:34"/>
    <row r="492" spans="1:34"/>
    <row r="493" spans="1:34"/>
    <row r="494" spans="1:34"/>
    <row r="495" spans="1:34"/>
    <row r="496" spans="1:34"/>
    <row r="497" spans="1:34"/>
    <row r="498" spans="1:34"/>
    <row r="499" spans="1:34"/>
    <row r="500" spans="1:34"/>
    <row r="501" spans="1:34"/>
    <row r="502" spans="1:34"/>
    <row r="503" spans="1:34"/>
    <row r="504" spans="1:34"/>
    <row r="505" spans="1:34"/>
    <row r="506" spans="1:34"/>
    <row r="507" spans="1:34"/>
    <row r="508" spans="1:34"/>
    <row r="509" spans="1:34"/>
    <row r="510" spans="1:34"/>
    <row r="511" spans="1:34"/>
    <row r="512" spans="1:34"/>
    <row r="513" spans="1:34"/>
    <row r="514" spans="1:34"/>
    <row r="515" spans="1:34"/>
    <row r="516" spans="1:34"/>
    <row r="517" spans="1:34"/>
    <row r="518" spans="1:34"/>
    <row r="519" spans="1:34"/>
    <row r="520" spans="1:34"/>
    <row r="521" spans="1:34"/>
    <row r="522" spans="1:34"/>
    <row r="523" spans="1:34"/>
    <row r="524" spans="1:34"/>
    <row r="525" spans="1:34"/>
    <row r="526" spans="1:34"/>
    <row r="527" spans="1:34"/>
    <row r="528" spans="1:34"/>
    <row r="529" spans="1:34"/>
    <row r="530" spans="1:34"/>
    <row r="531" spans="1:34"/>
    <row r="532" spans="1:34"/>
    <row r="533" spans="1:34"/>
    <row r="534" spans="1:34"/>
    <row r="535" spans="1:34"/>
    <row r="536" spans="1:34"/>
    <row r="537" spans="1:34"/>
    <row r="538" spans="1:34"/>
    <row r="539" spans="1:34"/>
    <row r="540" spans="1:34"/>
    <row r="541" spans="1:34"/>
    <row r="542" spans="1:34"/>
    <row r="543" spans="1:34"/>
    <row r="544" spans="1:34"/>
    <row r="545" spans="1:34"/>
    <row r="546" spans="1:34"/>
    <row r="547" spans="1:34"/>
    <row r="548" spans="1:34"/>
    <row r="549" spans="1:34"/>
    <row r="550" spans="1:34"/>
    <row r="551" spans="1:34"/>
    <row r="552" spans="1:34"/>
    <row r="553" spans="1:34"/>
    <row r="554" spans="1:34"/>
    <row r="555" spans="1:34"/>
    <row r="556" spans="1:34"/>
    <row r="557" spans="1:34"/>
    <row r="558" spans="1:34"/>
    <row r="559" spans="1:34"/>
    <row r="560" spans="1:34"/>
    <row r="561" spans="1:34"/>
    <row r="562" spans="1:34"/>
    <row r="563" spans="1:34"/>
    <row r="564" spans="1:34"/>
    <row r="565" spans="1:34"/>
    <row r="566" spans="1:34"/>
    <row r="567" spans="1:34"/>
    <row r="568" spans="1:34"/>
    <row r="569" spans="1:34"/>
    <row r="570" spans="1:34"/>
    <row r="571" spans="1:34"/>
    <row r="572" spans="1:34"/>
    <row r="573" spans="1:34"/>
    <row r="574" spans="1:34"/>
    <row r="575" spans="1:34"/>
    <row r="576" spans="1:34"/>
    <row r="577" spans="1:34"/>
    <row r="578" spans="1:34"/>
    <row r="579" spans="1:34"/>
    <row r="580" spans="1:34"/>
    <row r="581" spans="1:34"/>
    <row r="582" spans="1:34"/>
    <row r="583" spans="1:34"/>
    <row r="584" spans="1:34"/>
    <row r="585" spans="1:34"/>
    <row r="586" spans="1:34"/>
    <row r="587" spans="1:34"/>
    <row r="588" spans="1:34"/>
    <row r="589" spans="1:34"/>
    <row r="590" spans="1:34"/>
    <row r="591" spans="1:34"/>
    <row r="592" spans="1:34"/>
    <row r="593" spans="1:34"/>
    <row r="594" spans="1:34"/>
    <row r="595" spans="1:34"/>
    <row r="596" spans="1:34"/>
    <row r="597" spans="1:34"/>
    <row r="598" spans="1:34"/>
    <row r="599" spans="1:34"/>
    <row r="600" spans="1:34"/>
    <row r="601" spans="1:34"/>
    <row r="602" spans="1:34"/>
    <row r="603" spans="1:34"/>
    <row r="604" spans="1:34"/>
    <row r="605" spans="1:34"/>
    <row r="606" spans="1:34"/>
    <row r="607" spans="1:34"/>
    <row r="608" spans="1:34"/>
    <row r="609" spans="1:34"/>
    <row r="610" spans="1:34"/>
    <row r="611" spans="1:34"/>
    <row r="612" spans="1:34"/>
    <row r="613" spans="1:34"/>
    <row r="614" spans="1:34"/>
    <row r="615" spans="1:34"/>
    <row r="616" spans="1:34"/>
    <row r="617" spans="1:34"/>
    <row r="618" spans="1:34"/>
    <row r="619" spans="1:34"/>
    <row r="620" spans="1:34"/>
    <row r="621" spans="1:34"/>
    <row r="622" spans="1:34"/>
    <row r="623" spans="1:34"/>
    <row r="624" spans="1:34"/>
    <row r="625" spans="1:34"/>
    <row r="626" spans="1:34"/>
    <row r="627" spans="1:34"/>
    <row r="628" spans="1:34"/>
    <row r="629" spans="1:34"/>
    <row r="630" spans="1:34"/>
    <row r="631" spans="1:34"/>
    <row r="632" spans="1:34"/>
    <row r="633" spans="1:34"/>
    <row r="634" spans="1:34"/>
    <row r="635" spans="1:34"/>
    <row r="636" spans="1:34"/>
    <row r="637" spans="1:34"/>
    <row r="638" spans="1:34"/>
    <row r="639" spans="1:34"/>
    <row r="640" spans="1:34"/>
    <row r="641" spans="1:34"/>
    <row r="642" spans="1:34"/>
    <row r="643" spans="1:34"/>
    <row r="644" spans="1:34"/>
    <row r="645" spans="1:34"/>
    <row r="646" spans="1:34"/>
    <row r="647" spans="1:34"/>
    <row r="648" spans="1:34"/>
    <row r="649" spans="1:34"/>
    <row r="650" spans="1:34"/>
    <row r="651" spans="1:34"/>
    <row r="652" spans="1:34"/>
    <row r="653" spans="1:34"/>
    <row r="654" spans="1:34"/>
    <row r="655" spans="1:34"/>
    <row r="656" spans="1:34"/>
    <row r="657" spans="1:34"/>
    <row r="658" spans="1:34"/>
    <row r="659" spans="1:34"/>
    <row r="660" spans="1:34"/>
    <row r="661" spans="1:34"/>
    <row r="662" spans="1:34"/>
    <row r="663" spans="1:34"/>
    <row r="664" spans="1:34"/>
    <row r="665" spans="1:34"/>
    <row r="666" spans="1:34"/>
    <row r="667" spans="1:34"/>
    <row r="668" spans="1:34"/>
    <row r="669" spans="1:34"/>
    <row r="670" spans="1:34"/>
    <row r="671" spans="1:34"/>
    <row r="672" spans="1:34"/>
    <row r="673" spans="1:34"/>
    <row r="674" spans="1:34"/>
    <row r="675" spans="1:34"/>
    <row r="676" spans="1:34"/>
    <row r="677" spans="1:34"/>
    <row r="678" spans="1:34"/>
    <row r="679" spans="1:34"/>
    <row r="680" spans="1:34"/>
    <row r="681" spans="1:34"/>
    <row r="682" spans="1:34"/>
    <row r="683" spans="1:34"/>
    <row r="684" spans="1:34"/>
    <row r="685" spans="1:34"/>
    <row r="686" spans="1:34"/>
    <row r="687" spans="1:34"/>
    <row r="688" spans="1:34"/>
    <row r="689" spans="1:34"/>
    <row r="690" spans="1:34"/>
    <row r="691" spans="1:34"/>
    <row r="692" spans="1:34"/>
    <row r="693" spans="1:34"/>
    <row r="694" spans="1:34"/>
    <row r="695" spans="1:34"/>
    <row r="696" spans="1:34"/>
    <row r="697" spans="1:34"/>
    <row r="698" spans="1:34"/>
    <row r="699" spans="1:34"/>
    <row r="700" spans="1:34"/>
    <row r="701" spans="1:34"/>
    <row r="702" spans="1:34"/>
    <row r="703" spans="1:34"/>
    <row r="704" spans="1:34"/>
    <row r="705" spans="1:34"/>
    <row r="706" spans="1:34"/>
    <row r="707" spans="1:34"/>
    <row r="708" spans="1:34"/>
    <row r="709" spans="1:34"/>
    <row r="710" spans="1:34"/>
    <row r="711" spans="1:34"/>
    <row r="712" spans="1:34"/>
    <row r="713" spans="1:34"/>
    <row r="714" spans="1:34"/>
    <row r="715" spans="1:34"/>
    <row r="716" spans="1:34"/>
    <row r="717" spans="1:34"/>
    <row r="718" spans="1:34"/>
    <row r="719" spans="1:34"/>
    <row r="720" spans="1:34"/>
    <row r="721" spans="1:34"/>
    <row r="722" spans="1:34"/>
    <row r="723" spans="1:34"/>
    <row r="724" spans="1:34"/>
    <row r="725" spans="1:34"/>
    <row r="726" spans="1:34"/>
    <row r="727" spans="1:34"/>
    <row r="728" spans="1:34"/>
    <row r="729" spans="1:34"/>
    <row r="730" spans="1:34"/>
    <row r="731" spans="1:34"/>
    <row r="732" spans="1:34"/>
    <row r="733" spans="1:34"/>
    <row r="734" spans="1:34"/>
    <row r="735" spans="1:34"/>
    <row r="736" spans="1:34"/>
    <row r="737" spans="1:34"/>
    <row r="738" spans="1:34"/>
    <row r="739" spans="1:34"/>
    <row r="740" spans="1:34"/>
    <row r="741" spans="1:34"/>
    <row r="742" spans="1:34"/>
    <row r="743" spans="1:34"/>
    <row r="744" spans="1:34"/>
    <row r="745" spans="1:34"/>
    <row r="746" spans="1:34"/>
    <row r="747" spans="1:34"/>
    <row r="748" spans="1:34"/>
    <row r="749" spans="1:34"/>
    <row r="750" spans="1:34"/>
    <row r="751" spans="1:34"/>
    <row r="752" spans="1:34"/>
    <row r="753" spans="1:34"/>
    <row r="754" spans="1:34"/>
    <row r="755" spans="1:34"/>
    <row r="756" spans="1:34"/>
    <row r="757" spans="1:34"/>
    <row r="758" spans="1:34"/>
    <row r="759" spans="1:34"/>
    <row r="760" spans="1:34"/>
    <row r="761" spans="1:34"/>
    <row r="762" spans="1:34"/>
    <row r="763" spans="1:34"/>
    <row r="764" spans="1:34"/>
    <row r="765" spans="1:34"/>
    <row r="766" spans="1:34"/>
    <row r="767" spans="1:34"/>
    <row r="768" spans="1:34"/>
    <row r="769" spans="1:34"/>
    <row r="770" spans="1:34"/>
    <row r="771" spans="1:34"/>
    <row r="772" spans="1:34"/>
    <row r="773" spans="1:34"/>
    <row r="774" spans="1:34"/>
    <row r="775" spans="1:34"/>
    <row r="776" spans="1:34"/>
    <row r="777" spans="1:34"/>
    <row r="778" spans="1:34"/>
    <row r="779" spans="1:34"/>
    <row r="780" spans="1:34"/>
    <row r="781" spans="1:34"/>
    <row r="782" spans="1:34"/>
    <row r="783" spans="1:34"/>
    <row r="784" spans="1:34"/>
    <row r="785" spans="1:34"/>
    <row r="786" spans="1:34"/>
    <row r="787" spans="1:34"/>
    <row r="788" spans="1:34"/>
    <row r="789" spans="1:34"/>
    <row r="790" spans="1:34"/>
    <row r="791" spans="1:34"/>
    <row r="792" spans="1:34"/>
    <row r="793" spans="1:34"/>
    <row r="794" spans="1:34"/>
    <row r="795" spans="1:34"/>
    <row r="796" spans="1:34"/>
    <row r="797" spans="1:34"/>
    <row r="798" spans="1:34"/>
    <row r="799" spans="1:34"/>
    <row r="800" spans="1:34"/>
    <row r="801" spans="1:34"/>
    <row r="802" spans="1:34"/>
    <row r="803" spans="1:34"/>
    <row r="804" spans="1:34"/>
    <row r="805" spans="1:34"/>
    <row r="806" spans="1:34"/>
    <row r="807" spans="1:34"/>
    <row r="808" spans="1:34"/>
    <row r="809" spans="1:34"/>
    <row r="810" spans="1:34"/>
    <row r="811" spans="1:34"/>
    <row r="812" spans="1:34"/>
    <row r="813" spans="1:34"/>
    <row r="814" spans="1:34"/>
    <row r="815" spans="1:34"/>
    <row r="816" spans="1:34"/>
    <row r="817" spans="1:34"/>
    <row r="818" spans="1:34"/>
    <row r="819" spans="1:34"/>
    <row r="820" spans="1:34"/>
    <row r="821" spans="1:34"/>
    <row r="822" spans="1:34"/>
    <row r="823" spans="1:34"/>
    <row r="824" spans="1:34"/>
    <row r="825" spans="1:34"/>
    <row r="826" spans="1:34"/>
    <row r="827" spans="1:34"/>
    <row r="828" spans="1:34"/>
    <row r="829" spans="1:34"/>
    <row r="830" spans="1:34"/>
    <row r="831" spans="1:34"/>
    <row r="832" spans="1:34"/>
    <row r="833" spans="1:34"/>
    <row r="834" spans="1:34"/>
    <row r="835" spans="1:34"/>
    <row r="836" spans="1:34"/>
    <row r="837" spans="1:34"/>
    <row r="838" spans="1:34"/>
    <row r="839" spans="1:34"/>
    <row r="840" spans="1:34"/>
    <row r="841" spans="1:34"/>
    <row r="842" spans="1:34"/>
    <row r="843" spans="1:34"/>
    <row r="844" spans="1:34"/>
    <row r="845" spans="1:34"/>
    <row r="846" spans="1:34"/>
    <row r="847" spans="1:34"/>
    <row r="848" spans="1:34"/>
    <row r="849" spans="1:34"/>
    <row r="850" spans="1:34"/>
    <row r="851" spans="1:34"/>
    <row r="852" spans="1:34"/>
    <row r="853" spans="1:34"/>
    <row r="854" spans="1:34"/>
    <row r="855" spans="1:34"/>
    <row r="856" spans="1:34"/>
    <row r="857" spans="1:34"/>
    <row r="858" spans="1:34"/>
    <row r="859" spans="1:34"/>
    <row r="860" spans="1:34"/>
    <row r="861" spans="1:34"/>
    <row r="862" spans="1:34"/>
    <row r="863" spans="1:34"/>
    <row r="864" spans="1:34"/>
    <row r="865" spans="1:34"/>
    <row r="866" spans="1:34"/>
    <row r="867" spans="1:34"/>
    <row r="868" spans="1:34"/>
    <row r="869" spans="1:34"/>
    <row r="870" spans="1:34"/>
    <row r="871" spans="1:34"/>
    <row r="872" spans="1:34"/>
    <row r="873" spans="1:34"/>
    <row r="874" spans="1:34"/>
    <row r="875" spans="1:34"/>
    <row r="876" spans="1:34"/>
    <row r="877" spans="1:34"/>
    <row r="878" spans="1:34"/>
    <row r="879" spans="1:34"/>
    <row r="880" spans="1:34"/>
    <row r="881" spans="1:34"/>
    <row r="882" spans="1:34"/>
    <row r="883" spans="1:34"/>
    <row r="884" spans="1:34"/>
    <row r="885" spans="1:34"/>
    <row r="886" spans="1:34"/>
    <row r="887" spans="1:34"/>
    <row r="888" spans="1:34"/>
    <row r="889" spans="1:34"/>
    <row r="890" spans="1:34"/>
    <row r="891" spans="1:34"/>
    <row r="892" spans="1:34"/>
    <row r="893" spans="1:34"/>
    <row r="894" spans="1:34"/>
    <row r="895" spans="1:34"/>
    <row r="896" spans="1:34"/>
    <row r="897" spans="1:34"/>
    <row r="898" spans="1:34"/>
    <row r="899" spans="1:34"/>
    <row r="900" spans="1:34"/>
    <row r="901" spans="1:34"/>
    <row r="902" spans="1:34"/>
    <row r="903" spans="1:34"/>
    <row r="904" spans="1:34"/>
    <row r="905" spans="1:34"/>
    <row r="906" spans="1:34"/>
    <row r="907" spans="1:34"/>
    <row r="908" spans="1:34"/>
    <row r="909" spans="1:34"/>
    <row r="910" spans="1:34"/>
    <row r="911" spans="1:34"/>
    <row r="912" spans="1:34"/>
    <row r="913" spans="1:34"/>
    <row r="914" spans="1:34"/>
    <row r="915" spans="1:34"/>
    <row r="916" spans="1:34"/>
    <row r="917" spans="1:34"/>
    <row r="918" spans="1:34"/>
    <row r="919" spans="1:34"/>
    <row r="920" spans="1:34"/>
    <row r="921" spans="1:34"/>
    <row r="922" spans="1:34"/>
    <row r="923" spans="1:34"/>
    <row r="924" spans="1:34"/>
    <row r="925" spans="1:34"/>
    <row r="926" spans="1:34"/>
    <row r="927" spans="1:34"/>
    <row r="928" spans="1:34"/>
    <row r="929" spans="1:34"/>
    <row r="930" spans="1:34"/>
    <row r="931" spans="1:34"/>
    <row r="932" spans="1:34"/>
    <row r="933" spans="1:34"/>
    <row r="934" spans="1:34"/>
    <row r="935" spans="1:34"/>
    <row r="936" spans="1:34"/>
    <row r="937" spans="1:34"/>
    <row r="938" spans="1:34"/>
    <row r="939" spans="1:34"/>
    <row r="940" spans="1:34"/>
    <row r="941" spans="1:34"/>
    <row r="942" spans="1:34"/>
    <row r="943" spans="1:34"/>
    <row r="944" spans="1:34"/>
    <row r="945" spans="1:34"/>
    <row r="946" spans="1:34"/>
    <row r="947" spans="1:34"/>
    <row r="948" spans="1:34"/>
    <row r="949" spans="1:34"/>
    <row r="950" spans="1:34"/>
    <row r="951" spans="1:34"/>
    <row r="952" spans="1:34"/>
    <row r="953" spans="1:34"/>
    <row r="954" spans="1:34"/>
    <row r="955" spans="1:34"/>
    <row r="956" spans="1:34"/>
    <row r="957" spans="1:34"/>
    <row r="958" spans="1:34"/>
    <row r="959" spans="1:34"/>
    <row r="960" spans="1:34"/>
    <row r="961" spans="1:34"/>
    <row r="962" spans="1:34"/>
    <row r="963" spans="1:34"/>
    <row r="964" spans="1:34"/>
    <row r="965" spans="1:34"/>
    <row r="966" spans="1:34"/>
    <row r="967" spans="1:34"/>
    <row r="968" spans="1:34"/>
    <row r="969" spans="1:34"/>
    <row r="970" spans="1:34"/>
    <row r="971" spans="1:34"/>
    <row r="972" spans="1:34"/>
    <row r="973" spans="1:34"/>
    <row r="974" spans="1:34"/>
    <row r="975" spans="1:34"/>
    <row r="976" spans="1:34"/>
    <row r="977" spans="1:34"/>
    <row r="978" spans="1:34"/>
    <row r="979" spans="1:34"/>
    <row r="980" spans="1:34"/>
    <row r="981" spans="1:34"/>
    <row r="982" spans="1:34"/>
    <row r="983" spans="1:34"/>
    <row r="984" spans="1:34"/>
    <row r="985" spans="1:34"/>
    <row r="986" spans="1:34"/>
    <row r="987" spans="1:34"/>
    <row r="988" spans="1:34"/>
    <row r="989" spans="1:34"/>
    <row r="990" spans="1:34"/>
    <row r="991" spans="1:34"/>
    <row r="992" spans="1:34"/>
    <row r="993" spans="1:34"/>
    <row r="994" spans="1:34"/>
    <row r="995" spans="1:34"/>
    <row r="996" spans="1:34"/>
    <row r="997" spans="1:34"/>
    <row r="998" spans="1:34"/>
    <row r="999" spans="1:34"/>
    <row r="1000" spans="1:34"/>
  </sheetData>
  <mergeCells count="1">
    <mergeCell ref="A1:AH1"/>
  </mergeCells>
  <conditionalFormatting sqref="D3:D9">
    <cfRule dxfId="663" operator="lessThan" priority="21" type="cellIs">
      <formula>0</formula>
    </cfRule>
    <cfRule dxfId="662" operator="greaterThanOrEqual" priority="22" type="cellIs">
      <formula>0</formula>
    </cfRule>
  </conditionalFormatting>
  <conditionalFormatting sqref="G3:G9">
    <cfRule dxfId="662" operator="lessThanOrEqual" priority="19" type="cellIs">
      <formula>0</formula>
    </cfRule>
    <cfRule dxfId="663" operator="greaterThan" priority="20" type="cellIs">
      <formula>0</formula>
    </cfRule>
  </conditionalFormatting>
  <conditionalFormatting sqref="J3:J9">
    <cfRule dxfId="663" operator="lessThan" priority="17" type="cellIs">
      <formula>0</formula>
    </cfRule>
    <cfRule dxfId="662" operator="greaterThanOrEqual" priority="18" type="cellIs">
      <formula>0</formula>
    </cfRule>
  </conditionalFormatting>
  <conditionalFormatting sqref="M3:M9">
    <cfRule dxfId="663" operator="lessThan" priority="15" type="cellIs">
      <formula>0</formula>
    </cfRule>
    <cfRule dxfId="662" operator="greaterThanOrEqual" priority="16" type="cellIs">
      <formula>0</formula>
    </cfRule>
  </conditionalFormatting>
  <conditionalFormatting sqref="P3:P9">
    <cfRule dxfId="663" operator="lessThan" priority="13" type="cellIs">
      <formula>0</formula>
    </cfRule>
    <cfRule dxfId="662" operator="greaterThanOrEqual" priority="14" type="cellIs">
      <formula>0</formula>
    </cfRule>
  </conditionalFormatting>
  <conditionalFormatting sqref="S3:S9">
    <cfRule dxfId="663" operator="lessThan" priority="11" type="cellIs">
      <formula>0</formula>
    </cfRule>
    <cfRule dxfId="662" operator="greaterThanOrEqual" priority="12" type="cellIs">
      <formula>0</formula>
    </cfRule>
  </conditionalFormatting>
  <conditionalFormatting sqref="Y3:Y9">
    <cfRule dxfId="663" operator="lessThan" priority="9" type="cellIs">
      <formula>0</formula>
    </cfRule>
    <cfRule dxfId="662" operator="greaterThanOrEqual" priority="10" type="cellIs">
      <formula>0</formula>
    </cfRule>
  </conditionalFormatting>
  <conditionalFormatting sqref="AB3:AB9">
    <cfRule dxfId="663" operator="lessThan" priority="7" type="cellIs">
      <formula>0</formula>
    </cfRule>
    <cfRule dxfId="662" operator="greaterThanOrEqual" priority="8" type="cellIs">
      <formula>0</formula>
    </cfRule>
  </conditionalFormatting>
  <conditionalFormatting sqref="AE3:AE9">
    <cfRule dxfId="663" operator="lessThan" priority="5" type="cellIs">
      <formula>0</formula>
    </cfRule>
    <cfRule dxfId="662" operator="greaterThanOrEqual" priority="6" type="cellIs">
      <formula>0</formula>
    </cfRule>
  </conditionalFormatting>
  <conditionalFormatting sqref="AH3:AH9">
    <cfRule dxfId="663" operator="lessThan" priority="3" type="cellIs">
      <formula>0</formula>
    </cfRule>
    <cfRule dxfId="662" operator="greaterThanOrEqual" priority="4" type="cellIs">
      <formula>0</formula>
    </cfRule>
  </conditionalFormatting>
  <conditionalFormatting sqref="V3:V9">
    <cfRule dxfId="662" operator="lessThanOrEqual" priority="1" type="cellIs">
      <formula>0</formula>
    </cfRule>
    <cfRule dxfId="663" operator="greaterThan" priority="2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AF1156"/>
  <sheetViews>
    <sheetView workbookViewId="0">
      <selection activeCell="A1" sqref="A1"/>
    </sheetView>
  </sheetViews>
  <sheetFormatPr baseColWidth="8" customHeight="1" defaultColWidth="13.5" defaultRowHeight="15" outlineLevelCol="1"/>
  <cols>
    <col bestFit="1" customWidth="1" max="1" min="1" style="452" width="12"/>
    <col bestFit="1" customWidth="1" max="2" min="2" style="452" width="9.375"/>
    <col bestFit="1" customWidth="1" max="3" min="3" style="452" width="13.5"/>
    <col customWidth="1" max="4" min="4" style="452" width="13.5"/>
    <col customWidth="1" max="5" min="5" style="452" width="11"/>
    <col customWidth="1" max="6" min="6" outlineLevel="1" style="452" width="11"/>
    <col customWidth="1" max="7" min="7" style="452" width="8.375"/>
    <col customWidth="1" max="8" min="8" style="452" width="10.875"/>
    <col customWidth="1" max="9" min="9" outlineLevel="1" style="452" width="10.875"/>
    <col customWidth="1" max="10" min="10" style="452" width="8.375"/>
    <col customWidth="1" max="11" min="11" style="452" width="8.625"/>
    <col customWidth="1" max="12" min="12" outlineLevel="1" style="452" width="8.625"/>
    <col customWidth="1" max="13" min="13" style="452" width="8.375"/>
    <col customWidth="1" max="14" min="14" style="452" width="8.5"/>
    <col customWidth="1" max="15" min="15" outlineLevel="1" style="452" width="8.5"/>
    <col customWidth="1" max="16" min="16" style="452" width="8.375"/>
    <col customWidth="1" max="17" min="17" style="452" width="9.5"/>
    <col customWidth="1" max="18" min="18" outlineLevel="1" style="452" width="9.5"/>
    <col customWidth="1" max="19" min="19" style="452" width="8.375"/>
    <col customWidth="1" max="20" min="20" style="452" width="9.625"/>
    <col customWidth="1" max="21" min="21" outlineLevel="1" style="452" width="8.375"/>
    <col customWidth="1" max="22" min="22" style="452" width="8.375"/>
    <col customWidth="1" max="23" min="23" style="452" width="9.125"/>
    <col customWidth="1" max="24" min="24" outlineLevel="1" style="452" width="10.875"/>
    <col customWidth="1" max="25" min="25" style="452" width="8.375"/>
    <col customWidth="1" max="26" min="26" style="452" width="13.875"/>
    <col customWidth="1" max="27" min="27" outlineLevel="1" style="452" width="12.875"/>
    <col customWidth="1" max="29" min="28" style="452" width="8.375"/>
    <col customWidth="1" max="30" min="30" outlineLevel="1" style="452" width="8.375"/>
    <col customWidth="1" max="31" min="31" style="452" width="8.375"/>
    <col customWidth="1" max="32" min="32" style="452" width="17.875"/>
  </cols>
  <sheetData>
    <row customHeight="1" ht="15.75" r="1" s="452" spans="1:32">
      <c r="A1" s="298" t="s">
        <v>55</v>
      </c>
      <c r="B1" s="298" t="s">
        <v>61</v>
      </c>
      <c r="C1" s="298" t="s">
        <v>62</v>
      </c>
      <c r="D1" s="298" t="s">
        <v>171</v>
      </c>
      <c r="E1" s="298" t="s">
        <v>1</v>
      </c>
      <c r="F1" s="298" t="s">
        <v>138</v>
      </c>
      <c r="G1" s="66" t="s">
        <v>3</v>
      </c>
      <c r="H1" s="298" t="s">
        <v>4</v>
      </c>
      <c r="I1" s="298" t="s">
        <v>5</v>
      </c>
      <c r="J1" s="66" t="s">
        <v>3</v>
      </c>
      <c r="K1" s="298" t="s">
        <v>6</v>
      </c>
      <c r="L1" s="298" t="s">
        <v>7</v>
      </c>
      <c r="M1" s="66" t="s">
        <v>3</v>
      </c>
      <c r="N1" s="298" t="s">
        <v>8</v>
      </c>
      <c r="O1" s="298" t="s">
        <v>9</v>
      </c>
      <c r="P1" s="66" t="s">
        <v>3</v>
      </c>
      <c r="Q1" s="298" t="s">
        <v>10</v>
      </c>
      <c r="R1" s="298" t="s">
        <v>11</v>
      </c>
      <c r="S1" s="66" t="s">
        <v>3</v>
      </c>
      <c r="T1" s="298" t="s">
        <v>16</v>
      </c>
      <c r="U1" s="298" t="s">
        <v>17</v>
      </c>
      <c r="V1" s="66" t="s">
        <v>3</v>
      </c>
      <c r="W1" s="620" t="s">
        <v>18</v>
      </c>
      <c r="X1" s="620" t="s">
        <v>19</v>
      </c>
      <c r="Y1" s="66" t="s">
        <v>3</v>
      </c>
      <c r="Z1" s="620" t="s">
        <v>33</v>
      </c>
      <c r="AA1" s="620" t="s">
        <v>34</v>
      </c>
      <c r="AB1" s="66" t="s">
        <v>3</v>
      </c>
      <c r="AC1" s="302" t="s">
        <v>22</v>
      </c>
      <c r="AD1" s="302" t="s">
        <v>23</v>
      </c>
      <c r="AE1" s="66" t="s">
        <v>3</v>
      </c>
      <c r="AF1" s="298" t="s">
        <v>66</v>
      </c>
    </row>
    <row customHeight="1" ht="15.75" r="2" s="452" spans="1:32">
      <c r="A2" s="49" t="s">
        <v>32</v>
      </c>
      <c r="B2" s="49" t="s">
        <v>67</v>
      </c>
      <c r="C2" s="50" t="n">
        <v>42734</v>
      </c>
      <c r="D2" s="403" t="s">
        <v>60</v>
      </c>
      <c r="E2" s="566">
        <f>SUM(E3:E5)</f>
        <v/>
      </c>
      <c r="F2" s="566">
        <f>SUM(F3:F5)</f>
        <v/>
      </c>
      <c r="G2" s="103">
        <f>(E2-F2)/F2</f>
        <v/>
      </c>
      <c r="H2" s="566">
        <f>SUM(H3:H5)</f>
        <v/>
      </c>
      <c r="I2" s="566">
        <f>SUM(I3:I5)</f>
        <v/>
      </c>
      <c r="J2" s="103">
        <f>(H2-I2)/I2</f>
        <v/>
      </c>
      <c r="K2" s="567">
        <f>E2/H2</f>
        <v/>
      </c>
      <c r="L2" s="566">
        <f>F2/I2</f>
        <v/>
      </c>
      <c r="M2" s="103">
        <f>(K2-L2)/L2</f>
        <v/>
      </c>
      <c r="N2" s="568">
        <f>SUM(N3:N5)</f>
        <v/>
      </c>
      <c r="O2" s="568">
        <f>SUM(O3:O5)</f>
        <v/>
      </c>
      <c r="P2" s="103">
        <f>(N2-O2)/O2</f>
        <v/>
      </c>
      <c r="Q2" s="568">
        <f>SUM(Q3:Q5)</f>
        <v/>
      </c>
      <c r="R2" s="568">
        <f>SUM(R3:R5)</f>
        <v/>
      </c>
      <c r="S2" s="103">
        <f>(Q2-R2)/R2</f>
        <v/>
      </c>
      <c r="T2" s="568">
        <f>E2/Q2</f>
        <v/>
      </c>
      <c r="U2" s="568">
        <f>F2/R2</f>
        <v/>
      </c>
      <c r="V2" s="103">
        <f>(T2-U2)/U2</f>
        <v/>
      </c>
      <c r="W2" s="568">
        <f>SUM(W3:W5)</f>
        <v/>
      </c>
      <c r="X2" s="568">
        <f>SUM(X3:X5)</f>
        <v/>
      </c>
      <c r="Y2" s="103">
        <f>(W2-X2)/X2</f>
        <v/>
      </c>
      <c r="Z2" s="568">
        <f>SUM(Z3:Z5)</f>
        <v/>
      </c>
      <c r="AA2" s="568">
        <f>SUM(AA3:AA5)</f>
        <v/>
      </c>
      <c r="AB2" s="103">
        <f>(Z2-AA2)/AA2</f>
        <v/>
      </c>
      <c r="AC2" s="82">
        <f>W2/Z2</f>
        <v/>
      </c>
      <c r="AD2" s="82">
        <f>X2/AA2</f>
        <v/>
      </c>
      <c r="AE2" s="103">
        <f>(AC2-AD2)/AD2</f>
        <v/>
      </c>
    </row>
    <row customHeight="1" ht="15.75" r="3" s="452" spans="1:32">
      <c r="A3" s="279" t="n"/>
      <c r="B3" s="279" t="n"/>
      <c r="C3" s="280" t="n"/>
      <c r="D3" s="280" t="n"/>
      <c r="E3" s="535" t="n"/>
      <c r="F3" s="535" t="n"/>
      <c r="G3" s="404" t="n"/>
      <c r="H3" s="535" t="n"/>
      <c r="I3" s="535" t="n"/>
      <c r="J3" s="404" t="n"/>
      <c r="K3" s="536" t="n"/>
      <c r="L3" s="535" t="n"/>
      <c r="M3" s="404" t="n"/>
      <c r="N3" s="537" t="n"/>
      <c r="O3" s="537" t="n"/>
      <c r="P3" s="404" t="n"/>
      <c r="Q3" s="537" t="n"/>
      <c r="R3" s="537" t="n"/>
      <c r="S3" s="404" t="n"/>
      <c r="T3" s="537" t="n"/>
      <c r="U3" s="537" t="n"/>
      <c r="V3" s="404" t="n"/>
      <c r="W3" s="537" t="n"/>
      <c r="X3" s="537" t="n"/>
      <c r="Y3" s="404" t="n"/>
      <c r="Z3" s="537" t="n"/>
      <c r="AA3" s="537" t="n"/>
      <c r="AB3" s="404" t="n"/>
      <c r="AC3" s="286" t="n"/>
      <c r="AD3" s="286" t="n"/>
      <c r="AE3" s="404" t="n"/>
    </row>
    <row customHeight="1" ht="15.75" r="4" s="452" spans="1:32">
      <c r="A4" s="279" t="n"/>
      <c r="B4" s="279" t="n"/>
      <c r="C4" s="280" t="n"/>
      <c r="D4" s="280" t="n"/>
      <c r="E4" s="535" t="n"/>
      <c r="F4" s="535" t="n"/>
      <c r="G4" s="404" t="n"/>
      <c r="H4" s="535" t="n"/>
      <c r="I4" s="535" t="n"/>
      <c r="J4" s="404" t="n"/>
      <c r="K4" s="536" t="n"/>
      <c r="L4" s="535" t="n"/>
      <c r="M4" s="404" t="n"/>
      <c r="N4" s="537" t="n"/>
      <c r="O4" s="537" t="n"/>
      <c r="P4" s="404" t="n"/>
      <c r="Q4" s="537" t="n"/>
      <c r="R4" s="537" t="n"/>
      <c r="S4" s="404" t="n"/>
      <c r="T4" s="537" t="n"/>
      <c r="U4" s="537" t="n"/>
      <c r="V4" s="404" t="n"/>
      <c r="W4" s="537" t="n"/>
      <c r="X4" s="537" t="n"/>
      <c r="Y4" s="404" t="n"/>
      <c r="Z4" s="537" t="n"/>
      <c r="AA4" s="537" t="n"/>
      <c r="AB4" s="404" t="n"/>
      <c r="AC4" s="286" t="n"/>
      <c r="AD4" s="286" t="n"/>
      <c r="AE4" s="404" t="n"/>
    </row>
    <row customHeight="1" ht="15.75" r="5" s="452" spans="1:32">
      <c r="A5" s="279" t="n"/>
      <c r="B5" s="279" t="n"/>
      <c r="C5" s="280" t="n"/>
      <c r="D5" s="297" t="s">
        <v>177</v>
      </c>
      <c r="E5" s="535" t="n"/>
      <c r="F5" s="535" t="n"/>
      <c r="G5" s="404" t="n"/>
      <c r="H5" s="535" t="n"/>
      <c r="I5" s="535" t="n"/>
      <c r="J5" s="404" t="n"/>
      <c r="K5" s="536" t="n"/>
      <c r="L5" s="535" t="n"/>
      <c r="M5" s="404" t="n"/>
      <c r="N5" s="537" t="n">
        <v>1</v>
      </c>
      <c r="O5" s="537" t="n">
        <v>2</v>
      </c>
      <c r="P5" s="404" t="n"/>
      <c r="Q5" s="537" t="n"/>
      <c r="R5" s="537" t="n"/>
      <c r="S5" s="404" t="n"/>
      <c r="T5" s="537" t="n"/>
      <c r="U5" s="537" t="n"/>
      <c r="V5" s="404" t="n"/>
      <c r="W5" s="537" t="n"/>
      <c r="X5" s="537" t="n"/>
      <c r="Y5" s="404" t="n"/>
      <c r="Z5" s="537" t="n"/>
      <c r="AA5" s="537" t="n"/>
      <c r="AB5" s="404" t="n"/>
      <c r="AC5" s="286" t="n"/>
      <c r="AD5" s="286" t="n"/>
      <c r="AE5" s="404" t="n"/>
    </row>
    <row customHeight="1" ht="15.75" r="6" s="452" spans="1:32">
      <c r="A6" s="49" t="s">
        <v>32</v>
      </c>
      <c r="B6" s="49" t="s">
        <v>68</v>
      </c>
      <c r="C6" s="50">
        <f>C2+7</f>
        <v/>
      </c>
      <c r="D6" s="403" t="s">
        <v>60</v>
      </c>
      <c r="E6" s="566">
        <f>SUM(E7:E9)</f>
        <v/>
      </c>
      <c r="F6" s="566">
        <f>SUM(F7:F9)</f>
        <v/>
      </c>
      <c r="G6" s="103">
        <f>(E6-F6)/F6</f>
        <v/>
      </c>
      <c r="H6" s="566">
        <f>SUM(H7:H9)</f>
        <v/>
      </c>
      <c r="I6" s="566">
        <f>SUM(I7:I9)</f>
        <v/>
      </c>
      <c r="J6" s="103">
        <f>(H6-I6)/I6</f>
        <v/>
      </c>
      <c r="K6" s="567">
        <f>E6/H6</f>
        <v/>
      </c>
      <c r="L6" s="566">
        <f>F6/I6</f>
        <v/>
      </c>
      <c r="M6" s="103">
        <f>(K6-L6)/L6</f>
        <v/>
      </c>
      <c r="N6" s="568">
        <f>SUM(N7:N9)</f>
        <v/>
      </c>
      <c r="O6" s="568">
        <f>SUM(O7:O9)</f>
        <v/>
      </c>
      <c r="P6" s="103">
        <f>(N6-O6)/O6</f>
        <v/>
      </c>
      <c r="Q6" s="568">
        <f>SUM(Q7:Q9)</f>
        <v/>
      </c>
      <c r="R6" s="568">
        <f>SUM(R7:R9)</f>
        <v/>
      </c>
      <c r="S6" s="103">
        <f>(Q6-R6)/R6</f>
        <v/>
      </c>
      <c r="T6" s="568">
        <f>E6/Q6</f>
        <v/>
      </c>
      <c r="U6" s="568">
        <f>F6/R6</f>
        <v/>
      </c>
      <c r="V6" s="103">
        <f>(T6-U6)/U6</f>
        <v/>
      </c>
      <c r="W6" s="568">
        <f>SUM(W7:W9)</f>
        <v/>
      </c>
      <c r="X6" s="568">
        <f>SUM(X7:X9)</f>
        <v/>
      </c>
      <c r="Y6" s="103">
        <f>(W6-X6)/X6</f>
        <v/>
      </c>
      <c r="Z6" s="568">
        <f>SUM(Z7:Z9)</f>
        <v/>
      </c>
      <c r="AA6" s="568">
        <f>SUM(AA7:AA9)</f>
        <v/>
      </c>
      <c r="AB6" s="103">
        <f>(Z6-AA6)/AA6</f>
        <v/>
      </c>
      <c r="AC6" s="82">
        <f>W6/Z6</f>
        <v/>
      </c>
      <c r="AD6" s="82">
        <f>X6/AA6</f>
        <v/>
      </c>
      <c r="AE6" s="103">
        <f>(AC6-AD6)/AD6</f>
        <v/>
      </c>
    </row>
    <row customHeight="1" ht="15.75" r="7" s="452" spans="1:32">
      <c r="A7" s="279" t="n"/>
      <c r="B7" s="279" t="n"/>
      <c r="C7" s="280" t="n"/>
      <c r="D7" s="280" t="n"/>
      <c r="E7" s="535" t="n"/>
      <c r="F7" s="535" t="n"/>
      <c r="G7" s="404" t="n"/>
      <c r="H7" s="535" t="n"/>
      <c r="I7" s="535" t="n"/>
      <c r="J7" s="404" t="n"/>
      <c r="K7" s="536" t="n"/>
      <c r="L7" s="535" t="n"/>
      <c r="M7" s="404" t="n"/>
      <c r="N7" s="537" t="n"/>
      <c r="O7" s="537" t="n"/>
      <c r="P7" s="404" t="n"/>
      <c r="Q7" s="537" t="n"/>
      <c r="R7" s="537" t="n"/>
      <c r="S7" s="404" t="n"/>
      <c r="T7" s="535" t="n"/>
      <c r="U7" s="537" t="n"/>
      <c r="V7" s="404" t="n"/>
      <c r="W7" s="537" t="n"/>
      <c r="X7" s="537" t="n"/>
      <c r="Y7" s="404" t="n"/>
      <c r="Z7" s="537" t="n"/>
      <c r="AA7" s="537" t="n"/>
      <c r="AB7" s="404" t="n"/>
      <c r="AC7" s="286" t="n"/>
      <c r="AD7" s="286" t="n"/>
      <c r="AE7" s="404" t="n"/>
    </row>
    <row customHeight="1" ht="15.75" r="8" s="452" spans="1:32">
      <c r="A8" s="279" t="n"/>
      <c r="B8" s="279" t="n"/>
      <c r="C8" s="280" t="n"/>
      <c r="D8" s="280" t="n"/>
      <c r="E8" s="535" t="n"/>
      <c r="F8" s="535" t="n"/>
      <c r="G8" s="404" t="n"/>
      <c r="H8" s="535" t="n"/>
      <c r="I8" s="535" t="n"/>
      <c r="J8" s="404" t="n"/>
      <c r="K8" s="536" t="n"/>
      <c r="L8" s="535" t="n"/>
      <c r="M8" s="404" t="n"/>
      <c r="N8" s="537" t="n"/>
      <c r="O8" s="537" t="n"/>
      <c r="P8" s="404" t="n"/>
      <c r="Q8" s="537" t="n"/>
      <c r="R8" s="537" t="n"/>
      <c r="S8" s="404" t="n"/>
      <c r="T8" s="535" t="n"/>
      <c r="U8" s="537" t="n"/>
      <c r="V8" s="404" t="n"/>
      <c r="W8" s="537" t="n"/>
      <c r="X8" s="537" t="n"/>
      <c r="Y8" s="404" t="n"/>
      <c r="Z8" s="537" t="n"/>
      <c r="AA8" s="537" t="n"/>
      <c r="AB8" s="404" t="n"/>
      <c r="AC8" s="286" t="n"/>
      <c r="AD8" s="286" t="n"/>
      <c r="AE8" s="404" t="n"/>
    </row>
    <row customHeight="1" ht="15.75" r="9" s="452" spans="1:32">
      <c r="A9" s="279" t="n"/>
      <c r="B9" s="279" t="n"/>
      <c r="C9" s="280" t="n"/>
      <c r="D9" s="297" t="s">
        <v>177</v>
      </c>
      <c r="E9" s="535" t="n"/>
      <c r="F9" s="535" t="n"/>
      <c r="G9" s="404" t="n"/>
      <c r="H9" s="535" t="n"/>
      <c r="I9" s="535" t="n"/>
      <c r="J9" s="404" t="n"/>
      <c r="K9" s="536" t="n"/>
      <c r="L9" s="535" t="n"/>
      <c r="M9" s="404" t="n"/>
      <c r="N9" s="537" t="n">
        <v>2</v>
      </c>
      <c r="O9" s="537" t="n">
        <v>1</v>
      </c>
      <c r="P9" s="404" t="n"/>
      <c r="Q9" s="537" t="n"/>
      <c r="R9" s="537" t="n"/>
      <c r="S9" s="404" t="n"/>
      <c r="T9" s="535" t="n"/>
      <c r="U9" s="537" t="n"/>
      <c r="V9" s="404" t="n"/>
      <c r="W9" s="537" t="n"/>
      <c r="X9" s="537" t="n"/>
      <c r="Y9" s="404" t="n"/>
      <c r="Z9" s="537" t="n"/>
      <c r="AA9" s="537" t="n"/>
      <c r="AB9" s="404" t="n"/>
      <c r="AC9" s="286" t="n"/>
      <c r="AD9" s="286" t="n"/>
      <c r="AE9" s="404" t="n"/>
    </row>
    <row customHeight="1" ht="15.75" r="10" s="452" spans="1:32">
      <c r="A10" s="49" t="s">
        <v>32</v>
      </c>
      <c r="B10" s="49" t="s">
        <v>69</v>
      </c>
      <c r="C10" s="50">
        <f>C6+7</f>
        <v/>
      </c>
      <c r="D10" s="403" t="s">
        <v>60</v>
      </c>
      <c r="E10" s="566">
        <f>SUM(E11:E13)</f>
        <v/>
      </c>
      <c r="F10" s="566">
        <f>SUM(F11:F13)</f>
        <v/>
      </c>
      <c r="G10" s="103">
        <f>(E10-F10)/F10</f>
        <v/>
      </c>
      <c r="H10" s="566">
        <f>SUM(H11:H13)</f>
        <v/>
      </c>
      <c r="I10" s="566">
        <f>SUM(I11:I13)</f>
        <v/>
      </c>
      <c r="J10" s="103">
        <f>(H10-I10)/I10</f>
        <v/>
      </c>
      <c r="K10" s="567">
        <f>E10/H10</f>
        <v/>
      </c>
      <c r="L10" s="566">
        <f>F10/I10</f>
        <v/>
      </c>
      <c r="M10" s="103">
        <f>(K10-L10)/L10</f>
        <v/>
      </c>
      <c r="N10" s="568">
        <f>SUM(N11:N13)</f>
        <v/>
      </c>
      <c r="O10" s="568">
        <f>SUM(O11:O13)</f>
        <v/>
      </c>
      <c r="P10" s="103">
        <f>(N10-O10)/O10</f>
        <v/>
      </c>
      <c r="Q10" s="568">
        <f>SUM(Q11:Q13)</f>
        <v/>
      </c>
      <c r="R10" s="568">
        <f>SUM(R11:R13)</f>
        <v/>
      </c>
      <c r="S10" s="103">
        <f>(Q10-R10)/R10</f>
        <v/>
      </c>
      <c r="T10" s="568">
        <f>E10/Q10</f>
        <v/>
      </c>
      <c r="U10" s="568">
        <f>F10/R10</f>
        <v/>
      </c>
      <c r="V10" s="103">
        <f>(T10-U10)/U10</f>
        <v/>
      </c>
      <c r="W10" s="568">
        <f>SUM(W11:W13)</f>
        <v/>
      </c>
      <c r="X10" s="568">
        <f>SUM(X11:X13)</f>
        <v/>
      </c>
      <c r="Y10" s="103">
        <f>(W10-X10)/X10</f>
        <v/>
      </c>
      <c r="Z10" s="568">
        <f>SUM(Z11:Z13)</f>
        <v/>
      </c>
      <c r="AA10" s="568">
        <f>SUM(AA11:AA13)</f>
        <v/>
      </c>
      <c r="AB10" s="103">
        <f>(Z10-AA10)/AA10</f>
        <v/>
      </c>
      <c r="AC10" s="82">
        <f>W10/Z10</f>
        <v/>
      </c>
      <c r="AD10" s="82">
        <f>X10/AA10</f>
        <v/>
      </c>
      <c r="AE10" s="103">
        <f>(AC10-AD10)/AD10</f>
        <v/>
      </c>
    </row>
    <row customHeight="1" ht="15.75" r="11" s="452" spans="1:32">
      <c r="A11" s="279" t="n"/>
      <c r="B11" s="279" t="n"/>
      <c r="C11" s="280" t="n"/>
      <c r="D11" s="280" t="n"/>
      <c r="E11" s="535" t="n"/>
      <c r="F11" s="535" t="n"/>
      <c r="G11" s="404" t="n"/>
      <c r="H11" s="535" t="n"/>
      <c r="I11" s="535" t="n"/>
      <c r="J11" s="404" t="n"/>
      <c r="K11" s="536" t="n"/>
      <c r="L11" s="535" t="n"/>
      <c r="M11" s="404" t="n"/>
      <c r="N11" s="537" t="n"/>
      <c r="O11" s="537" t="n"/>
      <c r="P11" s="404" t="n"/>
      <c r="Q11" s="537" t="n"/>
      <c r="R11" s="537" t="n"/>
      <c r="S11" s="404" t="n"/>
      <c r="T11" s="535" t="n"/>
      <c r="U11" s="537" t="n"/>
      <c r="V11" s="404" t="n"/>
      <c r="W11" s="537" t="n"/>
      <c r="X11" s="537" t="n"/>
      <c r="Y11" s="404" t="n"/>
      <c r="Z11" s="537" t="n"/>
      <c r="AA11" s="537" t="n"/>
      <c r="AB11" s="404" t="n"/>
      <c r="AC11" s="286" t="n"/>
      <c r="AD11" s="286" t="n"/>
      <c r="AE11" s="404" t="n"/>
    </row>
    <row customHeight="1" ht="15.75" r="12" s="452" spans="1:32">
      <c r="A12" s="279" t="n"/>
      <c r="B12" s="279" t="n"/>
      <c r="C12" s="280" t="n"/>
      <c r="D12" s="280" t="n"/>
      <c r="E12" s="535" t="n"/>
      <c r="F12" s="535" t="n"/>
      <c r="G12" s="404" t="n"/>
      <c r="H12" s="535" t="n"/>
      <c r="I12" s="535" t="n"/>
      <c r="J12" s="404" t="n"/>
      <c r="K12" s="536" t="n"/>
      <c r="L12" s="535" t="n"/>
      <c r="M12" s="404" t="n"/>
      <c r="N12" s="537" t="n"/>
      <c r="O12" s="537" t="n"/>
      <c r="P12" s="404" t="n"/>
      <c r="Q12" s="537" t="n"/>
      <c r="R12" s="537" t="n"/>
      <c r="S12" s="404" t="n"/>
      <c r="T12" s="535" t="n"/>
      <c r="U12" s="537" t="n"/>
      <c r="V12" s="404" t="n"/>
      <c r="W12" s="537" t="n"/>
      <c r="X12" s="537" t="n"/>
      <c r="Y12" s="404" t="n"/>
      <c r="Z12" s="537" t="n"/>
      <c r="AA12" s="537" t="n"/>
      <c r="AB12" s="404" t="n"/>
      <c r="AC12" s="286" t="n"/>
      <c r="AD12" s="286" t="n"/>
      <c r="AE12" s="404" t="n"/>
    </row>
    <row customHeight="1" ht="15.75" r="13" s="452" spans="1:32">
      <c r="A13" s="279" t="n"/>
      <c r="B13" s="279" t="n"/>
      <c r="C13" s="280" t="n"/>
      <c r="D13" s="297" t="s">
        <v>177</v>
      </c>
      <c r="E13" s="535" t="n"/>
      <c r="F13" s="535" t="n"/>
      <c r="G13" s="404" t="n"/>
      <c r="H13" s="535" t="n"/>
      <c r="I13" s="535" t="n"/>
      <c r="J13" s="404" t="n"/>
      <c r="K13" s="536" t="n"/>
      <c r="L13" s="535" t="n"/>
      <c r="M13" s="404" t="n"/>
      <c r="N13" s="537" t="n">
        <v>0</v>
      </c>
      <c r="O13" s="537" t="n">
        <v>2</v>
      </c>
      <c r="P13" s="404" t="n"/>
      <c r="Q13" s="537" t="n"/>
      <c r="R13" s="537" t="n"/>
      <c r="S13" s="404" t="n"/>
      <c r="T13" s="535" t="n"/>
      <c r="U13" s="537" t="n"/>
      <c r="V13" s="404" t="n"/>
      <c r="W13" s="537" t="n"/>
      <c r="X13" s="537" t="n"/>
      <c r="Y13" s="404" t="n"/>
      <c r="Z13" s="537" t="n"/>
      <c r="AA13" s="537" t="n"/>
      <c r="AB13" s="404" t="n"/>
      <c r="AC13" s="286" t="n"/>
      <c r="AD13" s="286" t="n"/>
      <c r="AE13" s="404" t="n"/>
    </row>
    <row customHeight="1" ht="15.75" r="14" s="452" spans="1:32">
      <c r="A14" s="49" t="s">
        <v>32</v>
      </c>
      <c r="B14" s="49" t="s">
        <v>71</v>
      </c>
      <c r="C14" s="50">
        <f>C10+7</f>
        <v/>
      </c>
      <c r="D14" s="403" t="s">
        <v>60</v>
      </c>
      <c r="E14" s="566">
        <f>SUM(E15:E17)</f>
        <v/>
      </c>
      <c r="F14" s="566">
        <f>SUM(F15:F17)</f>
        <v/>
      </c>
      <c r="G14" s="103">
        <f>(E14-F14)/F14</f>
        <v/>
      </c>
      <c r="H14" s="566">
        <f>SUM(H15:H17)</f>
        <v/>
      </c>
      <c r="I14" s="566">
        <f>SUM(I15:I17)</f>
        <v/>
      </c>
      <c r="J14" s="103">
        <f>(H14-I14)/I14</f>
        <v/>
      </c>
      <c r="K14" s="567">
        <f>E14/H14</f>
        <v/>
      </c>
      <c r="L14" s="566">
        <f>F14/I14</f>
        <v/>
      </c>
      <c r="M14" s="103">
        <f>(K14-L14)/L14</f>
        <v/>
      </c>
      <c r="N14" s="568">
        <f>SUM(N15:N17)</f>
        <v/>
      </c>
      <c r="O14" s="568">
        <f>SUM(O15:O17)</f>
        <v/>
      </c>
      <c r="P14" s="103">
        <f>(N14-O14)/O14</f>
        <v/>
      </c>
      <c r="Q14" s="568">
        <f>SUM(Q15:Q17)</f>
        <v/>
      </c>
      <c r="R14" s="568">
        <f>SUM(R15:R17)</f>
        <v/>
      </c>
      <c r="S14" s="103">
        <f>(Q14-R14)/R14</f>
        <v/>
      </c>
      <c r="T14" s="568">
        <f>E14/Q14</f>
        <v/>
      </c>
      <c r="U14" s="568">
        <f>F14/R14</f>
        <v/>
      </c>
      <c r="V14" s="103">
        <f>(T14-U14)/U14</f>
        <v/>
      </c>
      <c r="W14" s="568">
        <f>SUM(W15:W17)</f>
        <v/>
      </c>
      <c r="X14" s="568">
        <f>SUM(X15:X17)</f>
        <v/>
      </c>
      <c r="Y14" s="103">
        <f>(W14-X14)/X14</f>
        <v/>
      </c>
      <c r="Z14" s="568">
        <f>SUM(Z15:Z17)</f>
        <v/>
      </c>
      <c r="AA14" s="568">
        <f>SUM(AA15:AA17)</f>
        <v/>
      </c>
      <c r="AB14" s="103">
        <f>(Z14-AA14)/AA14</f>
        <v/>
      </c>
      <c r="AC14" s="82">
        <f>W14/Z14</f>
        <v/>
      </c>
      <c r="AD14" s="82">
        <f>X14/AA14</f>
        <v/>
      </c>
      <c r="AE14" s="103">
        <f>(AC14-AD14)/AD14</f>
        <v/>
      </c>
    </row>
    <row customHeight="1" ht="15.75" r="15" s="452" spans="1:32">
      <c r="A15" s="279" t="n"/>
      <c r="B15" s="279" t="n"/>
      <c r="C15" s="280" t="n"/>
      <c r="D15" s="280" t="n"/>
      <c r="E15" s="535" t="n"/>
      <c r="F15" s="535" t="n"/>
      <c r="G15" s="404" t="n"/>
      <c r="H15" s="535" t="n"/>
      <c r="I15" s="535" t="n"/>
      <c r="J15" s="404" t="n"/>
      <c r="K15" s="536" t="n"/>
      <c r="L15" s="535" t="n"/>
      <c r="M15" s="404" t="n"/>
      <c r="N15" s="537" t="n"/>
      <c r="O15" s="537" t="n"/>
      <c r="P15" s="404" t="n"/>
      <c r="Q15" s="537" t="n"/>
      <c r="R15" s="537" t="n"/>
      <c r="S15" s="404" t="n"/>
      <c r="T15" s="535" t="n"/>
      <c r="U15" s="537" t="n"/>
      <c r="V15" s="404" t="n"/>
      <c r="W15" s="537" t="n"/>
      <c r="X15" s="537" t="n"/>
      <c r="Y15" s="404" t="n"/>
      <c r="Z15" s="537" t="n"/>
      <c r="AA15" s="537" t="n"/>
      <c r="AB15" s="404" t="n"/>
      <c r="AC15" s="286" t="n"/>
      <c r="AD15" s="286" t="n"/>
      <c r="AE15" s="404" t="n"/>
    </row>
    <row customHeight="1" ht="15.75" r="16" s="452" spans="1:32">
      <c r="A16" s="279" t="n"/>
      <c r="B16" s="279" t="n"/>
      <c r="C16" s="280" t="n"/>
      <c r="D16" s="280" t="n"/>
      <c r="E16" s="535" t="n"/>
      <c r="F16" s="535" t="n"/>
      <c r="G16" s="404" t="n"/>
      <c r="H16" s="535" t="n"/>
      <c r="I16" s="535" t="n"/>
      <c r="J16" s="404" t="n"/>
      <c r="K16" s="536" t="n"/>
      <c r="L16" s="535" t="n"/>
      <c r="M16" s="404" t="n"/>
      <c r="N16" s="537" t="n"/>
      <c r="O16" s="537" t="n"/>
      <c r="P16" s="404" t="n"/>
      <c r="Q16" s="537" t="n"/>
      <c r="R16" s="537" t="n"/>
      <c r="S16" s="404" t="n"/>
      <c r="T16" s="535" t="n"/>
      <c r="U16" s="537" t="n"/>
      <c r="V16" s="404" t="n"/>
      <c r="W16" s="537" t="n"/>
      <c r="X16" s="537" t="n"/>
      <c r="Y16" s="404" t="n"/>
      <c r="Z16" s="537" t="n"/>
      <c r="AA16" s="537" t="n"/>
      <c r="AB16" s="404" t="n"/>
      <c r="AC16" s="286" t="n"/>
      <c r="AD16" s="286" t="n"/>
      <c r="AE16" s="404" t="n"/>
    </row>
    <row customFormat="1" customHeight="1" ht="15.75" r="17" s="357" spans="1:32">
      <c r="A17" s="347" t="n"/>
      <c r="B17" s="347" t="n"/>
      <c r="C17" s="348" t="n"/>
      <c r="D17" s="349" t="s">
        <v>177</v>
      </c>
      <c r="E17" s="612" t="n"/>
      <c r="F17" s="612" t="n"/>
      <c r="G17" s="405" t="n"/>
      <c r="H17" s="612" t="n"/>
      <c r="I17" s="612" t="n"/>
      <c r="J17" s="405" t="n"/>
      <c r="K17" s="613" t="n"/>
      <c r="L17" s="612" t="n"/>
      <c r="M17" s="405" t="n"/>
      <c r="N17" s="614" t="n">
        <v>2</v>
      </c>
      <c r="O17" s="614" t="n">
        <v>1</v>
      </c>
      <c r="P17" s="405" t="n"/>
      <c r="Q17" s="614" t="n"/>
      <c r="R17" s="614" t="n"/>
      <c r="S17" s="405" t="n"/>
      <c r="T17" s="612" t="n"/>
      <c r="U17" s="614" t="n"/>
      <c r="V17" s="405" t="n"/>
      <c r="W17" s="614" t="n"/>
      <c r="X17" s="614" t="n"/>
      <c r="Y17" s="405" t="n"/>
      <c r="Z17" s="614" t="n"/>
      <c r="AA17" s="614" t="n"/>
      <c r="AB17" s="405" t="n"/>
      <c r="AC17" s="356" t="n"/>
      <c r="AD17" s="356" t="n"/>
      <c r="AE17" s="405" t="n"/>
    </row>
    <row customHeight="1" ht="15.75" r="18" s="452" spans="1:32">
      <c r="A18" s="49" t="s">
        <v>41</v>
      </c>
      <c r="B18" s="49" t="s">
        <v>73</v>
      </c>
      <c r="C18" s="50">
        <f>C14+7</f>
        <v/>
      </c>
      <c r="D18" s="403" t="s">
        <v>60</v>
      </c>
      <c r="E18" s="566">
        <f>SUM(E19:E21)</f>
        <v/>
      </c>
      <c r="F18" s="566">
        <f>SUM(F19:F21)</f>
        <v/>
      </c>
      <c r="G18" s="103">
        <f>(E18-F18)/F18</f>
        <v/>
      </c>
      <c r="H18" s="566">
        <f>SUM(H19:H21)</f>
        <v/>
      </c>
      <c r="I18" s="566">
        <f>SUM(I19:I21)</f>
        <v/>
      </c>
      <c r="J18" s="103">
        <f>(H18-I18)/I18</f>
        <v/>
      </c>
      <c r="K18" s="567">
        <f>E18/H18</f>
        <v/>
      </c>
      <c r="L18" s="566">
        <f>F18/I18</f>
        <v/>
      </c>
      <c r="M18" s="103">
        <f>(K18-L18)/L18</f>
        <v/>
      </c>
      <c r="N18" s="568">
        <f>SUM(N19:N21)</f>
        <v/>
      </c>
      <c r="O18" s="568">
        <f>SUM(O19:O21)</f>
        <v/>
      </c>
      <c r="P18" s="103">
        <f>(N18-O18)/O18</f>
        <v/>
      </c>
      <c r="Q18" s="568">
        <f>SUM(Q19:Q21)</f>
        <v/>
      </c>
      <c r="R18" s="568">
        <f>SUM(R19:R21)</f>
        <v/>
      </c>
      <c r="S18" s="103">
        <f>(Q18-R18)/R18</f>
        <v/>
      </c>
      <c r="T18" s="568">
        <f>E18/Q18</f>
        <v/>
      </c>
      <c r="U18" s="568">
        <f>F18/R18</f>
        <v/>
      </c>
      <c r="V18" s="103">
        <f>(T18-U18)/U18</f>
        <v/>
      </c>
      <c r="W18" s="568">
        <f>SUM(W19:W21)</f>
        <v/>
      </c>
      <c r="X18" s="568">
        <f>SUM(X19:X21)</f>
        <v/>
      </c>
      <c r="Y18" s="103">
        <f>(W18-X18)/X18</f>
        <v/>
      </c>
      <c r="Z18" s="568">
        <f>SUM(Z19:Z21)</f>
        <v/>
      </c>
      <c r="AA18" s="568">
        <f>SUM(AA19:AA21)</f>
        <v/>
      </c>
      <c r="AB18" s="103">
        <f>(Z18-AA18)/AA18</f>
        <v/>
      </c>
      <c r="AC18" s="82">
        <f>W18/Z18</f>
        <v/>
      </c>
      <c r="AD18" s="82">
        <f>X18/AA18</f>
        <v/>
      </c>
      <c r="AE18" s="103">
        <f>(AC18-AD18)/AD18</f>
        <v/>
      </c>
    </row>
    <row customHeight="1" ht="15.75" r="19" s="452" spans="1:32">
      <c r="A19" s="279" t="n"/>
      <c r="B19" s="279" t="n"/>
      <c r="C19" s="280" t="n"/>
      <c r="D19" s="280" t="n"/>
      <c r="E19" s="535" t="n"/>
      <c r="F19" s="535" t="n"/>
      <c r="G19" s="404" t="n"/>
      <c r="H19" s="535" t="n"/>
      <c r="I19" s="535" t="n"/>
      <c r="J19" s="404" t="n"/>
      <c r="K19" s="536" t="n"/>
      <c r="L19" s="535" t="n"/>
      <c r="M19" s="404" t="n"/>
      <c r="N19" s="537" t="n"/>
      <c r="O19" s="537" t="n"/>
      <c r="P19" s="404" t="n"/>
      <c r="Q19" s="537" t="n"/>
      <c r="R19" s="537" t="n"/>
      <c r="S19" s="404" t="n"/>
      <c r="T19" s="535" t="n"/>
      <c r="U19" s="537" t="n"/>
      <c r="V19" s="404" t="n"/>
      <c r="W19" s="537" t="n"/>
      <c r="X19" s="537" t="n"/>
      <c r="Y19" s="404" t="n"/>
      <c r="Z19" s="537" t="n"/>
      <c r="AA19" s="537" t="n"/>
      <c r="AB19" s="404" t="n"/>
      <c r="AC19" s="286" t="n"/>
      <c r="AD19" s="286" t="n"/>
      <c r="AE19" s="404" t="n"/>
    </row>
    <row customHeight="1" ht="15.75" r="20" s="452" spans="1:32">
      <c r="A20" s="279" t="n"/>
      <c r="B20" s="279" t="n"/>
      <c r="C20" s="280" t="n"/>
      <c r="D20" s="280" t="n"/>
      <c r="E20" s="535" t="n"/>
      <c r="F20" s="535" t="n"/>
      <c r="G20" s="404" t="n"/>
      <c r="H20" s="535" t="n"/>
      <c r="I20" s="535" t="n"/>
      <c r="J20" s="404" t="n"/>
      <c r="K20" s="536" t="n"/>
      <c r="L20" s="535" t="n"/>
      <c r="M20" s="404" t="n"/>
      <c r="N20" s="537" t="n"/>
      <c r="O20" s="537" t="n"/>
      <c r="P20" s="404" t="n"/>
      <c r="Q20" s="537" t="n"/>
      <c r="R20" s="537" t="n"/>
      <c r="S20" s="404" t="n"/>
      <c r="T20" s="535" t="n"/>
      <c r="U20" s="537" t="n"/>
      <c r="V20" s="404" t="n"/>
      <c r="W20" s="537" t="n"/>
      <c r="X20" s="537" t="n"/>
      <c r="Y20" s="404" t="n"/>
      <c r="Z20" s="537" t="n"/>
      <c r="AA20" s="537" t="n"/>
      <c r="AB20" s="404" t="n"/>
      <c r="AC20" s="286" t="n"/>
      <c r="AD20" s="286" t="n"/>
      <c r="AE20" s="404" t="n"/>
    </row>
    <row customHeight="1" ht="15.75" r="21" s="452" spans="1:32">
      <c r="A21" s="279" t="n"/>
      <c r="B21" s="279" t="n"/>
      <c r="C21" s="280" t="n"/>
      <c r="D21" s="297" t="s">
        <v>177</v>
      </c>
      <c r="E21" s="535" t="n"/>
      <c r="F21" s="535" t="n"/>
      <c r="G21" s="404" t="n"/>
      <c r="H21" s="535" t="n"/>
      <c r="I21" s="535" t="n"/>
      <c r="J21" s="404" t="n"/>
      <c r="K21" s="536" t="n"/>
      <c r="L21" s="535" t="n"/>
      <c r="M21" s="404" t="n"/>
      <c r="N21" s="537" t="n">
        <v>0</v>
      </c>
      <c r="O21" s="537" t="n"/>
      <c r="P21" s="404" t="n"/>
      <c r="Q21" s="537" t="n"/>
      <c r="R21" s="537" t="n"/>
      <c r="S21" s="404" t="n"/>
      <c r="T21" s="535" t="n"/>
      <c r="U21" s="537" t="n"/>
      <c r="V21" s="404" t="n"/>
      <c r="W21" s="537" t="n"/>
      <c r="X21" s="537" t="n"/>
      <c r="Y21" s="404" t="n"/>
      <c r="Z21" s="537" t="n"/>
      <c r="AA21" s="537" t="n"/>
      <c r="AB21" s="404" t="n"/>
      <c r="AC21" s="286" t="n"/>
      <c r="AD21" s="286" t="n"/>
      <c r="AE21" s="404" t="n"/>
    </row>
    <row customHeight="1" ht="15.75" r="22" s="452" spans="1:32">
      <c r="A22" s="49" t="s">
        <v>41</v>
      </c>
      <c r="B22" s="49" t="s">
        <v>75</v>
      </c>
      <c r="C22" s="50">
        <f>C18+7</f>
        <v/>
      </c>
      <c r="D22" s="403" t="s">
        <v>60</v>
      </c>
      <c r="E22" s="566">
        <f>SUM(E23:E25)</f>
        <v/>
      </c>
      <c r="F22" s="566">
        <f>SUM(F23:F25)</f>
        <v/>
      </c>
      <c r="G22" s="103">
        <f>(E22-F22)/F22</f>
        <v/>
      </c>
      <c r="H22" s="566">
        <f>SUM(H23:H25)</f>
        <v/>
      </c>
      <c r="I22" s="566">
        <f>SUM(I23:I25)</f>
        <v/>
      </c>
      <c r="J22" s="103">
        <f>(H22-I22)/I22</f>
        <v/>
      </c>
      <c r="K22" s="567">
        <f>E22/H22</f>
        <v/>
      </c>
      <c r="L22" s="566">
        <f>F22/I22</f>
        <v/>
      </c>
      <c r="M22" s="103">
        <f>(K22-L22)/L22</f>
        <v/>
      </c>
      <c r="N22" s="568">
        <f>SUM(N23:N25)</f>
        <v/>
      </c>
      <c r="O22" s="568">
        <f>SUM(O23:O25)</f>
        <v/>
      </c>
      <c r="P22" s="103">
        <f>(N22-O22)/O22</f>
        <v/>
      </c>
      <c r="Q22" s="568">
        <f>SUM(Q23:Q25)</f>
        <v/>
      </c>
      <c r="R22" s="568">
        <f>SUM(R23:R25)</f>
        <v/>
      </c>
      <c r="S22" s="103">
        <f>(Q22-R22)/R22</f>
        <v/>
      </c>
      <c r="T22" s="568">
        <f>E22/Q22</f>
        <v/>
      </c>
      <c r="U22" s="568">
        <f>F22/R22</f>
        <v/>
      </c>
      <c r="V22" s="103">
        <f>(T22-U22)/U22</f>
        <v/>
      </c>
      <c r="W22" s="568">
        <f>SUM(W23:W25)</f>
        <v/>
      </c>
      <c r="X22" s="568">
        <f>SUM(X23:X25)</f>
        <v/>
      </c>
      <c r="Y22" s="103">
        <f>(W22-X22)/X22</f>
        <v/>
      </c>
      <c r="Z22" s="568">
        <f>SUM(Z23:Z25)</f>
        <v/>
      </c>
      <c r="AA22" s="568">
        <f>SUM(AA23:AA25)</f>
        <v/>
      </c>
      <c r="AB22" s="103">
        <f>(Z22-AA22)/AA22</f>
        <v/>
      </c>
      <c r="AC22" s="82">
        <f>W22/Z22</f>
        <v/>
      </c>
      <c r="AD22" s="82">
        <f>X22/AA22</f>
        <v/>
      </c>
      <c r="AE22" s="103">
        <f>(AC22-AD22)/AD22</f>
        <v/>
      </c>
    </row>
    <row customHeight="1" ht="15.75" r="23" s="452" spans="1:32">
      <c r="A23" s="279" t="n"/>
      <c r="B23" s="279" t="n"/>
      <c r="C23" s="280" t="n"/>
      <c r="D23" s="280" t="n"/>
      <c r="E23" s="535" t="n"/>
      <c r="F23" s="535" t="n"/>
      <c r="G23" s="404" t="n"/>
      <c r="H23" s="535" t="n"/>
      <c r="I23" s="535" t="n"/>
      <c r="J23" s="404" t="n"/>
      <c r="K23" s="536" t="n"/>
      <c r="L23" s="535" t="n"/>
      <c r="M23" s="404" t="n"/>
      <c r="N23" s="537" t="n"/>
      <c r="O23" s="537" t="n"/>
      <c r="P23" s="404" t="n"/>
      <c r="Q23" s="537" t="n"/>
      <c r="R23" s="537" t="n"/>
      <c r="S23" s="404" t="n"/>
      <c r="T23" s="535" t="n"/>
      <c r="U23" s="537" t="n"/>
      <c r="V23" s="404" t="n"/>
      <c r="W23" s="537" t="n"/>
      <c r="X23" s="537" t="n"/>
      <c r="Y23" s="404" t="n"/>
      <c r="Z23" s="537" t="n"/>
      <c r="AA23" s="537" t="n"/>
      <c r="AB23" s="404" t="n"/>
      <c r="AC23" s="286" t="n"/>
      <c r="AD23" s="286" t="n"/>
      <c r="AE23" s="404" t="n"/>
    </row>
    <row customHeight="1" ht="15.75" r="24" s="452" spans="1:32">
      <c r="A24" s="279" t="n"/>
      <c r="B24" s="279" t="n"/>
      <c r="C24" s="280" t="n"/>
      <c r="D24" s="280" t="n"/>
      <c r="E24" s="535" t="n"/>
      <c r="F24" s="535" t="n"/>
      <c r="G24" s="404" t="n"/>
      <c r="H24" s="535" t="n"/>
      <c r="I24" s="535" t="n"/>
      <c r="J24" s="404" t="n"/>
      <c r="K24" s="536" t="n"/>
      <c r="L24" s="535" t="n"/>
      <c r="M24" s="404" t="n"/>
      <c r="N24" s="537" t="n"/>
      <c r="O24" s="537" t="n"/>
      <c r="P24" s="404" t="n"/>
      <c r="Q24" s="537" t="n"/>
      <c r="R24" s="537" t="n"/>
      <c r="S24" s="404" t="n"/>
      <c r="T24" s="535" t="n"/>
      <c r="U24" s="537" t="n"/>
      <c r="V24" s="404" t="n"/>
      <c r="W24" s="537" t="n"/>
      <c r="X24" s="537" t="n"/>
      <c r="Y24" s="404" t="n"/>
      <c r="Z24" s="537" t="n"/>
      <c r="AA24" s="537" t="n"/>
      <c r="AB24" s="404" t="n"/>
      <c r="AC24" s="286" t="n"/>
      <c r="AD24" s="286" t="n"/>
      <c r="AE24" s="404" t="n"/>
    </row>
    <row customHeight="1" ht="15.75" r="25" s="452" spans="1:32">
      <c r="A25" s="279" t="n"/>
      <c r="B25" s="279" t="n"/>
      <c r="C25" s="280" t="n"/>
      <c r="D25" s="297" t="s">
        <v>177</v>
      </c>
      <c r="E25" s="535" t="n"/>
      <c r="F25" s="535" t="n"/>
      <c r="G25" s="404" t="n"/>
      <c r="H25" s="535" t="n"/>
      <c r="I25" s="535" t="n"/>
      <c r="J25" s="404" t="n"/>
      <c r="K25" s="536" t="n"/>
      <c r="L25" s="535" t="n"/>
      <c r="M25" s="404" t="n"/>
      <c r="N25" s="537" t="n">
        <v>1</v>
      </c>
      <c r="O25" s="537" t="n"/>
      <c r="P25" s="404" t="n"/>
      <c r="Q25" s="537" t="n"/>
      <c r="R25" s="537" t="n"/>
      <c r="S25" s="404" t="n"/>
      <c r="T25" s="535" t="n"/>
      <c r="U25" s="537" t="n"/>
      <c r="V25" s="404" t="n"/>
      <c r="W25" s="537" t="n"/>
      <c r="X25" s="537" t="n"/>
      <c r="Y25" s="404" t="n"/>
      <c r="Z25" s="537" t="n"/>
      <c r="AA25" s="537" t="n"/>
      <c r="AB25" s="404" t="n"/>
      <c r="AC25" s="286" t="n"/>
      <c r="AD25" s="286" t="n"/>
      <c r="AE25" s="404" t="n"/>
    </row>
    <row customHeight="1" ht="15.75" r="26" s="452" spans="1:32">
      <c r="A26" s="49" t="s">
        <v>41</v>
      </c>
      <c r="B26" s="49" t="s">
        <v>77</v>
      </c>
      <c r="C26" s="50">
        <f>C22+7</f>
        <v/>
      </c>
      <c r="D26" s="403" t="s">
        <v>60</v>
      </c>
      <c r="E26" s="566">
        <f>SUM(E27:E29)</f>
        <v/>
      </c>
      <c r="F26" s="566">
        <f>SUM(F27:F29)</f>
        <v/>
      </c>
      <c r="G26" s="103">
        <f>(E26-F26)/F26</f>
        <v/>
      </c>
      <c r="H26" s="566">
        <f>SUM(H27:H29)</f>
        <v/>
      </c>
      <c r="I26" s="566">
        <f>SUM(I27:I29)</f>
        <v/>
      </c>
      <c r="J26" s="103">
        <f>(H26-I26)/I26</f>
        <v/>
      </c>
      <c r="K26" s="567">
        <f>E26/H26</f>
        <v/>
      </c>
      <c r="L26" s="566">
        <f>F26/I26</f>
        <v/>
      </c>
      <c r="M26" s="103">
        <f>(K26-L26)/L26</f>
        <v/>
      </c>
      <c r="N26" s="568">
        <f>SUM(N27:N29)</f>
        <v/>
      </c>
      <c r="O26" s="568">
        <f>SUM(O27:O29)</f>
        <v/>
      </c>
      <c r="P26" s="103">
        <f>(N26-O26)/O26</f>
        <v/>
      </c>
      <c r="Q26" s="568">
        <f>SUM(Q27:Q29)</f>
        <v/>
      </c>
      <c r="R26" s="568">
        <f>SUM(R27:R29)</f>
        <v/>
      </c>
      <c r="S26" s="103">
        <f>(Q26-R26)/R26</f>
        <v/>
      </c>
      <c r="T26" s="568">
        <f>E26/Q26</f>
        <v/>
      </c>
      <c r="U26" s="568">
        <f>F26/R26</f>
        <v/>
      </c>
      <c r="V26" s="103">
        <f>(T26-U26)/U26</f>
        <v/>
      </c>
      <c r="W26" s="568">
        <f>SUM(W27:W29)</f>
        <v/>
      </c>
      <c r="X26" s="568">
        <f>SUM(X27:X29)</f>
        <v/>
      </c>
      <c r="Y26" s="103">
        <f>(W26-X26)/X26</f>
        <v/>
      </c>
      <c r="Z26" s="568">
        <f>SUM(Z27:Z29)</f>
        <v/>
      </c>
      <c r="AA26" s="568">
        <f>SUM(AA27:AA29)</f>
        <v/>
      </c>
      <c r="AB26" s="103">
        <f>(Z26-AA26)/AA26</f>
        <v/>
      </c>
      <c r="AC26" s="82">
        <f>W26/Z26</f>
        <v/>
      </c>
      <c r="AD26" s="82">
        <f>X26/AA26</f>
        <v/>
      </c>
      <c r="AE26" s="103">
        <f>(AC26-AD26)/AD26</f>
        <v/>
      </c>
    </row>
    <row customHeight="1" ht="15.75" r="27" s="452" spans="1:32">
      <c r="A27" s="279" t="n"/>
      <c r="B27" s="279" t="n"/>
      <c r="C27" s="280" t="n"/>
      <c r="D27" s="280" t="n"/>
      <c r="E27" s="535" t="n"/>
      <c r="F27" s="535" t="n"/>
      <c r="G27" s="404" t="n"/>
      <c r="H27" s="535" t="n"/>
      <c r="I27" s="535" t="n"/>
      <c r="J27" s="404" t="n"/>
      <c r="K27" s="536" t="n"/>
      <c r="L27" s="535" t="n"/>
      <c r="M27" s="404" t="n"/>
      <c r="N27" s="537" t="n"/>
      <c r="O27" s="537" t="n"/>
      <c r="P27" s="404" t="n"/>
      <c r="Q27" s="537" t="n"/>
      <c r="R27" s="537" t="n"/>
      <c r="S27" s="404" t="n"/>
      <c r="T27" s="535" t="n"/>
      <c r="U27" s="537" t="n"/>
      <c r="V27" s="404" t="n"/>
      <c r="W27" s="537" t="n"/>
      <c r="X27" s="537" t="n"/>
      <c r="Y27" s="404" t="n"/>
      <c r="Z27" s="537" t="n"/>
      <c r="AA27" s="537" t="n"/>
      <c r="AB27" s="404" t="n"/>
      <c r="AC27" s="286" t="n"/>
      <c r="AD27" s="286" t="n"/>
      <c r="AE27" s="404" t="n"/>
    </row>
    <row customHeight="1" ht="15.75" r="28" s="452" spans="1:32">
      <c r="A28" s="279" t="n"/>
      <c r="B28" s="279" t="n"/>
      <c r="C28" s="280" t="n"/>
      <c r="D28" s="280" t="n"/>
      <c r="E28" s="535" t="n"/>
      <c r="F28" s="535" t="n"/>
      <c r="G28" s="404" t="n"/>
      <c r="H28" s="535" t="n"/>
      <c r="I28" s="535" t="n"/>
      <c r="J28" s="404" t="n"/>
      <c r="K28" s="536" t="n"/>
      <c r="L28" s="535" t="n"/>
      <c r="M28" s="404" t="n"/>
      <c r="N28" s="537" t="n"/>
      <c r="O28" s="537" t="n"/>
      <c r="P28" s="404" t="n"/>
      <c r="Q28" s="537" t="n"/>
      <c r="R28" s="537" t="n"/>
      <c r="S28" s="404" t="n"/>
      <c r="T28" s="535" t="n"/>
      <c r="U28" s="537" t="n"/>
      <c r="V28" s="404" t="n"/>
      <c r="W28" s="537" t="n"/>
      <c r="X28" s="537" t="n"/>
      <c r="Y28" s="404" t="n"/>
      <c r="Z28" s="537" t="n"/>
      <c r="AA28" s="537" t="n"/>
      <c r="AB28" s="404" t="n"/>
      <c r="AC28" s="286" t="n"/>
      <c r="AD28" s="286" t="n"/>
      <c r="AE28" s="404" t="n"/>
    </row>
    <row customHeight="1" ht="15.75" r="29" s="452" spans="1:32">
      <c r="A29" s="279" t="n"/>
      <c r="B29" s="279" t="n"/>
      <c r="C29" s="280" t="n"/>
      <c r="D29" s="297" t="s">
        <v>177</v>
      </c>
      <c r="E29" s="535" t="n"/>
      <c r="F29" s="535" t="n"/>
      <c r="G29" s="404" t="n"/>
      <c r="H29" s="535" t="n"/>
      <c r="I29" s="535" t="n"/>
      <c r="J29" s="404" t="n"/>
      <c r="K29" s="536" t="n"/>
      <c r="L29" s="535" t="n"/>
      <c r="M29" s="404" t="n"/>
      <c r="N29" s="537" t="n"/>
      <c r="O29" s="537" t="n"/>
      <c r="P29" s="404" t="n"/>
      <c r="Q29" s="537" t="n"/>
      <c r="R29" s="537" t="n"/>
      <c r="S29" s="404" t="n"/>
      <c r="T29" s="535" t="n"/>
      <c r="U29" s="537" t="n"/>
      <c r="V29" s="404" t="n"/>
      <c r="W29" s="537" t="n"/>
      <c r="X29" s="537" t="n"/>
      <c r="Y29" s="404" t="n"/>
      <c r="Z29" s="537" t="n"/>
      <c r="AA29" s="537" t="n"/>
      <c r="AB29" s="404" t="n"/>
      <c r="AC29" s="286" t="n"/>
      <c r="AD29" s="286" t="n"/>
      <c r="AE29" s="404" t="n"/>
    </row>
    <row customHeight="1" ht="15.75" r="30" s="452" spans="1:32">
      <c r="A30" s="49" t="s">
        <v>41</v>
      </c>
      <c r="B30" s="49" t="s">
        <v>79</v>
      </c>
      <c r="C30" s="50">
        <f>C26+7</f>
        <v/>
      </c>
      <c r="D30" s="403" t="s">
        <v>60</v>
      </c>
      <c r="E30" s="566">
        <f>SUM(E31:E33)</f>
        <v/>
      </c>
      <c r="F30" s="566">
        <f>SUM(F31:F33)</f>
        <v/>
      </c>
      <c r="G30" s="103">
        <f>(E30-F30)/F30</f>
        <v/>
      </c>
      <c r="H30" s="566">
        <f>SUM(H31:H33)</f>
        <v/>
      </c>
      <c r="I30" s="566">
        <f>SUM(I31:I33)</f>
        <v/>
      </c>
      <c r="J30" s="103">
        <f>(H30-I30)/I30</f>
        <v/>
      </c>
      <c r="K30" s="567">
        <f>E30/H30</f>
        <v/>
      </c>
      <c r="L30" s="566">
        <f>F30/I30</f>
        <v/>
      </c>
      <c r="M30" s="103">
        <f>(K30-L30)/L30</f>
        <v/>
      </c>
      <c r="N30" s="568">
        <f>SUM(N31:N33)</f>
        <v/>
      </c>
      <c r="O30" s="568">
        <f>SUM(O31:O33)</f>
        <v/>
      </c>
      <c r="P30" s="103">
        <f>(N30-O30)/O30</f>
        <v/>
      </c>
      <c r="Q30" s="568">
        <f>SUM(Q31:Q33)</f>
        <v/>
      </c>
      <c r="R30" s="568">
        <f>SUM(R31:R33)</f>
        <v/>
      </c>
      <c r="S30" s="103">
        <f>(Q30-R30)/R30</f>
        <v/>
      </c>
      <c r="T30" s="568">
        <f>E30/Q30</f>
        <v/>
      </c>
      <c r="U30" s="568">
        <f>F30/R30</f>
        <v/>
      </c>
      <c r="V30" s="103">
        <f>(T30-U30)/U30</f>
        <v/>
      </c>
      <c r="W30" s="568">
        <f>SUM(W31:W33)</f>
        <v/>
      </c>
      <c r="X30" s="568">
        <f>SUM(X31:X33)</f>
        <v/>
      </c>
      <c r="Y30" s="103">
        <f>(W30-X30)/X30</f>
        <v/>
      </c>
      <c r="Z30" s="568">
        <f>SUM(Z31:Z33)</f>
        <v/>
      </c>
      <c r="AA30" s="568">
        <f>SUM(AA31:AA33)</f>
        <v/>
      </c>
      <c r="AB30" s="103">
        <f>(Z30-AA30)/AA30</f>
        <v/>
      </c>
      <c r="AC30" s="82">
        <f>W30/Z30</f>
        <v/>
      </c>
      <c r="AD30" s="82">
        <f>X30/AA30</f>
        <v/>
      </c>
      <c r="AE30" s="103">
        <f>(AC30-AD30)/AD30</f>
        <v/>
      </c>
    </row>
    <row customHeight="1" ht="15.75" r="31" s="452" spans="1:32">
      <c r="A31" s="279" t="n"/>
      <c r="B31" s="279" t="n"/>
      <c r="C31" s="280" t="n"/>
      <c r="D31" s="280" t="n"/>
      <c r="E31" s="535" t="n"/>
      <c r="F31" s="535" t="n"/>
      <c r="G31" s="404" t="n"/>
      <c r="H31" s="535" t="n"/>
      <c r="I31" s="535" t="n"/>
      <c r="J31" s="404" t="n"/>
      <c r="K31" s="536" t="n"/>
      <c r="L31" s="535" t="n"/>
      <c r="M31" s="404" t="n"/>
      <c r="N31" s="537" t="n"/>
      <c r="O31" s="537" t="n"/>
      <c r="P31" s="404" t="n"/>
      <c r="Q31" s="537" t="n"/>
      <c r="R31" s="537" t="n"/>
      <c r="S31" s="404" t="n"/>
      <c r="T31" s="535" t="n"/>
      <c r="U31" s="537" t="n"/>
      <c r="V31" s="404" t="n"/>
      <c r="W31" s="537" t="n"/>
      <c r="X31" s="537" t="n"/>
      <c r="Y31" s="404" t="n"/>
      <c r="Z31" s="537" t="n"/>
      <c r="AA31" s="537" t="n"/>
      <c r="AB31" s="404" t="n"/>
      <c r="AC31" s="286" t="n"/>
      <c r="AD31" s="286" t="n"/>
      <c r="AE31" s="404" t="n"/>
    </row>
    <row customHeight="1" ht="15.75" r="32" s="452" spans="1:32">
      <c r="A32" s="279" t="n"/>
      <c r="B32" s="279" t="n"/>
      <c r="C32" s="280" t="n"/>
      <c r="D32" s="280" t="n"/>
      <c r="E32" s="535" t="n"/>
      <c r="F32" s="535" t="n"/>
      <c r="G32" s="404" t="n"/>
      <c r="H32" s="535" t="n"/>
      <c r="I32" s="535" t="n"/>
      <c r="J32" s="404" t="n"/>
      <c r="K32" s="536" t="n"/>
      <c r="L32" s="535" t="n"/>
      <c r="M32" s="404" t="n"/>
      <c r="N32" s="537" t="n"/>
      <c r="O32" s="537" t="n"/>
      <c r="P32" s="404" t="n"/>
      <c r="Q32" s="537" t="n"/>
      <c r="R32" s="537" t="n"/>
      <c r="S32" s="404" t="n"/>
      <c r="T32" s="535" t="n"/>
      <c r="U32" s="537" t="n"/>
      <c r="V32" s="404" t="n"/>
      <c r="W32" s="537" t="n"/>
      <c r="X32" s="537" t="n"/>
      <c r="Y32" s="404" t="n"/>
      <c r="Z32" s="537" t="n"/>
      <c r="AA32" s="537" t="n"/>
      <c r="AB32" s="404" t="n"/>
      <c r="AC32" s="286" t="n"/>
      <c r="AD32" s="286" t="n"/>
      <c r="AE32" s="404" t="n"/>
    </row>
    <row customFormat="1" customHeight="1" ht="15.75" r="33" s="357" spans="1:32">
      <c r="A33" s="347" t="n"/>
      <c r="B33" s="347" t="n"/>
      <c r="C33" s="348" t="n"/>
      <c r="D33" s="349" t="s">
        <v>177</v>
      </c>
      <c r="E33" s="612" t="n"/>
      <c r="F33" s="612" t="n"/>
      <c r="G33" s="405" t="n"/>
      <c r="H33" s="612" t="n"/>
      <c r="I33" s="612" t="n"/>
      <c r="J33" s="405" t="n"/>
      <c r="K33" s="613" t="n"/>
      <c r="L33" s="612" t="n"/>
      <c r="M33" s="405" t="n"/>
      <c r="N33" s="614" t="n"/>
      <c r="O33" s="614" t="n"/>
      <c r="P33" s="405" t="n"/>
      <c r="Q33" s="614" t="n"/>
      <c r="R33" s="614" t="n"/>
      <c r="S33" s="405" t="n"/>
      <c r="T33" s="612" t="n"/>
      <c r="U33" s="614" t="n"/>
      <c r="V33" s="405" t="n"/>
      <c r="W33" s="614" t="n"/>
      <c r="X33" s="614" t="n"/>
      <c r="Y33" s="405" t="n"/>
      <c r="Z33" s="614" t="n"/>
      <c r="AA33" s="614" t="n"/>
      <c r="AB33" s="405" t="n"/>
      <c r="AC33" s="356" t="n"/>
      <c r="AD33" s="356" t="n"/>
      <c r="AE33" s="405" t="n"/>
    </row>
    <row customHeight="1" ht="15.75" r="34" s="452" spans="1:32">
      <c r="A34" s="49" t="s">
        <v>42</v>
      </c>
      <c r="B34" s="49" t="s">
        <v>80</v>
      </c>
      <c r="C34" s="50">
        <f>C30+7</f>
        <v/>
      </c>
      <c r="D34" s="403" t="s">
        <v>60</v>
      </c>
      <c r="E34" s="566">
        <f>SUM(E35:E37)</f>
        <v/>
      </c>
      <c r="F34" s="566">
        <f>SUM(F35:F37)</f>
        <v/>
      </c>
      <c r="G34" s="103">
        <f>(E34-F34)/F34</f>
        <v/>
      </c>
      <c r="H34" s="566">
        <f>SUM(H35:H37)</f>
        <v/>
      </c>
      <c r="I34" s="566">
        <f>SUM(I35:I37)</f>
        <v/>
      </c>
      <c r="J34" s="103">
        <f>(H34-I34)/I34</f>
        <v/>
      </c>
      <c r="K34" s="567">
        <f>E34/H34</f>
        <v/>
      </c>
      <c r="L34" s="566">
        <f>F34/I34</f>
        <v/>
      </c>
      <c r="M34" s="103">
        <f>(K34-L34)/L34</f>
        <v/>
      </c>
      <c r="N34" s="568">
        <f>SUM(N35:N37)</f>
        <v/>
      </c>
      <c r="O34" s="568">
        <f>SUM(O35:O37)</f>
        <v/>
      </c>
      <c r="P34" s="103">
        <f>(N34-O34)/O34</f>
        <v/>
      </c>
      <c r="Q34" s="568">
        <f>SUM(Q35:Q37)</f>
        <v/>
      </c>
      <c r="R34" s="568">
        <f>SUM(R35:R37)</f>
        <v/>
      </c>
      <c r="S34" s="103">
        <f>(Q34-R34)/R34</f>
        <v/>
      </c>
      <c r="T34" s="568">
        <f>E34/Q34</f>
        <v/>
      </c>
      <c r="U34" s="568">
        <f>F34/R34</f>
        <v/>
      </c>
      <c r="V34" s="103">
        <f>(T34-U34)/U34</f>
        <v/>
      </c>
      <c r="W34" s="568">
        <f>SUM(W35:W37)</f>
        <v/>
      </c>
      <c r="X34" s="568">
        <f>SUM(X35:X37)</f>
        <v/>
      </c>
      <c r="Y34" s="103">
        <f>(W34-X34)/X34</f>
        <v/>
      </c>
      <c r="Z34" s="568">
        <f>SUM(Z35:Z37)</f>
        <v/>
      </c>
      <c r="AA34" s="568">
        <f>SUM(AA35:AA37)</f>
        <v/>
      </c>
      <c r="AB34" s="103">
        <f>(Z34-AA34)/AA34</f>
        <v/>
      </c>
      <c r="AC34" s="82">
        <f>W34/Z34</f>
        <v/>
      </c>
      <c r="AD34" s="82">
        <f>X34/AA34</f>
        <v/>
      </c>
      <c r="AE34" s="103">
        <f>(AC34-AD34)/AD34</f>
        <v/>
      </c>
    </row>
    <row customHeight="1" ht="15.75" r="35" s="452" spans="1:32">
      <c r="A35" s="279" t="n"/>
      <c r="B35" s="279" t="n"/>
      <c r="C35" s="280" t="n"/>
      <c r="D35" s="280" t="n"/>
      <c r="E35" s="535" t="n"/>
      <c r="F35" s="535" t="n"/>
      <c r="G35" s="404" t="n"/>
      <c r="H35" s="535" t="n"/>
      <c r="I35" s="535" t="n"/>
      <c r="J35" s="404" t="n"/>
      <c r="K35" s="536" t="n"/>
      <c r="L35" s="535" t="n"/>
      <c r="M35" s="404" t="n"/>
      <c r="N35" s="537" t="n"/>
      <c r="O35" s="537" t="n"/>
      <c r="P35" s="404" t="n"/>
      <c r="Q35" s="537" t="n"/>
      <c r="R35" s="537" t="n"/>
      <c r="S35" s="404" t="n"/>
      <c r="T35" s="535" t="n"/>
      <c r="U35" s="537" t="n"/>
      <c r="V35" s="404" t="n"/>
      <c r="W35" s="537" t="n"/>
      <c r="X35" s="537" t="n"/>
      <c r="Y35" s="404" t="n"/>
      <c r="Z35" s="537" t="n"/>
      <c r="AA35" s="537" t="n"/>
      <c r="AB35" s="404" t="n"/>
      <c r="AC35" s="286" t="n"/>
      <c r="AD35" s="286" t="n"/>
      <c r="AE35" s="404" t="n"/>
    </row>
    <row customHeight="1" ht="15.75" r="36" s="452" spans="1:32">
      <c r="A36" s="279" t="n"/>
      <c r="B36" s="279" t="n"/>
      <c r="C36" s="280" t="n"/>
      <c r="D36" s="280" t="n"/>
      <c r="E36" s="535" t="n"/>
      <c r="F36" s="535" t="n"/>
      <c r="G36" s="404" t="n"/>
      <c r="H36" s="535" t="n"/>
      <c r="I36" s="535" t="n"/>
      <c r="J36" s="404" t="n"/>
      <c r="K36" s="536" t="n"/>
      <c r="L36" s="535" t="n"/>
      <c r="M36" s="404" t="n"/>
      <c r="N36" s="537" t="n"/>
      <c r="O36" s="537" t="n"/>
      <c r="P36" s="404" t="n"/>
      <c r="Q36" s="537" t="n"/>
      <c r="R36" s="537" t="n"/>
      <c r="S36" s="404" t="n"/>
      <c r="T36" s="535" t="n"/>
      <c r="U36" s="537" t="n"/>
      <c r="V36" s="404" t="n"/>
      <c r="W36" s="537" t="n"/>
      <c r="X36" s="537" t="n"/>
      <c r="Y36" s="404" t="n"/>
      <c r="Z36" s="537" t="n"/>
      <c r="AA36" s="537" t="n"/>
      <c r="AB36" s="404" t="n"/>
      <c r="AC36" s="286" t="n"/>
      <c r="AD36" s="286" t="n"/>
      <c r="AE36" s="404" t="n"/>
    </row>
    <row customHeight="1" ht="15.75" r="37" s="452" spans="1:32">
      <c r="A37" s="279" t="n"/>
      <c r="B37" s="279" t="n"/>
      <c r="C37" s="280" t="n"/>
      <c r="D37" s="297" t="s">
        <v>177</v>
      </c>
      <c r="E37" s="535" t="n"/>
      <c r="F37" s="535" t="n"/>
      <c r="G37" s="404" t="n"/>
      <c r="H37" s="535" t="n"/>
      <c r="I37" s="535" t="n"/>
      <c r="J37" s="404" t="n"/>
      <c r="K37" s="536" t="n"/>
      <c r="L37" s="535" t="n"/>
      <c r="M37" s="404" t="n"/>
      <c r="N37" s="537" t="n"/>
      <c r="O37" s="537" t="n"/>
      <c r="P37" s="404" t="n"/>
      <c r="Q37" s="537" t="n"/>
      <c r="R37" s="537" t="n"/>
      <c r="S37" s="404" t="n"/>
      <c r="T37" s="535" t="n"/>
      <c r="U37" s="537" t="n"/>
      <c r="V37" s="404" t="n"/>
      <c r="W37" s="537" t="n"/>
      <c r="X37" s="537" t="n"/>
      <c r="Y37" s="404" t="n"/>
      <c r="Z37" s="537" t="n"/>
      <c r="AA37" s="537" t="n"/>
      <c r="AB37" s="404" t="n"/>
      <c r="AC37" s="286" t="n"/>
      <c r="AD37" s="286" t="n"/>
      <c r="AE37" s="404" t="n"/>
    </row>
    <row customHeight="1" ht="15.75" r="38" s="452" spans="1:32">
      <c r="A38" s="49" t="s">
        <v>42</v>
      </c>
      <c r="B38" s="49" t="s">
        <v>82</v>
      </c>
      <c r="C38" s="50" t="n">
        <v>42797</v>
      </c>
      <c r="D38" s="403" t="s">
        <v>60</v>
      </c>
      <c r="E38" s="566">
        <f>SUM(E39:E41)</f>
        <v/>
      </c>
      <c r="F38" s="566">
        <f>SUM(F39:F41)</f>
        <v/>
      </c>
      <c r="G38" s="103">
        <f>(E38-F38)/F38</f>
        <v/>
      </c>
      <c r="H38" s="566">
        <f>SUM(H39:H41)</f>
        <v/>
      </c>
      <c r="I38" s="566">
        <f>SUM(I39:I41)</f>
        <v/>
      </c>
      <c r="J38" s="103">
        <f>(H38-I38)/I38</f>
        <v/>
      </c>
      <c r="K38" s="567">
        <f>E38/H38</f>
        <v/>
      </c>
      <c r="L38" s="566">
        <f>F38/I38</f>
        <v/>
      </c>
      <c r="M38" s="103">
        <f>(K38-L38)/L38</f>
        <v/>
      </c>
      <c r="N38" s="568">
        <f>SUM(N39:N41)</f>
        <v/>
      </c>
      <c r="O38" s="568">
        <f>SUM(O39:O41)</f>
        <v/>
      </c>
      <c r="P38" s="103">
        <f>(N38-O38)/O38</f>
        <v/>
      </c>
      <c r="Q38" s="568">
        <f>SUM(Q39:Q41)</f>
        <v/>
      </c>
      <c r="R38" s="568">
        <f>SUM(R39:R41)</f>
        <v/>
      </c>
      <c r="S38" s="103">
        <f>(Q38-R38)/R38</f>
        <v/>
      </c>
      <c r="T38" s="568">
        <f>E38/Q38</f>
        <v/>
      </c>
      <c r="U38" s="568">
        <f>F38/R38</f>
        <v/>
      </c>
      <c r="V38" s="103">
        <f>(T38-U38)/U38</f>
        <v/>
      </c>
      <c r="W38" s="568">
        <f>SUM(W39:W41)</f>
        <v/>
      </c>
      <c r="X38" s="568">
        <f>SUM(X39:X41)</f>
        <v/>
      </c>
      <c r="Y38" s="103">
        <f>(W38-X38)/X38</f>
        <v/>
      </c>
      <c r="Z38" s="568">
        <f>SUM(Z39:Z41)</f>
        <v/>
      </c>
      <c r="AA38" s="568">
        <f>SUM(AA39:AA41)</f>
        <v/>
      </c>
      <c r="AB38" s="103">
        <f>(Z38-AA38)/AA38</f>
        <v/>
      </c>
      <c r="AC38" s="82">
        <f>W38/Z38</f>
        <v/>
      </c>
      <c r="AD38" s="82">
        <f>X38/AA38</f>
        <v/>
      </c>
      <c r="AE38" s="103">
        <f>(AC38-AD38)/AD38</f>
        <v/>
      </c>
    </row>
    <row customHeight="1" ht="15.75" r="39" s="452" spans="1:32">
      <c r="A39" s="279" t="n"/>
      <c r="B39" s="279" t="n"/>
      <c r="C39" s="280" t="n"/>
      <c r="D39" s="280" t="n"/>
      <c r="E39" s="535" t="n"/>
      <c r="F39" s="535" t="n"/>
      <c r="G39" s="404" t="n"/>
      <c r="H39" s="535" t="n"/>
      <c r="I39" s="535" t="n"/>
      <c r="J39" s="404" t="n"/>
      <c r="K39" s="536" t="n"/>
      <c r="L39" s="535" t="n"/>
      <c r="M39" s="404" t="n"/>
      <c r="N39" s="537" t="n"/>
      <c r="O39" s="537" t="n"/>
      <c r="P39" s="404" t="n"/>
      <c r="Q39" s="537" t="n"/>
      <c r="R39" s="537" t="n"/>
      <c r="S39" s="404" t="n"/>
      <c r="T39" s="535" t="n"/>
      <c r="U39" s="537" t="n"/>
      <c r="V39" s="404" t="n"/>
      <c r="W39" s="537" t="n"/>
      <c r="X39" s="537" t="n"/>
      <c r="Y39" s="404" t="n"/>
      <c r="Z39" s="537" t="n"/>
      <c r="AA39" s="537" t="n"/>
      <c r="AB39" s="404" t="n"/>
      <c r="AC39" s="286" t="n"/>
      <c r="AD39" s="286" t="n"/>
      <c r="AE39" s="404" t="n"/>
    </row>
    <row customHeight="1" ht="15.75" r="40" s="452" spans="1:32">
      <c r="A40" s="279" t="n"/>
      <c r="B40" s="279" t="n"/>
      <c r="C40" s="280" t="n"/>
      <c r="D40" s="280" t="n"/>
      <c r="E40" s="535" t="n"/>
      <c r="F40" s="535" t="n"/>
      <c r="G40" s="404" t="n"/>
      <c r="H40" s="535" t="n"/>
      <c r="I40" s="535" t="n"/>
      <c r="J40" s="404" t="n"/>
      <c r="K40" s="536" t="n"/>
      <c r="L40" s="535" t="n"/>
      <c r="M40" s="404" t="n"/>
      <c r="N40" s="537" t="n"/>
      <c r="O40" s="537" t="n"/>
      <c r="P40" s="404" t="n"/>
      <c r="Q40" s="537" t="n"/>
      <c r="R40" s="537" t="n"/>
      <c r="S40" s="404" t="n"/>
      <c r="T40" s="535" t="n"/>
      <c r="U40" s="537" t="n"/>
      <c r="V40" s="404" t="n"/>
      <c r="W40" s="537" t="n"/>
      <c r="X40" s="537" t="n"/>
      <c r="Y40" s="404" t="n"/>
      <c r="Z40" s="537" t="n"/>
      <c r="AA40" s="537" t="n"/>
      <c r="AB40" s="404" t="n"/>
      <c r="AC40" s="286" t="n"/>
      <c r="AD40" s="286" t="n"/>
      <c r="AE40" s="404" t="n"/>
    </row>
    <row customHeight="1" ht="15.75" r="41" s="452" spans="1:32">
      <c r="A41" s="279" t="n"/>
      <c r="B41" s="279" t="n"/>
      <c r="C41" s="280" t="n"/>
      <c r="D41" s="297" t="s">
        <v>177</v>
      </c>
      <c r="E41" s="535" t="n"/>
      <c r="F41" s="535" t="n"/>
      <c r="G41" s="404" t="n"/>
      <c r="H41" s="535" t="n"/>
      <c r="I41" s="535" t="n"/>
      <c r="J41" s="404" t="n"/>
      <c r="K41" s="536" t="n"/>
      <c r="L41" s="535" t="n"/>
      <c r="M41" s="404" t="n"/>
      <c r="N41" s="537" t="n"/>
      <c r="O41" s="537" t="n"/>
      <c r="P41" s="404" t="n"/>
      <c r="Q41" s="537" t="n"/>
      <c r="R41" s="537" t="n"/>
      <c r="S41" s="404" t="n"/>
      <c r="T41" s="535" t="n"/>
      <c r="U41" s="537" t="n"/>
      <c r="V41" s="404" t="n"/>
      <c r="W41" s="537" t="n"/>
      <c r="X41" s="537" t="n"/>
      <c r="Y41" s="404" t="n"/>
      <c r="Z41" s="537" t="n"/>
      <c r="AA41" s="537" t="n"/>
      <c r="AB41" s="404" t="n"/>
      <c r="AC41" s="286" t="n"/>
      <c r="AD41" s="286" t="n"/>
      <c r="AE41" s="404" t="n"/>
    </row>
    <row customHeight="1" ht="15.75" r="42" s="452" spans="1:32">
      <c r="A42" s="49" t="s">
        <v>42</v>
      </c>
      <c r="B42" s="49" t="s">
        <v>84</v>
      </c>
      <c r="C42" s="50">
        <f>C38+7</f>
        <v/>
      </c>
      <c r="D42" s="403" t="s">
        <v>60</v>
      </c>
      <c r="E42" s="566">
        <f>SUM(E43:E45)</f>
        <v/>
      </c>
      <c r="F42" s="566">
        <f>SUM(F43:F45)</f>
        <v/>
      </c>
      <c r="G42" s="103">
        <f>(E42-F42)/F42</f>
        <v/>
      </c>
      <c r="H42" s="566">
        <f>SUM(H43:H45)</f>
        <v/>
      </c>
      <c r="I42" s="566">
        <f>SUM(I43:I45)</f>
        <v/>
      </c>
      <c r="J42" s="103">
        <f>(H42-I42)/I42</f>
        <v/>
      </c>
      <c r="K42" s="567">
        <f>E42/H42</f>
        <v/>
      </c>
      <c r="L42" s="566">
        <f>F42/I42</f>
        <v/>
      </c>
      <c r="M42" s="103">
        <f>(K42-L42)/L42</f>
        <v/>
      </c>
      <c r="N42" s="568">
        <f>SUM(N43:N45)</f>
        <v/>
      </c>
      <c r="O42" s="568">
        <f>SUM(O43:O45)</f>
        <v/>
      </c>
      <c r="P42" s="103">
        <f>(N42-O42)/O42</f>
        <v/>
      </c>
      <c r="Q42" s="568">
        <f>SUM(Q43:Q45)</f>
        <v/>
      </c>
      <c r="R42" s="568">
        <f>SUM(R43:R45)</f>
        <v/>
      </c>
      <c r="S42" s="103">
        <f>(Q42-R42)/R42</f>
        <v/>
      </c>
      <c r="T42" s="568">
        <f>E42/Q42</f>
        <v/>
      </c>
      <c r="U42" s="568">
        <f>F42/R42</f>
        <v/>
      </c>
      <c r="V42" s="103">
        <f>(T42-U42)/U42</f>
        <v/>
      </c>
      <c r="W42" s="568">
        <f>SUM(W43:W45)</f>
        <v/>
      </c>
      <c r="X42" s="568">
        <f>SUM(X43:X45)</f>
        <v/>
      </c>
      <c r="Y42" s="103">
        <f>(W42-X42)/X42</f>
        <v/>
      </c>
      <c r="Z42" s="568">
        <f>SUM(Z43:Z45)</f>
        <v/>
      </c>
      <c r="AA42" s="568">
        <f>SUM(AA43:AA45)</f>
        <v/>
      </c>
      <c r="AB42" s="103">
        <f>(Z42-AA42)/AA42</f>
        <v/>
      </c>
      <c r="AC42" s="82">
        <f>W42/Z42</f>
        <v/>
      </c>
      <c r="AD42" s="82">
        <f>X42/AA42</f>
        <v/>
      </c>
      <c r="AE42" s="103">
        <f>(AC42-AD42)/AD42</f>
        <v/>
      </c>
    </row>
    <row customHeight="1" ht="15.75" r="43" s="452" spans="1:32">
      <c r="A43" s="279" t="n"/>
      <c r="B43" s="279" t="n"/>
      <c r="C43" s="280" t="n"/>
      <c r="D43" s="280" t="n"/>
      <c r="E43" s="535" t="n"/>
      <c r="F43" s="535" t="n"/>
      <c r="G43" s="404" t="n"/>
      <c r="H43" s="535" t="n"/>
      <c r="I43" s="535" t="n"/>
      <c r="J43" s="404" t="n"/>
      <c r="K43" s="536" t="n"/>
      <c r="L43" s="535" t="n"/>
      <c r="M43" s="404" t="n"/>
      <c r="N43" s="537" t="n"/>
      <c r="O43" s="537" t="n"/>
      <c r="P43" s="404" t="n"/>
      <c r="Q43" s="537" t="n"/>
      <c r="R43" s="537" t="n"/>
      <c r="S43" s="404" t="n"/>
      <c r="T43" s="535" t="n"/>
      <c r="U43" s="537" t="n"/>
      <c r="V43" s="404" t="n"/>
      <c r="W43" s="537" t="n"/>
      <c r="X43" s="537" t="n"/>
      <c r="Y43" s="404" t="n"/>
      <c r="Z43" s="537" t="n"/>
      <c r="AA43" s="537" t="n"/>
      <c r="AB43" s="404" t="n"/>
      <c r="AC43" s="286" t="n"/>
      <c r="AD43" s="286" t="n"/>
      <c r="AE43" s="404" t="n"/>
    </row>
    <row customHeight="1" ht="15.75" r="44" s="452" spans="1:32">
      <c r="A44" s="279" t="n"/>
      <c r="B44" s="279" t="n"/>
      <c r="C44" s="280" t="n"/>
      <c r="D44" s="280" t="n"/>
      <c r="E44" s="535" t="n"/>
      <c r="F44" s="535" t="n"/>
      <c r="G44" s="404" t="n"/>
      <c r="H44" s="535" t="n"/>
      <c r="I44" s="535" t="n"/>
      <c r="J44" s="404" t="n"/>
      <c r="K44" s="536" t="n"/>
      <c r="L44" s="535" t="n"/>
      <c r="M44" s="404" t="n"/>
      <c r="N44" s="537" t="n"/>
      <c r="O44" s="537" t="n"/>
      <c r="P44" s="404" t="n"/>
      <c r="Q44" s="537" t="n"/>
      <c r="R44" s="537" t="n"/>
      <c r="S44" s="404" t="n"/>
      <c r="T44" s="535" t="n"/>
      <c r="U44" s="537" t="n"/>
      <c r="V44" s="404" t="n"/>
      <c r="W44" s="537" t="n"/>
      <c r="X44" s="537" t="n"/>
      <c r="Y44" s="404" t="n"/>
      <c r="Z44" s="537" t="n"/>
      <c r="AA44" s="537" t="n"/>
      <c r="AB44" s="404" t="n"/>
      <c r="AC44" s="286" t="n"/>
      <c r="AD44" s="286" t="n"/>
      <c r="AE44" s="404" t="n"/>
    </row>
    <row customHeight="1" ht="15.75" r="45" s="452" spans="1:32">
      <c r="A45" s="279" t="n"/>
      <c r="B45" s="279" t="n"/>
      <c r="C45" s="280" t="n"/>
      <c r="D45" s="297" t="s">
        <v>177</v>
      </c>
      <c r="E45" s="535" t="n"/>
      <c r="F45" s="535" t="n"/>
      <c r="G45" s="404" t="n"/>
      <c r="H45" s="535" t="n"/>
      <c r="I45" s="535" t="n"/>
      <c r="J45" s="404" t="n"/>
      <c r="K45" s="536" t="n"/>
      <c r="L45" s="535" t="n"/>
      <c r="M45" s="404" t="n"/>
      <c r="N45" s="537" t="n"/>
      <c r="O45" s="537" t="n">
        <v>1</v>
      </c>
      <c r="P45" s="404" t="n"/>
      <c r="Q45" s="537" t="n"/>
      <c r="R45" s="537" t="n"/>
      <c r="S45" s="404" t="n"/>
      <c r="T45" s="535" t="n"/>
      <c r="U45" s="537" t="n"/>
      <c r="V45" s="404" t="n"/>
      <c r="W45" s="537" t="n"/>
      <c r="X45" s="537" t="n"/>
      <c r="Y45" s="404" t="n"/>
      <c r="Z45" s="537" t="n"/>
      <c r="AA45" s="537" t="n"/>
      <c r="AB45" s="404" t="n"/>
      <c r="AC45" s="286" t="n"/>
      <c r="AD45" s="286" t="n"/>
      <c r="AE45" s="404" t="n"/>
    </row>
    <row customHeight="1" ht="15.75" r="46" s="452" spans="1:32">
      <c r="A46" s="49" t="s">
        <v>42</v>
      </c>
      <c r="B46" s="49" t="s">
        <v>86</v>
      </c>
      <c r="C46" s="50">
        <f>C42+7</f>
        <v/>
      </c>
      <c r="D46" s="403" t="s">
        <v>60</v>
      </c>
      <c r="E46" s="566">
        <f>SUM(E47:E49)</f>
        <v/>
      </c>
      <c r="F46" s="566">
        <f>SUM(F47:F49)</f>
        <v/>
      </c>
      <c r="G46" s="103">
        <f>(E46-F46)/F46</f>
        <v/>
      </c>
      <c r="H46" s="566">
        <f>SUM(H47:H49)</f>
        <v/>
      </c>
      <c r="I46" s="566">
        <f>SUM(I47:I49)</f>
        <v/>
      </c>
      <c r="J46" s="103">
        <f>(H46-I46)/I46</f>
        <v/>
      </c>
      <c r="K46" s="567">
        <f>E46/H46</f>
        <v/>
      </c>
      <c r="L46" s="566">
        <f>F46/I46</f>
        <v/>
      </c>
      <c r="M46" s="103">
        <f>(K46-L46)/L46</f>
        <v/>
      </c>
      <c r="N46" s="568">
        <f>SUM(N47:N49)</f>
        <v/>
      </c>
      <c r="O46" s="568">
        <f>SUM(O47:O49)</f>
        <v/>
      </c>
      <c r="P46" s="103">
        <f>(N46-O46)/O46</f>
        <v/>
      </c>
      <c r="Q46" s="568">
        <f>SUM(Q47:Q49)</f>
        <v/>
      </c>
      <c r="R46" s="568">
        <f>SUM(R47:R49)</f>
        <v/>
      </c>
      <c r="S46" s="103">
        <f>(Q46-R46)/R46</f>
        <v/>
      </c>
      <c r="T46" s="568">
        <f>E46/Q46</f>
        <v/>
      </c>
      <c r="U46" s="568">
        <f>F46/R46</f>
        <v/>
      </c>
      <c r="V46" s="103">
        <f>(T46-U46)/U46</f>
        <v/>
      </c>
      <c r="W46" s="568">
        <f>SUM(W47:W49)</f>
        <v/>
      </c>
      <c r="X46" s="568">
        <f>SUM(X47:X49)</f>
        <v/>
      </c>
      <c r="Y46" s="103">
        <f>(W46-X46)/X46</f>
        <v/>
      </c>
      <c r="Z46" s="568">
        <f>SUM(Z47:Z49)</f>
        <v/>
      </c>
      <c r="AA46" s="568">
        <f>SUM(AA47:AA49)</f>
        <v/>
      </c>
      <c r="AB46" s="103">
        <f>(Z46-AA46)/AA46</f>
        <v/>
      </c>
      <c r="AC46" s="82">
        <f>W46/Z46</f>
        <v/>
      </c>
      <c r="AD46" s="82">
        <f>X46/AA46</f>
        <v/>
      </c>
      <c r="AE46" s="103">
        <f>(AC46-AD46)/AD46</f>
        <v/>
      </c>
    </row>
    <row customHeight="1" ht="15.75" r="47" s="452" spans="1:32">
      <c r="A47" s="279" t="n"/>
      <c r="B47" s="279" t="n"/>
      <c r="C47" s="280" t="n"/>
      <c r="D47" s="280" t="n"/>
      <c r="E47" s="535" t="n"/>
      <c r="F47" s="535" t="n"/>
      <c r="G47" s="404" t="n"/>
      <c r="H47" s="535" t="n"/>
      <c r="I47" s="535" t="n"/>
      <c r="J47" s="404" t="n"/>
      <c r="K47" s="536" t="n"/>
      <c r="L47" s="535" t="n"/>
      <c r="M47" s="404" t="n"/>
      <c r="N47" s="537" t="n"/>
      <c r="O47" s="537" t="n"/>
      <c r="P47" s="404" t="n"/>
      <c r="Q47" s="537" t="n"/>
      <c r="R47" s="537" t="n"/>
      <c r="S47" s="404" t="n"/>
      <c r="T47" s="535" t="n"/>
      <c r="U47" s="537" t="n"/>
      <c r="V47" s="404" t="n"/>
      <c r="W47" s="537" t="n"/>
      <c r="X47" s="537" t="n"/>
      <c r="Y47" s="404" t="n"/>
      <c r="Z47" s="537" t="n"/>
      <c r="AA47" s="537" t="n"/>
      <c r="AB47" s="404" t="n"/>
      <c r="AC47" s="286" t="n"/>
      <c r="AD47" s="286" t="n"/>
      <c r="AE47" s="404" t="n"/>
    </row>
    <row customHeight="1" ht="15.75" r="48" s="452" spans="1:32">
      <c r="A48" s="279" t="n"/>
      <c r="B48" s="279" t="n"/>
      <c r="C48" s="280" t="n"/>
      <c r="D48" s="280" t="n"/>
      <c r="E48" s="535" t="n"/>
      <c r="F48" s="535" t="n"/>
      <c r="G48" s="404" t="n"/>
      <c r="H48" s="535" t="n"/>
      <c r="I48" s="535" t="n"/>
      <c r="J48" s="404" t="n"/>
      <c r="K48" s="536" t="n"/>
      <c r="L48" s="535" t="n"/>
      <c r="M48" s="404" t="n"/>
      <c r="N48" s="537" t="n"/>
      <c r="O48" s="537" t="n"/>
      <c r="P48" s="404" t="n"/>
      <c r="Q48" s="537" t="n"/>
      <c r="R48" s="537" t="n"/>
      <c r="S48" s="404" t="n"/>
      <c r="T48" s="535" t="n"/>
      <c r="U48" s="537" t="n"/>
      <c r="V48" s="404" t="n"/>
      <c r="W48" s="537" t="n"/>
      <c r="X48" s="537" t="n"/>
      <c r="Y48" s="404" t="n"/>
      <c r="Z48" s="537" t="n"/>
      <c r="AA48" s="537" t="n"/>
      <c r="AB48" s="404" t="n"/>
      <c r="AC48" s="286" t="n"/>
      <c r="AD48" s="286" t="n"/>
      <c r="AE48" s="404" t="n"/>
    </row>
    <row customFormat="1" customHeight="1" ht="15.75" r="49" s="357" spans="1:32">
      <c r="A49" s="347" t="n"/>
      <c r="B49" s="347" t="n"/>
      <c r="C49" s="348" t="n"/>
      <c r="D49" s="349" t="s">
        <v>177</v>
      </c>
      <c r="E49" s="612" t="n"/>
      <c r="F49" s="612" t="n"/>
      <c r="G49" s="405" t="n"/>
      <c r="H49" s="612" t="n"/>
      <c r="I49" s="612" t="n"/>
      <c r="J49" s="405" t="n"/>
      <c r="K49" s="613" t="n"/>
      <c r="L49" s="612" t="n"/>
      <c r="M49" s="405" t="n"/>
      <c r="N49" s="614" t="n"/>
      <c r="O49" s="614" t="n">
        <v>2</v>
      </c>
      <c r="P49" s="405" t="n"/>
      <c r="Q49" s="614" t="n"/>
      <c r="R49" s="614" t="n"/>
      <c r="S49" s="405" t="n"/>
      <c r="T49" s="612" t="n"/>
      <c r="U49" s="614" t="n"/>
      <c r="V49" s="405" t="n"/>
      <c r="W49" s="614" t="n"/>
      <c r="X49" s="614" t="n"/>
      <c r="Y49" s="405" t="n"/>
      <c r="Z49" s="614" t="n"/>
      <c r="AA49" s="614" t="n"/>
      <c r="AB49" s="405" t="n"/>
      <c r="AC49" s="356" t="n"/>
      <c r="AD49" s="356" t="n"/>
      <c r="AE49" s="405" t="n"/>
    </row>
    <row customHeight="1" ht="15.75" r="50" s="452" spans="1:32">
      <c r="A50" s="49" t="s">
        <v>43</v>
      </c>
      <c r="B50" s="49" t="s">
        <v>88</v>
      </c>
      <c r="C50" s="50">
        <f>C46+7</f>
        <v/>
      </c>
      <c r="D50" s="403" t="s">
        <v>60</v>
      </c>
      <c r="E50" s="566">
        <f>SUM(E51:E53)</f>
        <v/>
      </c>
      <c r="F50" s="566">
        <f>SUM(F51:F53)</f>
        <v/>
      </c>
      <c r="G50" s="103">
        <f>(E50-F50)/F50</f>
        <v/>
      </c>
      <c r="H50" s="566">
        <f>SUM(H51:H53)</f>
        <v/>
      </c>
      <c r="I50" s="566">
        <f>SUM(I51:I53)</f>
        <v/>
      </c>
      <c r="J50" s="103">
        <f>(H50-I50)/I50</f>
        <v/>
      </c>
      <c r="K50" s="567">
        <f>E50/H50</f>
        <v/>
      </c>
      <c r="L50" s="566">
        <f>F50/I50</f>
        <v/>
      </c>
      <c r="M50" s="103">
        <f>(K50-L50)/L50</f>
        <v/>
      </c>
      <c r="N50" s="568">
        <f>SUM(N51:N53)</f>
        <v/>
      </c>
      <c r="O50" s="568">
        <f>SUM(O51:O53)</f>
        <v/>
      </c>
      <c r="P50" s="103">
        <f>(N50-O50)/O50</f>
        <v/>
      </c>
      <c r="Q50" s="568">
        <f>SUM(Q51:Q53)</f>
        <v/>
      </c>
      <c r="R50" s="568">
        <f>SUM(R51:R53)</f>
        <v/>
      </c>
      <c r="S50" s="103">
        <f>(Q50-R50)/R50</f>
        <v/>
      </c>
      <c r="T50" s="568">
        <f>E50/Q50</f>
        <v/>
      </c>
      <c r="U50" s="568">
        <f>F50/R50</f>
        <v/>
      </c>
      <c r="V50" s="103">
        <f>(T50-U50)/U50</f>
        <v/>
      </c>
      <c r="W50" s="568">
        <f>SUM(W51:W53)</f>
        <v/>
      </c>
      <c r="X50" s="568">
        <f>SUM(X51:X53)</f>
        <v/>
      </c>
      <c r="Y50" s="103">
        <f>(W50-X50)/X50</f>
        <v/>
      </c>
      <c r="Z50" s="568">
        <f>SUM(Z51:Z53)</f>
        <v/>
      </c>
      <c r="AA50" s="568">
        <f>SUM(AA51:AA53)</f>
        <v/>
      </c>
      <c r="AB50" s="103">
        <f>(Z50-AA50)/AA50</f>
        <v/>
      </c>
      <c r="AC50" s="82">
        <f>W50/Z50</f>
        <v/>
      </c>
      <c r="AD50" s="82">
        <f>X50/AA50</f>
        <v/>
      </c>
      <c r="AE50" s="103">
        <f>(AC50-AD50)/AD50</f>
        <v/>
      </c>
    </row>
    <row customHeight="1" ht="15.75" r="51" s="452" spans="1:32">
      <c r="A51" s="279" t="n"/>
      <c r="B51" s="279" t="n"/>
      <c r="C51" s="280" t="n"/>
      <c r="D51" s="280" t="n"/>
      <c r="E51" s="535" t="n"/>
      <c r="F51" s="535" t="n"/>
      <c r="G51" s="404" t="n"/>
      <c r="H51" s="535" t="n"/>
      <c r="I51" s="535" t="n"/>
      <c r="J51" s="404" t="n"/>
      <c r="K51" s="536" t="n"/>
      <c r="L51" s="535" t="n"/>
      <c r="M51" s="404" t="n"/>
      <c r="N51" s="537" t="n"/>
      <c r="O51" s="537" t="n"/>
      <c r="P51" s="404" t="n"/>
      <c r="Q51" s="537" t="n"/>
      <c r="R51" s="537" t="n"/>
      <c r="S51" s="404" t="n"/>
      <c r="T51" s="535" t="n"/>
      <c r="U51" s="537" t="n"/>
      <c r="V51" s="404" t="n"/>
      <c r="W51" s="537" t="n"/>
      <c r="X51" s="537" t="n"/>
      <c r="Y51" s="404" t="n"/>
      <c r="Z51" s="537" t="n"/>
      <c r="AA51" s="537" t="n"/>
      <c r="AB51" s="404" t="n"/>
      <c r="AC51" s="286" t="n"/>
      <c r="AD51" s="286" t="n"/>
      <c r="AE51" s="404" t="n"/>
    </row>
    <row customHeight="1" ht="15.75" r="52" s="452" spans="1:32">
      <c r="A52" s="279" t="n"/>
      <c r="B52" s="279" t="n"/>
      <c r="C52" s="280" t="n"/>
      <c r="D52" s="280" t="n"/>
      <c r="E52" s="535" t="n"/>
      <c r="F52" s="535" t="n"/>
      <c r="G52" s="404" t="n"/>
      <c r="H52" s="535" t="n"/>
      <c r="I52" s="535" t="n"/>
      <c r="J52" s="404" t="n"/>
      <c r="K52" s="536" t="n"/>
      <c r="L52" s="535" t="n"/>
      <c r="M52" s="404" t="n"/>
      <c r="N52" s="537" t="n"/>
      <c r="O52" s="537" t="n"/>
      <c r="P52" s="404" t="n"/>
      <c r="Q52" s="537" t="n"/>
      <c r="R52" s="537" t="n"/>
      <c r="S52" s="404" t="n"/>
      <c r="T52" s="535" t="n"/>
      <c r="U52" s="537" t="n"/>
      <c r="V52" s="404" t="n"/>
      <c r="W52" s="537" t="n"/>
      <c r="X52" s="537" t="n"/>
      <c r="Y52" s="404" t="n"/>
      <c r="Z52" s="537" t="n"/>
      <c r="AA52" s="537" t="n"/>
      <c r="AB52" s="404" t="n"/>
      <c r="AC52" s="286" t="n"/>
      <c r="AD52" s="286" t="n"/>
      <c r="AE52" s="404" t="n"/>
    </row>
    <row customHeight="1" ht="15.75" r="53" s="452" spans="1:32">
      <c r="A53" s="279" t="n"/>
      <c r="B53" s="279" t="n"/>
      <c r="C53" s="280" t="n"/>
      <c r="D53" s="297" t="s">
        <v>177</v>
      </c>
      <c r="E53" s="535" t="n"/>
      <c r="F53" s="535" t="n"/>
      <c r="G53" s="404" t="n"/>
      <c r="H53" s="535" t="n"/>
      <c r="I53" s="535" t="n"/>
      <c r="J53" s="404" t="n"/>
      <c r="K53" s="536" t="n"/>
      <c r="L53" s="535" t="n"/>
      <c r="M53" s="404" t="n"/>
      <c r="N53" s="537" t="n"/>
      <c r="O53" s="537" t="n"/>
      <c r="P53" s="404" t="n"/>
      <c r="Q53" s="537" t="n"/>
      <c r="R53" s="537" t="n"/>
      <c r="S53" s="404" t="n"/>
      <c r="T53" s="535" t="n"/>
      <c r="U53" s="537" t="n"/>
      <c r="V53" s="404" t="n"/>
      <c r="W53" s="537" t="n"/>
      <c r="X53" s="537" t="n"/>
      <c r="Y53" s="404" t="n"/>
      <c r="Z53" s="537" t="n"/>
      <c r="AA53" s="537" t="n"/>
      <c r="AB53" s="404" t="n"/>
      <c r="AC53" s="286" t="n"/>
      <c r="AD53" s="286" t="n"/>
      <c r="AE53" s="404" t="n"/>
    </row>
    <row customHeight="1" ht="15.75" r="54" s="452" spans="1:32">
      <c r="A54" s="49" t="s">
        <v>43</v>
      </c>
      <c r="B54" s="49" t="s">
        <v>90</v>
      </c>
      <c r="C54" s="50">
        <f>C50+7</f>
        <v/>
      </c>
      <c r="D54" s="403" t="s">
        <v>60</v>
      </c>
      <c r="E54" s="566">
        <f>SUM(E55:E57)</f>
        <v/>
      </c>
      <c r="F54" s="566">
        <f>SUM(F55:F57)</f>
        <v/>
      </c>
      <c r="G54" s="103">
        <f>(E54-F54)/F54</f>
        <v/>
      </c>
      <c r="H54" s="566">
        <f>SUM(H55:H57)</f>
        <v/>
      </c>
      <c r="I54" s="566">
        <f>SUM(I55:I57)</f>
        <v/>
      </c>
      <c r="J54" s="103">
        <f>(H54-I54)/I54</f>
        <v/>
      </c>
      <c r="K54" s="567">
        <f>E54/H54</f>
        <v/>
      </c>
      <c r="L54" s="566">
        <f>F54/I54</f>
        <v/>
      </c>
      <c r="M54" s="103">
        <f>(K54-L54)/L54</f>
        <v/>
      </c>
      <c r="N54" s="568">
        <f>SUM(N55:N57)</f>
        <v/>
      </c>
      <c r="O54" s="568">
        <f>SUM(O55:O57)</f>
        <v/>
      </c>
      <c r="P54" s="103">
        <f>(N54-O54)/O54</f>
        <v/>
      </c>
      <c r="Q54" s="568">
        <f>SUM(Q55:Q57)</f>
        <v/>
      </c>
      <c r="R54" s="568">
        <f>SUM(R55:R57)</f>
        <v/>
      </c>
      <c r="S54" s="103">
        <f>(Q54-R54)/R54</f>
        <v/>
      </c>
      <c r="T54" s="568">
        <f>E54/Q54</f>
        <v/>
      </c>
      <c r="U54" s="568">
        <f>F54/R54</f>
        <v/>
      </c>
      <c r="V54" s="103">
        <f>(T54-U54)/U54</f>
        <v/>
      </c>
      <c r="W54" s="568">
        <f>SUM(W55:W57)</f>
        <v/>
      </c>
      <c r="X54" s="568">
        <f>SUM(X55:X57)</f>
        <v/>
      </c>
      <c r="Y54" s="103">
        <f>(W54-X54)/X54</f>
        <v/>
      </c>
      <c r="Z54" s="568">
        <f>SUM(Z55:Z57)</f>
        <v/>
      </c>
      <c r="AA54" s="568">
        <f>SUM(AA55:AA57)</f>
        <v/>
      </c>
      <c r="AB54" s="103">
        <f>(Z54-AA54)/AA54</f>
        <v/>
      </c>
      <c r="AC54" s="82">
        <f>W54/Z54</f>
        <v/>
      </c>
      <c r="AD54" s="82">
        <f>X54/AA54</f>
        <v/>
      </c>
      <c r="AE54" s="103">
        <f>(AC54-AD54)/AD54</f>
        <v/>
      </c>
    </row>
    <row customHeight="1" ht="15.75" r="55" s="452" spans="1:32">
      <c r="A55" s="279" t="n"/>
      <c r="B55" s="279" t="n"/>
      <c r="C55" s="280" t="n"/>
      <c r="D55" s="280" t="n"/>
      <c r="E55" s="535" t="n"/>
      <c r="F55" s="535" t="n"/>
      <c r="G55" s="404" t="n"/>
      <c r="H55" s="535" t="n"/>
      <c r="I55" s="535" t="n"/>
      <c r="J55" s="404" t="n"/>
      <c r="K55" s="536" t="n"/>
      <c r="L55" s="535" t="n"/>
      <c r="M55" s="404" t="n"/>
      <c r="N55" s="537" t="n"/>
      <c r="O55" s="537" t="n"/>
      <c r="P55" s="404" t="n"/>
      <c r="Q55" s="537" t="n"/>
      <c r="R55" s="537" t="n"/>
      <c r="S55" s="404" t="n"/>
      <c r="T55" s="535" t="n"/>
      <c r="U55" s="537" t="n"/>
      <c r="V55" s="404" t="n"/>
      <c r="W55" s="537" t="n"/>
      <c r="X55" s="537" t="n"/>
      <c r="Y55" s="404" t="n"/>
      <c r="Z55" s="537" t="n"/>
      <c r="AA55" s="537" t="n"/>
      <c r="AB55" s="404" t="n"/>
      <c r="AC55" s="286" t="n"/>
      <c r="AD55" s="286" t="n"/>
      <c r="AE55" s="404" t="n"/>
    </row>
    <row customHeight="1" ht="15.75" r="56" s="452" spans="1:32">
      <c r="A56" s="279" t="n"/>
      <c r="B56" s="279" t="n"/>
      <c r="C56" s="280" t="n"/>
      <c r="D56" s="280" t="n"/>
      <c r="E56" s="535" t="n"/>
      <c r="F56" s="535" t="n"/>
      <c r="G56" s="404" t="n"/>
      <c r="H56" s="535" t="n"/>
      <c r="I56" s="535" t="n"/>
      <c r="J56" s="404" t="n"/>
      <c r="K56" s="536" t="n"/>
      <c r="L56" s="535" t="n"/>
      <c r="M56" s="404" t="n"/>
      <c r="N56" s="537" t="n"/>
      <c r="O56" s="537" t="n"/>
      <c r="P56" s="404" t="n"/>
      <c r="Q56" s="537" t="n"/>
      <c r="R56" s="537" t="n"/>
      <c r="S56" s="404" t="n"/>
      <c r="T56" s="535" t="n"/>
      <c r="U56" s="537" t="n"/>
      <c r="V56" s="404" t="n"/>
      <c r="W56" s="537" t="n"/>
      <c r="X56" s="537" t="n"/>
      <c r="Y56" s="404" t="n"/>
      <c r="Z56" s="537" t="n"/>
      <c r="AA56" s="537" t="n"/>
      <c r="AB56" s="404" t="n"/>
      <c r="AC56" s="286" t="n"/>
      <c r="AD56" s="286" t="n"/>
      <c r="AE56" s="404" t="n"/>
    </row>
    <row customHeight="1" ht="15.75" r="57" s="452" spans="1:32">
      <c r="A57" s="279" t="n"/>
      <c r="B57" s="279" t="n"/>
      <c r="C57" s="280" t="n"/>
      <c r="D57" s="297" t="s">
        <v>177</v>
      </c>
      <c r="E57" s="535" t="n"/>
      <c r="F57" s="535" t="n"/>
      <c r="G57" s="404" t="n"/>
      <c r="H57" s="535" t="n"/>
      <c r="I57" s="535" t="n"/>
      <c r="J57" s="404" t="n"/>
      <c r="K57" s="536" t="n"/>
      <c r="L57" s="535" t="n"/>
      <c r="M57" s="404" t="n"/>
      <c r="N57" s="537" t="n"/>
      <c r="O57" s="537" t="n">
        <v>1</v>
      </c>
      <c r="P57" s="404" t="n"/>
      <c r="Q57" s="537" t="n"/>
      <c r="R57" s="537" t="n"/>
      <c r="S57" s="404" t="n"/>
      <c r="T57" s="535" t="n"/>
      <c r="U57" s="537" t="n"/>
      <c r="V57" s="404" t="n"/>
      <c r="W57" s="537" t="n"/>
      <c r="X57" s="537" t="n"/>
      <c r="Y57" s="404" t="n"/>
      <c r="Z57" s="537" t="n"/>
      <c r="AA57" s="537" t="n"/>
      <c r="AB57" s="404" t="n"/>
      <c r="AC57" s="286" t="n"/>
      <c r="AD57" s="286" t="n"/>
      <c r="AE57" s="404" t="n"/>
    </row>
    <row customHeight="1" ht="15.75" r="58" s="452" spans="1:32">
      <c r="A58" s="49" t="s">
        <v>43</v>
      </c>
      <c r="B58" s="49" t="s">
        <v>92</v>
      </c>
      <c r="C58" s="50">
        <f>C54+7</f>
        <v/>
      </c>
      <c r="D58" s="403" t="s">
        <v>60</v>
      </c>
      <c r="E58" s="566">
        <f>SUM(E59:E61)</f>
        <v/>
      </c>
      <c r="F58" s="566">
        <f>SUM(F59:F61)</f>
        <v/>
      </c>
      <c r="G58" s="103">
        <f>(E58-F58)/F58</f>
        <v/>
      </c>
      <c r="H58" s="566">
        <f>SUM(H59:H61)</f>
        <v/>
      </c>
      <c r="I58" s="566">
        <f>SUM(I59:I61)</f>
        <v/>
      </c>
      <c r="J58" s="103">
        <f>(H58-I58)/I58</f>
        <v/>
      </c>
      <c r="K58" s="567">
        <f>E58/H58</f>
        <v/>
      </c>
      <c r="L58" s="566">
        <f>F58/I58</f>
        <v/>
      </c>
      <c r="M58" s="103">
        <f>(K58-L58)/L58</f>
        <v/>
      </c>
      <c r="N58" s="568">
        <f>SUM(N59:N61)</f>
        <v/>
      </c>
      <c r="O58" s="568">
        <f>SUM(O59:O61)</f>
        <v/>
      </c>
      <c r="P58" s="103">
        <f>(N58-O58)/O58</f>
        <v/>
      </c>
      <c r="Q58" s="568">
        <f>SUM(Q59:Q61)</f>
        <v/>
      </c>
      <c r="R58" s="568">
        <f>SUM(R59:R61)</f>
        <v/>
      </c>
      <c r="S58" s="103">
        <f>(Q58-R58)/R58</f>
        <v/>
      </c>
      <c r="T58" s="568">
        <f>E58/Q58</f>
        <v/>
      </c>
      <c r="U58" s="568">
        <f>F58/R58</f>
        <v/>
      </c>
      <c r="V58" s="103">
        <f>(T58-U58)/U58</f>
        <v/>
      </c>
      <c r="W58" s="568">
        <f>SUM(W59:W61)</f>
        <v/>
      </c>
      <c r="X58" s="568">
        <f>SUM(X59:X61)</f>
        <v/>
      </c>
      <c r="Y58" s="103">
        <f>(W58-X58)/X58</f>
        <v/>
      </c>
      <c r="Z58" s="568">
        <f>SUM(Z59:Z61)</f>
        <v/>
      </c>
      <c r="AA58" s="568">
        <f>SUM(AA59:AA61)</f>
        <v/>
      </c>
      <c r="AB58" s="103">
        <f>(Z58-AA58)/AA58</f>
        <v/>
      </c>
      <c r="AC58" s="82">
        <f>W58/Z58</f>
        <v/>
      </c>
      <c r="AD58" s="82">
        <f>X58/AA58</f>
        <v/>
      </c>
      <c r="AE58" s="103">
        <f>(AC58-AD58)/AD58</f>
        <v/>
      </c>
    </row>
    <row customHeight="1" ht="15.75" r="59" s="452" spans="1:32">
      <c r="A59" s="279" t="n"/>
      <c r="B59" s="279" t="n"/>
      <c r="C59" s="280" t="n"/>
      <c r="D59" s="280" t="n"/>
      <c r="E59" s="535" t="n"/>
      <c r="F59" s="535" t="n"/>
      <c r="G59" s="404" t="n"/>
      <c r="H59" s="536" t="n"/>
      <c r="I59" s="536" t="n"/>
      <c r="J59" s="404" t="n"/>
      <c r="K59" s="536" t="n"/>
      <c r="L59" s="535" t="n"/>
      <c r="M59" s="404" t="n"/>
      <c r="N59" s="537" t="n"/>
      <c r="O59" s="537" t="n"/>
      <c r="P59" s="404" t="n"/>
      <c r="Q59" s="537" t="n"/>
      <c r="R59" s="537" t="n"/>
      <c r="S59" s="404" t="n"/>
      <c r="T59" s="535" t="n"/>
      <c r="U59" s="537" t="n"/>
      <c r="V59" s="404" t="n"/>
      <c r="W59" s="537" t="n"/>
      <c r="X59" s="537" t="n"/>
      <c r="Y59" s="404" t="n"/>
      <c r="Z59" s="537" t="n"/>
      <c r="AA59" s="537" t="n"/>
      <c r="AB59" s="404" t="n"/>
      <c r="AC59" s="286" t="n"/>
      <c r="AD59" s="286" t="n"/>
      <c r="AE59" s="404" t="n"/>
    </row>
    <row customHeight="1" ht="15.75" r="60" s="452" spans="1:32">
      <c r="A60" s="279" t="n"/>
      <c r="B60" s="279" t="n"/>
      <c r="C60" s="280" t="n"/>
      <c r="D60" s="280" t="n"/>
      <c r="E60" s="535" t="n"/>
      <c r="F60" s="535" t="n"/>
      <c r="G60" s="404" t="n"/>
      <c r="H60" s="536" t="n"/>
      <c r="I60" s="536" t="n"/>
      <c r="J60" s="404" t="n"/>
      <c r="K60" s="536" t="n"/>
      <c r="L60" s="535" t="n"/>
      <c r="M60" s="404" t="n"/>
      <c r="N60" s="537" t="n"/>
      <c r="O60" s="537" t="n"/>
      <c r="P60" s="404" t="n"/>
      <c r="Q60" s="537" t="n"/>
      <c r="R60" s="537" t="n"/>
      <c r="S60" s="404" t="n"/>
      <c r="T60" s="535" t="n"/>
      <c r="U60" s="537" t="n"/>
      <c r="V60" s="404" t="n"/>
      <c r="W60" s="537" t="n"/>
      <c r="X60" s="537" t="n"/>
      <c r="Y60" s="404" t="n"/>
      <c r="Z60" s="537" t="n"/>
      <c r="AA60" s="537" t="n"/>
      <c r="AB60" s="404" t="n"/>
      <c r="AC60" s="286" t="n"/>
      <c r="AD60" s="286" t="n"/>
      <c r="AE60" s="404" t="n"/>
    </row>
    <row customHeight="1" ht="15.75" r="61" s="452" spans="1:32">
      <c r="A61" s="279" t="n"/>
      <c r="B61" s="279" t="n"/>
      <c r="C61" s="280" t="n"/>
      <c r="D61" s="297" t="s">
        <v>177</v>
      </c>
      <c r="E61" s="535" t="n"/>
      <c r="F61" s="535" t="n"/>
      <c r="G61" s="404" t="n"/>
      <c r="H61" s="536" t="n"/>
      <c r="I61" s="536" t="n"/>
      <c r="J61" s="404" t="n"/>
      <c r="K61" s="536" t="n"/>
      <c r="L61" s="535" t="n"/>
      <c r="M61" s="404" t="n"/>
      <c r="N61" s="537" t="n">
        <v>3</v>
      </c>
      <c r="O61" s="537" t="n"/>
      <c r="P61" s="404" t="n"/>
      <c r="Q61" s="537" t="n"/>
      <c r="R61" s="537" t="n"/>
      <c r="S61" s="404" t="n"/>
      <c r="T61" s="535" t="n"/>
      <c r="U61" s="537" t="n"/>
      <c r="V61" s="404" t="n"/>
      <c r="W61" s="537" t="n"/>
      <c r="X61" s="537" t="n"/>
      <c r="Y61" s="404" t="n"/>
      <c r="Z61" s="537" t="n"/>
      <c r="AA61" s="537" t="n"/>
      <c r="AB61" s="404" t="n"/>
      <c r="AC61" s="286" t="n"/>
      <c r="AD61" s="286" t="n"/>
      <c r="AE61" s="404" t="n"/>
    </row>
    <row customHeight="1" ht="15.75" r="62" s="452" spans="1:32">
      <c r="A62" s="49" t="s">
        <v>43</v>
      </c>
      <c r="B62" s="49" t="s">
        <v>93</v>
      </c>
      <c r="C62" s="50">
        <f>C58+7</f>
        <v/>
      </c>
      <c r="D62" s="403" t="s">
        <v>60</v>
      </c>
      <c r="E62" s="566">
        <f>SUM(E63:E65)</f>
        <v/>
      </c>
      <c r="F62" s="566">
        <f>SUM(F63:F65)</f>
        <v/>
      </c>
      <c r="G62" s="103">
        <f>(E62-F62)/F62</f>
        <v/>
      </c>
      <c r="H62" s="566">
        <f>SUM(H63:H65)</f>
        <v/>
      </c>
      <c r="I62" s="566">
        <f>SUM(I63:I65)</f>
        <v/>
      </c>
      <c r="J62" s="103">
        <f>(H62-I62)/I62</f>
        <v/>
      </c>
      <c r="K62" s="567">
        <f>E62/H62</f>
        <v/>
      </c>
      <c r="L62" s="566">
        <f>F62/I62</f>
        <v/>
      </c>
      <c r="M62" s="103">
        <f>(K62-L62)/L62</f>
        <v/>
      </c>
      <c r="N62" s="568">
        <f>SUM(N63:N65)</f>
        <v/>
      </c>
      <c r="O62" s="568">
        <f>SUM(O63:O65)</f>
        <v/>
      </c>
      <c r="P62" s="103">
        <f>(N62-O62)/O62</f>
        <v/>
      </c>
      <c r="Q62" s="568">
        <f>SUM(Q63:Q65)</f>
        <v/>
      </c>
      <c r="R62" s="568">
        <f>SUM(R63:R65)</f>
        <v/>
      </c>
      <c r="S62" s="103">
        <f>(Q62-R62)/R62</f>
        <v/>
      </c>
      <c r="T62" s="568">
        <f>E62/Q62</f>
        <v/>
      </c>
      <c r="U62" s="568">
        <f>F62/R62</f>
        <v/>
      </c>
      <c r="V62" s="103">
        <f>(T62-U62)/U62</f>
        <v/>
      </c>
      <c r="W62" s="568">
        <f>SUM(W63:W65)</f>
        <v/>
      </c>
      <c r="X62" s="568">
        <f>SUM(X63:X65)</f>
        <v/>
      </c>
      <c r="Y62" s="103">
        <f>(W62-X62)/X62</f>
        <v/>
      </c>
      <c r="Z62" s="568">
        <f>SUM(Z63:Z65)</f>
        <v/>
      </c>
      <c r="AA62" s="568">
        <f>SUM(AA63:AA65)</f>
        <v/>
      </c>
      <c r="AB62" s="103">
        <f>(Z62-AA62)/AA62</f>
        <v/>
      </c>
      <c r="AC62" s="82">
        <f>W62/Z62</f>
        <v/>
      </c>
      <c r="AD62" s="82">
        <f>X62/AA62</f>
        <v/>
      </c>
      <c r="AE62" s="103">
        <f>(AC62-AD62)/AD62</f>
        <v/>
      </c>
    </row>
    <row customHeight="1" ht="15.75" r="63" s="452" spans="1:32">
      <c r="A63" s="279" t="n"/>
      <c r="B63" s="279" t="n"/>
      <c r="C63" s="280" t="n"/>
      <c r="D63" s="280" t="n"/>
      <c r="E63" s="535" t="n"/>
      <c r="F63" s="535" t="n"/>
      <c r="G63" s="404" t="n"/>
      <c r="H63" s="536" t="n"/>
      <c r="I63" s="536" t="n"/>
      <c r="J63" s="404" t="n"/>
      <c r="K63" s="536" t="n"/>
      <c r="L63" s="535" t="n"/>
      <c r="M63" s="404" t="n"/>
      <c r="N63" s="537" t="n"/>
      <c r="O63" s="537" t="n"/>
      <c r="P63" s="404" t="n"/>
      <c r="Q63" s="537" t="n"/>
      <c r="R63" s="537" t="n"/>
      <c r="S63" s="404" t="n"/>
      <c r="T63" s="535" t="n"/>
      <c r="U63" s="537" t="n"/>
      <c r="V63" s="404" t="n"/>
      <c r="W63" s="537" t="n"/>
      <c r="X63" s="537" t="n"/>
      <c r="Y63" s="404" t="n"/>
      <c r="Z63" s="537" t="n"/>
      <c r="AA63" s="537" t="n"/>
      <c r="AB63" s="404" t="n"/>
      <c r="AC63" s="286" t="n"/>
      <c r="AD63" s="286" t="n"/>
      <c r="AE63" s="404" t="n"/>
    </row>
    <row customHeight="1" ht="15.75" r="64" s="452" spans="1:32">
      <c r="A64" s="279" t="n"/>
      <c r="B64" s="279" t="n"/>
      <c r="C64" s="280" t="n"/>
      <c r="D64" s="280" t="n"/>
      <c r="E64" s="535" t="n"/>
      <c r="F64" s="535" t="n"/>
      <c r="G64" s="404" t="n"/>
      <c r="H64" s="536" t="n"/>
      <c r="I64" s="536" t="n"/>
      <c r="J64" s="404" t="n"/>
      <c r="K64" s="536" t="n"/>
      <c r="L64" s="535" t="n"/>
      <c r="M64" s="404" t="n"/>
      <c r="N64" s="537" t="n"/>
      <c r="O64" s="537" t="n"/>
      <c r="P64" s="404" t="n"/>
      <c r="Q64" s="537" t="n"/>
      <c r="R64" s="537" t="n"/>
      <c r="S64" s="404" t="n"/>
      <c r="T64" s="535" t="n"/>
      <c r="U64" s="537" t="n"/>
      <c r="V64" s="404" t="n"/>
      <c r="W64" s="537" t="n"/>
      <c r="X64" s="537" t="n"/>
      <c r="Y64" s="404" t="n"/>
      <c r="Z64" s="537" t="n"/>
      <c r="AA64" s="537" t="n"/>
      <c r="AB64" s="404" t="n"/>
      <c r="AC64" s="286" t="n"/>
      <c r="AD64" s="286" t="n"/>
      <c r="AE64" s="404" t="n"/>
    </row>
    <row customFormat="1" customHeight="1" ht="15.75" r="65" s="357" spans="1:32">
      <c r="A65" s="347" t="n"/>
      <c r="B65" s="347" t="n"/>
      <c r="C65" s="348" t="n"/>
      <c r="D65" s="349" t="s">
        <v>177</v>
      </c>
      <c r="E65" s="612" t="n"/>
      <c r="F65" s="612" t="n"/>
      <c r="G65" s="405" t="n"/>
      <c r="H65" s="613" t="n"/>
      <c r="I65" s="613" t="n"/>
      <c r="J65" s="405" t="n"/>
      <c r="K65" s="613" t="n"/>
      <c r="L65" s="612" t="n"/>
      <c r="M65" s="405" t="n"/>
      <c r="N65" s="614" t="n">
        <v>1</v>
      </c>
      <c r="O65" s="614" t="n"/>
      <c r="P65" s="405" t="n"/>
      <c r="Q65" s="614" t="n"/>
      <c r="R65" s="614" t="n"/>
      <c r="S65" s="405" t="n"/>
      <c r="T65" s="612" t="n"/>
      <c r="U65" s="614" t="n"/>
      <c r="V65" s="405" t="n"/>
      <c r="W65" s="614" t="n"/>
      <c r="X65" s="614" t="n"/>
      <c r="Y65" s="405" t="n"/>
      <c r="Z65" s="614" t="n"/>
      <c r="AA65" s="614" t="n"/>
      <c r="AB65" s="405" t="n"/>
      <c r="AC65" s="356" t="n"/>
      <c r="AD65" s="356" t="n"/>
      <c r="AE65" s="405" t="n"/>
    </row>
    <row customHeight="1" ht="15.75" r="66" s="452" spans="1:32">
      <c r="A66" s="49" t="s">
        <v>44</v>
      </c>
      <c r="B66" s="49" t="s">
        <v>95</v>
      </c>
      <c r="C66" s="50">
        <f>C62+7</f>
        <v/>
      </c>
      <c r="D66" s="403" t="s">
        <v>60</v>
      </c>
      <c r="E66" s="566">
        <f>SUM(E67:E69)</f>
        <v/>
      </c>
      <c r="F66" s="566">
        <f>SUM(F67:F69)</f>
        <v/>
      </c>
      <c r="G66" s="103">
        <f>(E66-F66)/F66</f>
        <v/>
      </c>
      <c r="H66" s="566">
        <f>SUM(H67:H69)</f>
        <v/>
      </c>
      <c r="I66" s="566">
        <f>SUM(I67:I69)</f>
        <v/>
      </c>
      <c r="J66" s="103">
        <f>(H66-I66)/I66</f>
        <v/>
      </c>
      <c r="K66" s="567">
        <f>E66/H66</f>
        <v/>
      </c>
      <c r="L66" s="566">
        <f>F66/I66</f>
        <v/>
      </c>
      <c r="M66" s="103">
        <f>(K66-L66)/L66</f>
        <v/>
      </c>
      <c r="N66" s="568">
        <f>SUM(N67:N69)</f>
        <v/>
      </c>
      <c r="O66" s="568">
        <f>SUM(O67:O69)</f>
        <v/>
      </c>
      <c r="P66" s="103">
        <f>(N66-O66)/O66</f>
        <v/>
      </c>
      <c r="Q66" s="568">
        <f>SUM(Q67:Q69)</f>
        <v/>
      </c>
      <c r="R66" s="568">
        <f>SUM(R67:R69)</f>
        <v/>
      </c>
      <c r="S66" s="103">
        <f>(Q66-R66)/R66</f>
        <v/>
      </c>
      <c r="T66" s="568">
        <f>E66/Q66</f>
        <v/>
      </c>
      <c r="U66" s="568">
        <f>F66/R66</f>
        <v/>
      </c>
      <c r="V66" s="103">
        <f>(T66-U66)/U66</f>
        <v/>
      </c>
      <c r="W66" s="568">
        <f>SUM(W67:W69)</f>
        <v/>
      </c>
      <c r="X66" s="568">
        <f>SUM(X67:X69)</f>
        <v/>
      </c>
      <c r="Y66" s="103">
        <f>(W66-X66)/X66</f>
        <v/>
      </c>
      <c r="Z66" s="568">
        <f>SUM(Z67:Z69)</f>
        <v/>
      </c>
      <c r="AA66" s="568">
        <f>SUM(AA67:AA69)</f>
        <v/>
      </c>
      <c r="AB66" s="103">
        <f>(Z66-AA66)/AA66</f>
        <v/>
      </c>
      <c r="AC66" s="82">
        <f>W66/Z66</f>
        <v/>
      </c>
      <c r="AD66" s="82">
        <f>X66/AA66</f>
        <v/>
      </c>
      <c r="AE66" s="103">
        <f>(AC66-AD66)/AD66</f>
        <v/>
      </c>
    </row>
    <row customHeight="1" ht="15.75" r="67" s="452" spans="1:32">
      <c r="A67" s="279" t="n"/>
      <c r="B67" s="279" t="n"/>
      <c r="C67" s="280" t="n"/>
      <c r="D67" s="280" t="n"/>
      <c r="E67" s="535" t="n"/>
      <c r="F67" s="535" t="n"/>
      <c r="G67" s="404" t="n"/>
      <c r="H67" s="536" t="n"/>
      <c r="I67" s="536" t="n"/>
      <c r="J67" s="404" t="n"/>
      <c r="K67" s="536" t="n"/>
      <c r="L67" s="535" t="n"/>
      <c r="M67" s="404" t="n"/>
      <c r="N67" s="537" t="n"/>
      <c r="O67" s="537" t="n"/>
      <c r="P67" s="404" t="n"/>
      <c r="Q67" s="537" t="n"/>
      <c r="R67" s="537" t="n"/>
      <c r="S67" s="404" t="n"/>
      <c r="T67" s="535" t="n"/>
      <c r="U67" s="537" t="n"/>
      <c r="V67" s="404" t="n"/>
      <c r="W67" s="537" t="n"/>
      <c r="X67" s="537" t="n"/>
      <c r="Y67" s="404" t="n"/>
      <c r="Z67" s="537" t="n"/>
      <c r="AA67" s="537" t="n"/>
      <c r="AB67" s="404" t="n"/>
      <c r="AC67" s="286" t="n"/>
      <c r="AD67" s="286" t="n"/>
      <c r="AE67" s="404" t="n"/>
    </row>
    <row customHeight="1" ht="15.75" r="68" s="452" spans="1:32">
      <c r="A68" s="279" t="n"/>
      <c r="B68" s="279" t="n"/>
      <c r="C68" s="280" t="n"/>
      <c r="D68" s="280" t="n"/>
      <c r="E68" s="535" t="n"/>
      <c r="F68" s="535" t="n"/>
      <c r="G68" s="404" t="n"/>
      <c r="H68" s="536" t="n"/>
      <c r="I68" s="536" t="n"/>
      <c r="J68" s="404" t="n"/>
      <c r="K68" s="536" t="n"/>
      <c r="L68" s="535" t="n"/>
      <c r="M68" s="404" t="n"/>
      <c r="N68" s="537" t="n"/>
      <c r="O68" s="537" t="n"/>
      <c r="P68" s="404" t="n"/>
      <c r="Q68" s="537" t="n"/>
      <c r="R68" s="537" t="n"/>
      <c r="S68" s="404" t="n"/>
      <c r="T68" s="535" t="n"/>
      <c r="U68" s="537" t="n"/>
      <c r="V68" s="404" t="n"/>
      <c r="W68" s="537" t="n"/>
      <c r="X68" s="537" t="n"/>
      <c r="Y68" s="404" t="n"/>
      <c r="Z68" s="537" t="n"/>
      <c r="AA68" s="537" t="n"/>
      <c r="AB68" s="404" t="n"/>
      <c r="AC68" s="286" t="n"/>
      <c r="AD68" s="286" t="n"/>
      <c r="AE68" s="404" t="n"/>
    </row>
    <row customHeight="1" ht="15.75" r="69" s="452" spans="1:32">
      <c r="A69" s="279" t="n"/>
      <c r="B69" s="279" t="n"/>
      <c r="C69" s="280" t="n"/>
      <c r="D69" s="297" t="s">
        <v>177</v>
      </c>
      <c r="E69" s="535" t="n"/>
      <c r="F69" s="535" t="n"/>
      <c r="G69" s="404" t="n"/>
      <c r="H69" s="536" t="n"/>
      <c r="I69" s="536" t="n"/>
      <c r="J69" s="404" t="n"/>
      <c r="K69" s="536" t="n"/>
      <c r="L69" s="535" t="n"/>
      <c r="M69" s="404" t="n"/>
      <c r="N69" s="537" t="n"/>
      <c r="O69" s="537" t="n"/>
      <c r="P69" s="404" t="n"/>
      <c r="Q69" s="537" t="n"/>
      <c r="R69" s="537" t="n"/>
      <c r="S69" s="404" t="n"/>
      <c r="T69" s="535" t="n"/>
      <c r="U69" s="537" t="n"/>
      <c r="V69" s="404" t="n"/>
      <c r="W69" s="537" t="n"/>
      <c r="X69" s="537" t="n"/>
      <c r="Y69" s="404" t="n"/>
      <c r="Z69" s="537" t="n"/>
      <c r="AA69" s="537" t="n"/>
      <c r="AB69" s="404" t="n"/>
      <c r="AC69" s="286" t="n"/>
      <c r="AD69" s="286" t="n"/>
      <c r="AE69" s="404" t="n"/>
    </row>
    <row customHeight="1" ht="15.75" r="70" s="452" spans="1:32">
      <c r="A70" s="49" t="s">
        <v>44</v>
      </c>
      <c r="B70" s="49" t="s">
        <v>96</v>
      </c>
      <c r="C70" s="50">
        <f>C66+7</f>
        <v/>
      </c>
      <c r="D70" s="403" t="s">
        <v>60</v>
      </c>
      <c r="E70" s="566">
        <f>SUM(E71:E73)</f>
        <v/>
      </c>
      <c r="F70" s="566">
        <f>SUM(F71:F73)</f>
        <v/>
      </c>
      <c r="G70" s="103">
        <f>(E70-F70)/F70</f>
        <v/>
      </c>
      <c r="H70" s="566">
        <f>SUM(H71:H73)</f>
        <v/>
      </c>
      <c r="I70" s="566">
        <f>SUM(I71:I73)</f>
        <v/>
      </c>
      <c r="J70" s="103">
        <f>(H70-I70)/I70</f>
        <v/>
      </c>
      <c r="K70" s="567">
        <f>E70/H70</f>
        <v/>
      </c>
      <c r="L70" s="566">
        <f>F70/I70</f>
        <v/>
      </c>
      <c r="M70" s="103">
        <f>(K70-L70)/L70</f>
        <v/>
      </c>
      <c r="N70" s="568">
        <f>SUM(N71:N73)</f>
        <v/>
      </c>
      <c r="O70" s="568">
        <f>SUM(O71:O73)</f>
        <v/>
      </c>
      <c r="P70" s="103">
        <f>(N70-O70)/O70</f>
        <v/>
      </c>
      <c r="Q70" s="568">
        <f>SUM(Q71:Q73)</f>
        <v/>
      </c>
      <c r="R70" s="568">
        <f>SUM(R71:R73)</f>
        <v/>
      </c>
      <c r="S70" s="103">
        <f>(Q70-R70)/R70</f>
        <v/>
      </c>
      <c r="T70" s="568">
        <f>E70/Q70</f>
        <v/>
      </c>
      <c r="U70" s="568">
        <f>F70/R70</f>
        <v/>
      </c>
      <c r="V70" s="103">
        <f>(T70-U70)/U70</f>
        <v/>
      </c>
      <c r="W70" s="568">
        <f>SUM(W71:W73)</f>
        <v/>
      </c>
      <c r="X70" s="568">
        <f>SUM(X71:X73)</f>
        <v/>
      </c>
      <c r="Y70" s="103">
        <f>(W70-X70)/X70</f>
        <v/>
      </c>
      <c r="Z70" s="568">
        <f>SUM(Z71:Z73)</f>
        <v/>
      </c>
      <c r="AA70" s="568">
        <f>SUM(AA71:AA73)</f>
        <v/>
      </c>
      <c r="AB70" s="103">
        <f>(Z70-AA70)/AA70</f>
        <v/>
      </c>
      <c r="AC70" s="82">
        <f>W70/Z70</f>
        <v/>
      </c>
      <c r="AD70" s="82">
        <f>X70/AA70</f>
        <v/>
      </c>
      <c r="AE70" s="103">
        <f>(AC70-AD70)/AD70</f>
        <v/>
      </c>
    </row>
    <row customHeight="1" ht="15.75" r="71" s="452" spans="1:32">
      <c r="A71" s="279" t="n"/>
      <c r="B71" s="279" t="n"/>
      <c r="C71" s="280" t="n"/>
      <c r="D71" s="280" t="n"/>
      <c r="E71" s="535" t="n"/>
      <c r="F71" s="535" t="n"/>
      <c r="G71" s="404" t="n"/>
      <c r="H71" s="536" t="n"/>
      <c r="I71" s="536" t="n"/>
      <c r="J71" s="404" t="n"/>
      <c r="K71" s="536" t="n"/>
      <c r="L71" s="535" t="n"/>
      <c r="M71" s="404" t="n"/>
      <c r="N71" s="537" t="n"/>
      <c r="O71" s="537" t="n"/>
      <c r="P71" s="404" t="n"/>
      <c r="Q71" s="537" t="n"/>
      <c r="R71" s="537" t="n"/>
      <c r="S71" s="404" t="n"/>
      <c r="T71" s="535" t="n"/>
      <c r="U71" s="537" t="n"/>
      <c r="V71" s="404" t="n"/>
      <c r="W71" s="537" t="n"/>
      <c r="X71" s="537" t="n"/>
      <c r="Y71" s="404" t="n"/>
      <c r="Z71" s="537" t="n"/>
      <c r="AA71" s="537" t="n"/>
      <c r="AB71" s="404" t="n"/>
      <c r="AC71" s="286" t="n"/>
      <c r="AD71" s="286" t="n"/>
      <c r="AE71" s="404" t="n"/>
    </row>
    <row customHeight="1" ht="15.75" r="72" s="452" spans="1:32">
      <c r="A72" s="279" t="n"/>
      <c r="B72" s="279" t="n"/>
      <c r="C72" s="280" t="n"/>
      <c r="D72" s="280" t="n"/>
      <c r="E72" s="535" t="n"/>
      <c r="F72" s="535" t="n"/>
      <c r="G72" s="404" t="n"/>
      <c r="H72" s="536" t="n"/>
      <c r="I72" s="536" t="n"/>
      <c r="J72" s="404" t="n"/>
      <c r="K72" s="536" t="n"/>
      <c r="L72" s="535" t="n"/>
      <c r="M72" s="404" t="n"/>
      <c r="N72" s="537" t="n"/>
      <c r="O72" s="537" t="n"/>
      <c r="P72" s="404" t="n"/>
      <c r="Q72" s="537" t="n"/>
      <c r="R72" s="537" t="n"/>
      <c r="S72" s="404" t="n"/>
      <c r="T72" s="535" t="n"/>
      <c r="U72" s="537" t="n"/>
      <c r="V72" s="404" t="n"/>
      <c r="W72" s="537" t="n"/>
      <c r="X72" s="537" t="n"/>
      <c r="Y72" s="404" t="n"/>
      <c r="Z72" s="537" t="n"/>
      <c r="AA72" s="537" t="n"/>
      <c r="AB72" s="404" t="n"/>
      <c r="AC72" s="286" t="n"/>
      <c r="AD72" s="286" t="n"/>
      <c r="AE72" s="404" t="n"/>
    </row>
    <row customHeight="1" ht="15.75" r="73" s="452" spans="1:32">
      <c r="A73" s="279" t="n"/>
      <c r="B73" s="279" t="n"/>
      <c r="C73" s="280" t="n"/>
      <c r="D73" s="297" t="s">
        <v>177</v>
      </c>
      <c r="E73" s="535" t="n"/>
      <c r="F73" s="535" t="n"/>
      <c r="G73" s="404" t="n"/>
      <c r="H73" s="536" t="n"/>
      <c r="I73" s="536" t="n"/>
      <c r="J73" s="404" t="n"/>
      <c r="K73" s="536" t="n"/>
      <c r="L73" s="535" t="n"/>
      <c r="M73" s="404" t="n"/>
      <c r="N73" s="537" t="n"/>
      <c r="O73" s="537" t="n"/>
      <c r="P73" s="404" t="n"/>
      <c r="Q73" s="537" t="n"/>
      <c r="R73" s="537" t="n"/>
      <c r="S73" s="404" t="n"/>
      <c r="T73" s="535" t="n"/>
      <c r="U73" s="537" t="n"/>
      <c r="V73" s="404" t="n"/>
      <c r="W73" s="537" t="n"/>
      <c r="X73" s="537" t="n"/>
      <c r="Y73" s="404" t="n"/>
      <c r="Z73" s="537" t="n"/>
      <c r="AA73" s="537" t="n"/>
      <c r="AB73" s="404" t="n"/>
      <c r="AC73" s="286" t="n"/>
      <c r="AD73" s="286" t="n"/>
      <c r="AE73" s="404" t="n"/>
    </row>
    <row customHeight="1" ht="15.75" r="74" s="452" spans="1:32">
      <c r="A74" s="49" t="s">
        <v>44</v>
      </c>
      <c r="B74" s="49" t="s">
        <v>98</v>
      </c>
      <c r="C74" s="50">
        <f>C70+7</f>
        <v/>
      </c>
      <c r="D74" s="403" t="s">
        <v>60</v>
      </c>
      <c r="E74" s="566">
        <f>SUM(E75:E77)</f>
        <v/>
      </c>
      <c r="F74" s="566">
        <f>SUM(F75:F77)</f>
        <v/>
      </c>
      <c r="G74" s="103">
        <f>(E74-F74)/F74</f>
        <v/>
      </c>
      <c r="H74" s="566">
        <f>SUM(H75:H77)</f>
        <v/>
      </c>
      <c r="I74" s="566">
        <f>SUM(I75:I77)</f>
        <v/>
      </c>
      <c r="J74" s="103">
        <f>(H74-I74)/I74</f>
        <v/>
      </c>
      <c r="K74" s="567">
        <f>E74/H74</f>
        <v/>
      </c>
      <c r="L74" s="566">
        <f>F74/I74</f>
        <v/>
      </c>
      <c r="M74" s="103">
        <f>(K74-L74)/L74</f>
        <v/>
      </c>
      <c r="N74" s="568">
        <f>SUM(N75:N77)</f>
        <v/>
      </c>
      <c r="O74" s="568">
        <f>SUM(O75:O77)</f>
        <v/>
      </c>
      <c r="P74" s="103">
        <f>(N74-O74)/O74</f>
        <v/>
      </c>
      <c r="Q74" s="568">
        <f>SUM(Q75:Q77)</f>
        <v/>
      </c>
      <c r="R74" s="568">
        <f>SUM(R75:R77)</f>
        <v/>
      </c>
      <c r="S74" s="103">
        <f>(Q74-R74)/R74</f>
        <v/>
      </c>
      <c r="T74" s="568">
        <f>E74/Q74</f>
        <v/>
      </c>
      <c r="U74" s="568">
        <f>F74/R74</f>
        <v/>
      </c>
      <c r="V74" s="103">
        <f>(T74-U74)/U74</f>
        <v/>
      </c>
      <c r="W74" s="568">
        <f>SUM(W75:W77)</f>
        <v/>
      </c>
      <c r="X74" s="568">
        <f>SUM(X75:X77)</f>
        <v/>
      </c>
      <c r="Y74" s="103">
        <f>(W74-X74)/X74</f>
        <v/>
      </c>
      <c r="Z74" s="568">
        <f>SUM(Z75:Z77)</f>
        <v/>
      </c>
      <c r="AA74" s="568">
        <f>SUM(AA75:AA77)</f>
        <v/>
      </c>
      <c r="AB74" s="103">
        <f>(Z74-AA74)/AA74</f>
        <v/>
      </c>
      <c r="AC74" s="82">
        <f>W74/Z74</f>
        <v/>
      </c>
      <c r="AD74" s="82">
        <f>X74/AA74</f>
        <v/>
      </c>
      <c r="AE74" s="103">
        <f>(AC74-AD74)/AD74</f>
        <v/>
      </c>
    </row>
    <row customHeight="1" ht="15.75" r="75" s="452" spans="1:32">
      <c r="A75" s="279" t="n"/>
      <c r="B75" s="279" t="n"/>
      <c r="C75" s="280" t="n"/>
      <c r="D75" s="280" t="n"/>
      <c r="E75" s="535" t="n"/>
      <c r="F75" s="535" t="n"/>
      <c r="G75" s="404" t="n"/>
      <c r="H75" s="536" t="n"/>
      <c r="I75" s="536" t="n"/>
      <c r="J75" s="404" t="n"/>
      <c r="K75" s="536" t="n"/>
      <c r="L75" s="535" t="n"/>
      <c r="M75" s="404" t="n"/>
      <c r="N75" s="537" t="n"/>
      <c r="O75" s="537" t="n"/>
      <c r="P75" s="404" t="n"/>
      <c r="Q75" s="537" t="n"/>
      <c r="R75" s="537" t="n"/>
      <c r="S75" s="404" t="n"/>
      <c r="T75" s="535" t="n"/>
      <c r="U75" s="537" t="n"/>
      <c r="V75" s="404" t="n"/>
      <c r="W75" s="537" t="n"/>
      <c r="X75" s="537" t="n"/>
      <c r="Y75" s="404" t="n"/>
      <c r="Z75" s="537" t="n"/>
      <c r="AA75" s="537" t="n"/>
      <c r="AB75" s="404" t="n"/>
      <c r="AC75" s="286" t="n"/>
      <c r="AD75" s="286" t="n"/>
      <c r="AE75" s="404" t="n"/>
    </row>
    <row customHeight="1" ht="15.75" r="76" s="452" spans="1:32">
      <c r="A76" s="279" t="n"/>
      <c r="B76" s="279" t="n"/>
      <c r="C76" s="280" t="n"/>
      <c r="D76" s="280" t="n"/>
      <c r="E76" s="535" t="n"/>
      <c r="F76" s="535" t="n"/>
      <c r="G76" s="404" t="n"/>
      <c r="H76" s="536" t="n"/>
      <c r="I76" s="536" t="n"/>
      <c r="J76" s="404" t="n"/>
      <c r="K76" s="536" t="n"/>
      <c r="L76" s="535" t="n"/>
      <c r="M76" s="404" t="n"/>
      <c r="N76" s="537" t="n"/>
      <c r="O76" s="537" t="n"/>
      <c r="P76" s="404" t="n"/>
      <c r="Q76" s="537" t="n"/>
      <c r="R76" s="537" t="n"/>
      <c r="S76" s="404" t="n"/>
      <c r="T76" s="535" t="n"/>
      <c r="U76" s="537" t="n"/>
      <c r="V76" s="404" t="n"/>
      <c r="W76" s="537" t="n"/>
      <c r="X76" s="537" t="n"/>
      <c r="Y76" s="404" t="n"/>
      <c r="Z76" s="537" t="n"/>
      <c r="AA76" s="537" t="n"/>
      <c r="AB76" s="404" t="n"/>
      <c r="AC76" s="286" t="n"/>
      <c r="AD76" s="286" t="n"/>
      <c r="AE76" s="404" t="n"/>
    </row>
    <row customHeight="1" ht="15.75" r="77" s="452" spans="1:32">
      <c r="A77" s="279" t="n"/>
      <c r="B77" s="279" t="n"/>
      <c r="C77" s="280" t="n"/>
      <c r="D77" s="297" t="s">
        <v>177</v>
      </c>
      <c r="E77" s="535" t="n"/>
      <c r="F77" s="535" t="n"/>
      <c r="G77" s="404" t="n"/>
      <c r="H77" s="536" t="n"/>
      <c r="I77" s="536" t="n"/>
      <c r="J77" s="404" t="n"/>
      <c r="K77" s="536" t="n"/>
      <c r="L77" s="535" t="n"/>
      <c r="M77" s="404" t="n"/>
      <c r="N77" s="537" t="n"/>
      <c r="O77" s="537" t="n"/>
      <c r="P77" s="404" t="n"/>
      <c r="Q77" s="537" t="n"/>
      <c r="R77" s="537" t="n"/>
      <c r="S77" s="404" t="n"/>
      <c r="T77" s="535" t="n"/>
      <c r="U77" s="537" t="n"/>
      <c r="V77" s="404" t="n"/>
      <c r="W77" s="537" t="n"/>
      <c r="X77" s="537" t="n"/>
      <c r="Y77" s="404" t="n"/>
      <c r="Z77" s="537" t="n"/>
      <c r="AA77" s="537" t="n"/>
      <c r="AB77" s="404" t="n"/>
      <c r="AC77" s="286" t="n"/>
      <c r="AD77" s="286" t="n"/>
      <c r="AE77" s="404" t="n"/>
    </row>
    <row customHeight="1" ht="15.75" r="78" s="452" spans="1:32">
      <c r="A78" s="49" t="s">
        <v>44</v>
      </c>
      <c r="B78" s="49" t="s">
        <v>99</v>
      </c>
      <c r="C78" s="50">
        <f>C74+7</f>
        <v/>
      </c>
      <c r="D78" s="403" t="s">
        <v>60</v>
      </c>
      <c r="E78" s="566">
        <f>SUM(E79:E81)</f>
        <v/>
      </c>
      <c r="F78" s="566">
        <f>SUM(F79:F81)</f>
        <v/>
      </c>
      <c r="G78" s="103">
        <f>(E78-F78)/F78</f>
        <v/>
      </c>
      <c r="H78" s="566">
        <f>SUM(H79:H81)</f>
        <v/>
      </c>
      <c r="I78" s="566">
        <f>SUM(I79:I81)</f>
        <v/>
      </c>
      <c r="J78" s="103">
        <f>(H78-I78)/I78</f>
        <v/>
      </c>
      <c r="K78" s="567">
        <f>E78/H78</f>
        <v/>
      </c>
      <c r="L78" s="566">
        <f>F78/I78</f>
        <v/>
      </c>
      <c r="M78" s="103">
        <f>(K78-L78)/L78</f>
        <v/>
      </c>
      <c r="N78" s="568">
        <f>SUM(N79:N81)</f>
        <v/>
      </c>
      <c r="O78" s="568">
        <f>SUM(O79:O81)</f>
        <v/>
      </c>
      <c r="P78" s="103">
        <f>(N78-O78)/O78</f>
        <v/>
      </c>
      <c r="Q78" s="568">
        <f>SUM(Q79:Q81)</f>
        <v/>
      </c>
      <c r="R78" s="568">
        <f>SUM(R79:R81)</f>
        <v/>
      </c>
      <c r="S78" s="103">
        <f>(Q78-R78)/R78</f>
        <v/>
      </c>
      <c r="T78" s="568">
        <f>E78/Q78</f>
        <v/>
      </c>
      <c r="U78" s="568">
        <f>F78/R78</f>
        <v/>
      </c>
      <c r="V78" s="103">
        <f>(T78-U78)/U78</f>
        <v/>
      </c>
      <c r="W78" s="568">
        <f>SUM(W79:W81)</f>
        <v/>
      </c>
      <c r="X78" s="568">
        <f>SUM(X79:X81)</f>
        <v/>
      </c>
      <c r="Y78" s="103">
        <f>(W78-X78)/X78</f>
        <v/>
      </c>
      <c r="Z78" s="568">
        <f>SUM(Z79:Z81)</f>
        <v/>
      </c>
      <c r="AA78" s="568">
        <f>SUM(AA79:AA81)</f>
        <v/>
      </c>
      <c r="AB78" s="103">
        <f>(Z78-AA78)/AA78</f>
        <v/>
      </c>
      <c r="AC78" s="82">
        <f>W78/Z78</f>
        <v/>
      </c>
      <c r="AD78" s="82">
        <f>X78/AA78</f>
        <v/>
      </c>
      <c r="AE78" s="103">
        <f>(AC78-AD78)/AD78</f>
        <v/>
      </c>
    </row>
    <row customHeight="1" ht="15.75" r="79" s="452" spans="1:32">
      <c r="A79" s="279" t="n"/>
      <c r="B79" s="279" t="n"/>
      <c r="C79" s="280" t="n"/>
      <c r="D79" s="280" t="n"/>
      <c r="E79" s="535" t="n"/>
      <c r="F79" s="535" t="n"/>
      <c r="G79" s="404" t="n"/>
      <c r="H79" s="536" t="n"/>
      <c r="I79" s="536" t="n"/>
      <c r="J79" s="404" t="n"/>
      <c r="K79" s="536" t="n"/>
      <c r="L79" s="535" t="n"/>
      <c r="M79" s="404" t="n"/>
      <c r="N79" s="537" t="n"/>
      <c r="O79" s="537" t="n"/>
      <c r="P79" s="404" t="n"/>
      <c r="Q79" s="537" t="n"/>
      <c r="R79" s="537" t="n"/>
      <c r="S79" s="404" t="n"/>
      <c r="T79" s="535" t="n"/>
      <c r="U79" s="537" t="n"/>
      <c r="V79" s="404" t="n"/>
      <c r="W79" s="537" t="n"/>
      <c r="X79" s="537" t="n"/>
      <c r="Y79" s="404" t="n"/>
      <c r="Z79" s="537" t="n"/>
      <c r="AA79" s="537" t="n"/>
      <c r="AB79" s="404" t="n"/>
      <c r="AC79" s="286" t="n"/>
      <c r="AD79" s="286" t="n"/>
      <c r="AE79" s="404" t="n"/>
    </row>
    <row customHeight="1" ht="15.75" r="80" s="452" spans="1:32">
      <c r="A80" s="279" t="n"/>
      <c r="B80" s="279" t="n"/>
      <c r="C80" s="280" t="n"/>
      <c r="D80" s="280" t="n"/>
      <c r="E80" s="535" t="n"/>
      <c r="F80" s="535" t="n"/>
      <c r="G80" s="404" t="n"/>
      <c r="H80" s="536" t="n"/>
      <c r="I80" s="536" t="n"/>
      <c r="J80" s="404" t="n"/>
      <c r="K80" s="536" t="n"/>
      <c r="L80" s="535" t="n"/>
      <c r="M80" s="404" t="n"/>
      <c r="N80" s="537" t="n"/>
      <c r="O80" s="537" t="n"/>
      <c r="P80" s="404" t="n"/>
      <c r="Q80" s="537" t="n"/>
      <c r="R80" s="537" t="n"/>
      <c r="S80" s="404" t="n"/>
      <c r="T80" s="535" t="n"/>
      <c r="U80" s="537" t="n"/>
      <c r="V80" s="404" t="n"/>
      <c r="W80" s="537" t="n"/>
      <c r="X80" s="537" t="n"/>
      <c r="Y80" s="404" t="n"/>
      <c r="Z80" s="537" t="n"/>
      <c r="AA80" s="537" t="n"/>
      <c r="AB80" s="404" t="n"/>
      <c r="AC80" s="286" t="n"/>
      <c r="AD80" s="286" t="n"/>
      <c r="AE80" s="404" t="n"/>
    </row>
    <row customFormat="1" customHeight="1" ht="15.75" r="81" s="357" spans="1:32">
      <c r="A81" s="347" t="n"/>
      <c r="B81" s="347" t="n"/>
      <c r="C81" s="348" t="n"/>
      <c r="D81" s="349" t="s">
        <v>177</v>
      </c>
      <c r="E81" s="612" t="n"/>
      <c r="F81" s="612" t="n"/>
      <c r="G81" s="405" t="n"/>
      <c r="H81" s="613" t="n"/>
      <c r="I81" s="613" t="n"/>
      <c r="J81" s="405" t="n"/>
      <c r="K81" s="613" t="n"/>
      <c r="L81" s="612" t="n"/>
      <c r="M81" s="405" t="n"/>
      <c r="N81" s="614" t="n">
        <v>5</v>
      </c>
      <c r="O81" s="614" t="n"/>
      <c r="P81" s="405" t="n"/>
      <c r="Q81" s="614" t="n"/>
      <c r="R81" s="614" t="n"/>
      <c r="S81" s="405" t="n"/>
      <c r="T81" s="612" t="n"/>
      <c r="U81" s="614" t="n"/>
      <c r="V81" s="405" t="n"/>
      <c r="W81" s="614" t="n"/>
      <c r="X81" s="614" t="n"/>
      <c r="Y81" s="405" t="n"/>
      <c r="Z81" s="614" t="n"/>
      <c r="AA81" s="614" t="n"/>
      <c r="AB81" s="405" t="n"/>
      <c r="AC81" s="356" t="n"/>
      <c r="AD81" s="356" t="n"/>
      <c r="AE81" s="405" t="n"/>
    </row>
    <row customHeight="1" ht="15.75" r="82" s="452" spans="1:32">
      <c r="A82" s="49" t="s">
        <v>45</v>
      </c>
      <c r="B82" s="49" t="s">
        <v>101</v>
      </c>
      <c r="C82" s="50">
        <f>C78+7</f>
        <v/>
      </c>
      <c r="D82" s="403" t="s">
        <v>60</v>
      </c>
      <c r="E82" s="566">
        <f>SUM(E83:E85)</f>
        <v/>
      </c>
      <c r="F82" s="566">
        <f>SUM(F83:F85)</f>
        <v/>
      </c>
      <c r="G82" s="103">
        <f>(E82-F82)/F82</f>
        <v/>
      </c>
      <c r="H82" s="566">
        <f>SUM(H83:H85)</f>
        <v/>
      </c>
      <c r="I82" s="566">
        <f>SUM(I83:I85)</f>
        <v/>
      </c>
      <c r="J82" s="103">
        <f>(H82-I82)/I82</f>
        <v/>
      </c>
      <c r="K82" s="567">
        <f>E82/H82</f>
        <v/>
      </c>
      <c r="L82" s="566">
        <f>F82/I82</f>
        <v/>
      </c>
      <c r="M82" s="103">
        <f>(K82-L82)/L82</f>
        <v/>
      </c>
      <c r="N82" s="568">
        <f>SUM(N83:N85)</f>
        <v/>
      </c>
      <c r="O82" s="568">
        <f>SUM(O83:O85)</f>
        <v/>
      </c>
      <c r="P82" s="103">
        <f>(N82-O82)/O82</f>
        <v/>
      </c>
      <c r="Q82" s="568">
        <f>SUM(Q83:Q85)</f>
        <v/>
      </c>
      <c r="R82" s="568">
        <f>SUM(R83:R85)</f>
        <v/>
      </c>
      <c r="S82" s="103">
        <f>(Q82-R82)/R82</f>
        <v/>
      </c>
      <c r="T82" s="568">
        <f>E82/Q82</f>
        <v/>
      </c>
      <c r="U82" s="568">
        <f>F82/R82</f>
        <v/>
      </c>
      <c r="V82" s="103">
        <f>(T82-U82)/U82</f>
        <v/>
      </c>
      <c r="W82" s="568">
        <f>SUM(W83:W85)</f>
        <v/>
      </c>
      <c r="X82" s="568">
        <f>SUM(X83:X85)</f>
        <v/>
      </c>
      <c r="Y82" s="103">
        <f>(W82-X82)/X82</f>
        <v/>
      </c>
      <c r="Z82" s="568">
        <f>SUM(Z83:Z85)</f>
        <v/>
      </c>
      <c r="AA82" s="568">
        <f>SUM(AA83:AA85)</f>
        <v/>
      </c>
      <c r="AB82" s="103">
        <f>(Z82-AA82)/AA82</f>
        <v/>
      </c>
      <c r="AC82" s="82">
        <f>W82/Z82</f>
        <v/>
      </c>
      <c r="AD82" s="82">
        <f>X82/AA82</f>
        <v/>
      </c>
      <c r="AE82" s="103">
        <f>(AC82-AD82)/AD82</f>
        <v/>
      </c>
    </row>
    <row customHeight="1" ht="15.75" r="83" s="452" spans="1:32">
      <c r="A83" s="279" t="n"/>
      <c r="B83" s="279" t="n"/>
      <c r="C83" s="280" t="n"/>
      <c r="D83" s="280" t="n"/>
      <c r="E83" s="535" t="n"/>
      <c r="F83" s="535" t="n"/>
      <c r="G83" s="404" t="n"/>
      <c r="H83" s="536" t="n"/>
      <c r="I83" s="536" t="n"/>
      <c r="J83" s="404" t="n"/>
      <c r="K83" s="536" t="n"/>
      <c r="L83" s="535" t="n"/>
      <c r="M83" s="404" t="n"/>
      <c r="N83" s="537" t="n"/>
      <c r="O83" s="537" t="n"/>
      <c r="P83" s="404" t="n"/>
      <c r="Q83" s="537" t="n"/>
      <c r="R83" s="537" t="n"/>
      <c r="S83" s="404" t="n"/>
      <c r="T83" s="535" t="n"/>
      <c r="U83" s="537" t="n"/>
      <c r="V83" s="404" t="n"/>
      <c r="W83" s="537" t="n"/>
      <c r="X83" s="537" t="n"/>
      <c r="Y83" s="404" t="n"/>
      <c r="Z83" s="537" t="n"/>
      <c r="AA83" s="537" t="n"/>
      <c r="AB83" s="404" t="n"/>
      <c r="AC83" s="286" t="n"/>
      <c r="AD83" s="286" t="n"/>
      <c r="AE83" s="404" t="n"/>
    </row>
    <row customHeight="1" ht="15.75" r="84" s="452" spans="1:32">
      <c r="A84" s="279" t="n"/>
      <c r="B84" s="279" t="n"/>
      <c r="C84" s="280" t="n"/>
      <c r="D84" s="280" t="n"/>
      <c r="E84" s="535" t="n"/>
      <c r="F84" s="535" t="n"/>
      <c r="G84" s="404" t="n"/>
      <c r="H84" s="536" t="n"/>
      <c r="I84" s="536" t="n"/>
      <c r="J84" s="404" t="n"/>
      <c r="K84" s="536" t="n"/>
      <c r="L84" s="535" t="n"/>
      <c r="M84" s="404" t="n"/>
      <c r="N84" s="537" t="n"/>
      <c r="O84" s="537" t="n"/>
      <c r="P84" s="404" t="n"/>
      <c r="Q84" s="537" t="n"/>
      <c r="R84" s="537" t="n"/>
      <c r="S84" s="404" t="n"/>
      <c r="T84" s="535" t="n"/>
      <c r="U84" s="537" t="n"/>
      <c r="V84" s="404" t="n"/>
      <c r="W84" s="537" t="n"/>
      <c r="X84" s="537" t="n"/>
      <c r="Y84" s="404" t="n"/>
      <c r="Z84" s="537" t="n"/>
      <c r="AA84" s="537" t="n"/>
      <c r="AB84" s="404" t="n"/>
      <c r="AC84" s="286" t="n"/>
      <c r="AD84" s="286" t="n"/>
      <c r="AE84" s="404" t="n"/>
    </row>
    <row customHeight="1" ht="15.75" r="85" s="452" spans="1:32">
      <c r="A85" s="279" t="n"/>
      <c r="B85" s="279" t="n"/>
      <c r="C85" s="280" t="n"/>
      <c r="D85" s="297" t="s">
        <v>177</v>
      </c>
      <c r="E85" s="535" t="n"/>
      <c r="F85" s="535" t="n"/>
      <c r="G85" s="404" t="n"/>
      <c r="H85" s="536" t="n"/>
      <c r="I85" s="536" t="n"/>
      <c r="J85" s="404" t="n"/>
      <c r="K85" s="536" t="n"/>
      <c r="L85" s="535" t="n"/>
      <c r="M85" s="404" t="n"/>
      <c r="N85" s="537" t="n">
        <v>230</v>
      </c>
      <c r="O85" s="537" t="n"/>
      <c r="P85" s="404" t="n"/>
      <c r="Q85" s="537" t="n"/>
      <c r="R85" s="537" t="n"/>
      <c r="S85" s="404" t="n"/>
      <c r="T85" s="535" t="n"/>
      <c r="U85" s="537" t="n"/>
      <c r="V85" s="404" t="n"/>
      <c r="W85" s="537" t="n"/>
      <c r="X85" s="537" t="n"/>
      <c r="Y85" s="404" t="n"/>
      <c r="Z85" s="537" t="n"/>
      <c r="AA85" s="537" t="n"/>
      <c r="AB85" s="404" t="n"/>
      <c r="AC85" s="286" t="n"/>
      <c r="AD85" s="286" t="n"/>
      <c r="AE85" s="404" t="n"/>
    </row>
    <row customHeight="1" ht="15.75" r="86" s="452" spans="1:32">
      <c r="A86" s="49" t="s">
        <v>45</v>
      </c>
      <c r="B86" s="49" t="s">
        <v>102</v>
      </c>
      <c r="C86" s="50">
        <f>C82+7</f>
        <v/>
      </c>
      <c r="D86" s="403" t="s">
        <v>60</v>
      </c>
      <c r="E86" s="566">
        <f>SUM(E87:E89)</f>
        <v/>
      </c>
      <c r="F86" s="566">
        <f>SUM(F87:F89)</f>
        <v/>
      </c>
      <c r="G86" s="103">
        <f>(E86-F86)/F86</f>
        <v/>
      </c>
      <c r="H86" s="566">
        <f>SUM(H87:H89)</f>
        <v/>
      </c>
      <c r="I86" s="566">
        <f>SUM(I87:I89)</f>
        <v/>
      </c>
      <c r="J86" s="103">
        <f>(H86-I86)/I86</f>
        <v/>
      </c>
      <c r="K86" s="567">
        <f>E86/H86</f>
        <v/>
      </c>
      <c r="L86" s="566">
        <f>F86/I86</f>
        <v/>
      </c>
      <c r="M86" s="103">
        <f>(K86-L86)/L86</f>
        <v/>
      </c>
      <c r="N86" s="568">
        <f>SUM(N87:N89)</f>
        <v/>
      </c>
      <c r="O86" s="568">
        <f>SUM(O87:O89)</f>
        <v/>
      </c>
      <c r="P86" s="103">
        <f>(N86-O86)/O86</f>
        <v/>
      </c>
      <c r="Q86" s="568">
        <f>SUM(Q87:Q89)</f>
        <v/>
      </c>
      <c r="R86" s="568">
        <f>SUM(R87:R89)</f>
        <v/>
      </c>
      <c r="S86" s="103">
        <f>(Q86-R86)/R86</f>
        <v/>
      </c>
      <c r="T86" s="568">
        <f>E86/Q86</f>
        <v/>
      </c>
      <c r="U86" s="568">
        <f>F86/R86</f>
        <v/>
      </c>
      <c r="V86" s="103">
        <f>(T86-U86)/U86</f>
        <v/>
      </c>
      <c r="W86" s="568">
        <f>SUM(W87:W89)</f>
        <v/>
      </c>
      <c r="X86" s="568">
        <f>SUM(X87:X89)</f>
        <v/>
      </c>
      <c r="Y86" s="103">
        <f>(W86-X86)/X86</f>
        <v/>
      </c>
      <c r="Z86" s="568">
        <f>SUM(Z87:Z89)</f>
        <v/>
      </c>
      <c r="AA86" s="568">
        <f>SUM(AA87:AA89)</f>
        <v/>
      </c>
      <c r="AB86" s="103">
        <f>(Z86-AA86)/AA86</f>
        <v/>
      </c>
      <c r="AC86" s="82">
        <f>W86/Z86</f>
        <v/>
      </c>
      <c r="AD86" s="82">
        <f>X86/AA86</f>
        <v/>
      </c>
      <c r="AE86" s="103">
        <f>(AC86-AD86)/AD86</f>
        <v/>
      </c>
    </row>
    <row customHeight="1" ht="15.75" r="87" s="452" spans="1:32">
      <c r="A87" s="279" t="n"/>
      <c r="B87" s="279" t="n"/>
      <c r="C87" s="280" t="n"/>
      <c r="D87" s="280" t="n"/>
      <c r="E87" s="535" t="n"/>
      <c r="F87" s="535" t="n"/>
      <c r="G87" s="404" t="n"/>
      <c r="H87" s="536" t="n"/>
      <c r="I87" s="536" t="n"/>
      <c r="J87" s="404" t="n"/>
      <c r="K87" s="536" t="n"/>
      <c r="L87" s="535" t="n"/>
      <c r="M87" s="404" t="n"/>
      <c r="N87" s="537" t="n"/>
      <c r="O87" s="537" t="n"/>
      <c r="P87" s="404" t="n"/>
      <c r="Q87" s="537" t="n"/>
      <c r="R87" s="537" t="n"/>
      <c r="S87" s="404" t="n"/>
      <c r="T87" s="535" t="n"/>
      <c r="U87" s="537" t="n"/>
      <c r="V87" s="404" t="n"/>
      <c r="W87" s="537" t="n"/>
      <c r="X87" s="537" t="n"/>
      <c r="Y87" s="404" t="n"/>
      <c r="Z87" s="537" t="n"/>
      <c r="AA87" s="537" t="n"/>
      <c r="AB87" s="404" t="n"/>
      <c r="AC87" s="286" t="n"/>
      <c r="AD87" s="286" t="n"/>
      <c r="AE87" s="404" t="n"/>
    </row>
    <row customHeight="1" ht="15.75" r="88" s="452" spans="1:32">
      <c r="A88" s="279" t="n"/>
      <c r="B88" s="279" t="n"/>
      <c r="C88" s="280" t="n"/>
      <c r="D88" s="280" t="n"/>
      <c r="E88" s="535" t="n"/>
      <c r="F88" s="535" t="n"/>
      <c r="G88" s="404" t="n"/>
      <c r="H88" s="536" t="n"/>
      <c r="I88" s="536" t="n"/>
      <c r="J88" s="404" t="n"/>
      <c r="K88" s="536" t="n"/>
      <c r="L88" s="535" t="n"/>
      <c r="M88" s="404" t="n"/>
      <c r="N88" s="537" t="n"/>
      <c r="O88" s="537" t="n"/>
      <c r="P88" s="404" t="n"/>
      <c r="Q88" s="537" t="n"/>
      <c r="R88" s="537" t="n"/>
      <c r="S88" s="404" t="n"/>
      <c r="T88" s="535" t="n"/>
      <c r="U88" s="537" t="n"/>
      <c r="V88" s="404" t="n"/>
      <c r="W88" s="537" t="n"/>
      <c r="X88" s="537" t="n"/>
      <c r="Y88" s="404" t="n"/>
      <c r="Z88" s="537" t="n"/>
      <c r="AA88" s="537" t="n"/>
      <c r="AB88" s="404" t="n"/>
      <c r="AC88" s="286" t="n"/>
      <c r="AD88" s="286" t="n"/>
      <c r="AE88" s="404" t="n"/>
    </row>
    <row customHeight="1" ht="15.75" r="89" s="452" spans="1:32">
      <c r="A89" s="279" t="n"/>
      <c r="B89" s="279" t="n"/>
      <c r="C89" s="280" t="n"/>
      <c r="D89" s="297" t="s">
        <v>177</v>
      </c>
      <c r="E89" s="535" t="n"/>
      <c r="F89" s="535" t="n"/>
      <c r="G89" s="404" t="n"/>
      <c r="H89" s="536" t="n"/>
      <c r="I89" s="536" t="n"/>
      <c r="J89" s="404" t="n"/>
      <c r="K89" s="536" t="n"/>
      <c r="L89" s="535" t="n"/>
      <c r="M89" s="404" t="n"/>
      <c r="N89" s="537" t="n">
        <v>410</v>
      </c>
      <c r="O89" s="537" t="n"/>
      <c r="P89" s="404" t="n"/>
      <c r="Q89" s="537" t="n"/>
      <c r="R89" s="537" t="n"/>
      <c r="S89" s="404" t="n"/>
      <c r="T89" s="535" t="n"/>
      <c r="U89" s="537" t="n"/>
      <c r="V89" s="404" t="n"/>
      <c r="W89" s="537" t="n"/>
      <c r="X89" s="537" t="n"/>
      <c r="Y89" s="404" t="n"/>
      <c r="Z89" s="537" t="n"/>
      <c r="AA89" s="537" t="n"/>
      <c r="AB89" s="404" t="n"/>
      <c r="AC89" s="286" t="n"/>
      <c r="AD89" s="286" t="n"/>
      <c r="AE89" s="404" t="n"/>
    </row>
    <row customHeight="1" ht="15.75" r="90" s="452" spans="1:32">
      <c r="A90" s="49" t="s">
        <v>45</v>
      </c>
      <c r="B90" s="49" t="s">
        <v>103</v>
      </c>
      <c r="C90" s="50">
        <f>C86+7</f>
        <v/>
      </c>
      <c r="D90" s="403" t="s">
        <v>60</v>
      </c>
      <c r="E90" s="566">
        <f>SUM(E91:E93)</f>
        <v/>
      </c>
      <c r="F90" s="566">
        <f>SUM(F91:F93)</f>
        <v/>
      </c>
      <c r="G90" s="103">
        <f>(E90-F90)/F90</f>
        <v/>
      </c>
      <c r="H90" s="566">
        <f>SUM(H91:H93)</f>
        <v/>
      </c>
      <c r="I90" s="566">
        <f>SUM(I91:I93)</f>
        <v/>
      </c>
      <c r="J90" s="103">
        <f>(H90-I90)/I90</f>
        <v/>
      </c>
      <c r="K90" s="567">
        <f>E90/H90</f>
        <v/>
      </c>
      <c r="L90" s="566">
        <f>F90/I90</f>
        <v/>
      </c>
      <c r="M90" s="103">
        <f>(K90-L90)/L90</f>
        <v/>
      </c>
      <c r="N90" s="568">
        <f>SUM(N91:N93)</f>
        <v/>
      </c>
      <c r="O90" s="568">
        <f>SUM(O91:O93)</f>
        <v/>
      </c>
      <c r="P90" s="103">
        <f>(N90-O90)/O90</f>
        <v/>
      </c>
      <c r="Q90" s="568">
        <f>SUM(Q91:Q93)</f>
        <v/>
      </c>
      <c r="R90" s="568">
        <f>SUM(R91:R93)</f>
        <v/>
      </c>
      <c r="S90" s="103">
        <f>(Q90-R90)/R90</f>
        <v/>
      </c>
      <c r="T90" s="568">
        <f>E90/Q90</f>
        <v/>
      </c>
      <c r="U90" s="568">
        <f>F90/R90</f>
        <v/>
      </c>
      <c r="V90" s="103">
        <f>(T90-U90)/U90</f>
        <v/>
      </c>
      <c r="W90" s="568">
        <f>SUM(W91:W93)</f>
        <v/>
      </c>
      <c r="X90" s="568">
        <f>SUM(X91:X93)</f>
        <v/>
      </c>
      <c r="Y90" s="103">
        <f>(W90-X90)/X90</f>
        <v/>
      </c>
      <c r="Z90" s="568">
        <f>SUM(Z91:Z93)</f>
        <v/>
      </c>
      <c r="AA90" s="568">
        <f>SUM(AA91:AA93)</f>
        <v/>
      </c>
      <c r="AB90" s="103">
        <f>(Z90-AA90)/AA90</f>
        <v/>
      </c>
      <c r="AC90" s="82">
        <f>W90/Z90</f>
        <v/>
      </c>
      <c r="AD90" s="82">
        <f>X90/AA90</f>
        <v/>
      </c>
      <c r="AE90" s="103">
        <f>(AC90-AD90)/AD90</f>
        <v/>
      </c>
    </row>
    <row customHeight="1" ht="15.75" r="91" s="452" spans="1:32">
      <c r="A91" s="279" t="n"/>
      <c r="B91" s="279" t="n"/>
      <c r="C91" s="280" t="n"/>
      <c r="D91" s="280" t="n"/>
      <c r="E91" s="535" t="n"/>
      <c r="F91" s="535" t="n"/>
      <c r="G91" s="404" t="n"/>
      <c r="H91" s="536" t="n"/>
      <c r="I91" s="536" t="n"/>
      <c r="J91" s="404" t="n"/>
      <c r="K91" s="536" t="n"/>
      <c r="L91" s="535" t="n"/>
      <c r="M91" s="404" t="n"/>
      <c r="N91" s="537" t="n"/>
      <c r="O91" s="537" t="n"/>
      <c r="P91" s="404" t="n"/>
      <c r="Q91" s="537" t="n"/>
      <c r="R91" s="537" t="n"/>
      <c r="S91" s="404" t="n"/>
      <c r="T91" s="535" t="n"/>
      <c r="U91" s="537" t="n"/>
      <c r="V91" s="404" t="n"/>
      <c r="W91" s="537" t="n"/>
      <c r="X91" s="537" t="n"/>
      <c r="Y91" s="404" t="n"/>
      <c r="Z91" s="537" t="n"/>
      <c r="AA91" s="537" t="n"/>
      <c r="AB91" s="404" t="n"/>
      <c r="AC91" s="286" t="n"/>
      <c r="AD91" s="286" t="n"/>
      <c r="AE91" s="404" t="n"/>
    </row>
    <row customHeight="1" ht="15.75" r="92" s="452" spans="1:32">
      <c r="A92" s="279" t="n"/>
      <c r="B92" s="279" t="n"/>
      <c r="C92" s="280" t="n"/>
      <c r="D92" s="280" t="n"/>
      <c r="E92" s="535" t="n"/>
      <c r="F92" s="535" t="n"/>
      <c r="G92" s="404" t="n"/>
      <c r="H92" s="536" t="n"/>
      <c r="I92" s="536" t="n"/>
      <c r="J92" s="404" t="n"/>
      <c r="K92" s="536" t="n"/>
      <c r="L92" s="535" t="n"/>
      <c r="M92" s="404" t="n"/>
      <c r="N92" s="537" t="n"/>
      <c r="O92" s="537" t="n"/>
      <c r="P92" s="404" t="n"/>
      <c r="Q92" s="537" t="n"/>
      <c r="R92" s="537" t="n"/>
      <c r="S92" s="404" t="n"/>
      <c r="T92" s="535" t="n"/>
      <c r="U92" s="537" t="n"/>
      <c r="V92" s="404" t="n"/>
      <c r="W92" s="537" t="n"/>
      <c r="X92" s="537" t="n"/>
      <c r="Y92" s="404" t="n"/>
      <c r="Z92" s="537" t="n"/>
      <c r="AA92" s="537" t="n"/>
      <c r="AB92" s="404" t="n"/>
      <c r="AC92" s="286" t="n"/>
      <c r="AD92" s="286" t="n"/>
      <c r="AE92" s="404" t="n"/>
    </row>
    <row customHeight="1" ht="15.75" r="93" s="452" spans="1:32">
      <c r="A93" s="279" t="n"/>
      <c r="B93" s="279" t="n"/>
      <c r="C93" s="280" t="n"/>
      <c r="D93" s="297" t="s">
        <v>177</v>
      </c>
      <c r="E93" s="535" t="n"/>
      <c r="F93" s="535" t="n"/>
      <c r="G93" s="404" t="n"/>
      <c r="H93" s="536" t="n"/>
      <c r="I93" s="536" t="n"/>
      <c r="J93" s="404" t="n"/>
      <c r="K93" s="536" t="n"/>
      <c r="L93" s="535" t="n"/>
      <c r="M93" s="404" t="n"/>
      <c r="N93" s="537" t="n">
        <v>689</v>
      </c>
      <c r="O93" s="537" t="n"/>
      <c r="P93" s="404" t="n"/>
      <c r="Q93" s="537" t="n"/>
      <c r="R93" s="537" t="n"/>
      <c r="S93" s="404" t="n"/>
      <c r="T93" s="535" t="n"/>
      <c r="U93" s="537" t="n"/>
      <c r="V93" s="404" t="n"/>
      <c r="W93" s="537" t="n"/>
      <c r="X93" s="537" t="n"/>
      <c r="Y93" s="404" t="n"/>
      <c r="Z93" s="537" t="n"/>
      <c r="AA93" s="537" t="n"/>
      <c r="AB93" s="404" t="n"/>
      <c r="AC93" s="286" t="n"/>
      <c r="AD93" s="286" t="n"/>
      <c r="AE93" s="404" t="n"/>
    </row>
    <row customHeight="1" ht="15.75" r="94" s="452" spans="1:32">
      <c r="A94" s="49" t="s">
        <v>45</v>
      </c>
      <c r="B94" s="49" t="s">
        <v>104</v>
      </c>
      <c r="C94" s="50">
        <f>C90+7</f>
        <v/>
      </c>
      <c r="D94" s="403" t="s">
        <v>60</v>
      </c>
      <c r="E94" s="566">
        <f>SUM(E95:E97)</f>
        <v/>
      </c>
      <c r="F94" s="566">
        <f>SUM(F95:F97)</f>
        <v/>
      </c>
      <c r="G94" s="103">
        <f>(E94-F94)/F94</f>
        <v/>
      </c>
      <c r="H94" s="566">
        <f>SUM(H95:H97)</f>
        <v/>
      </c>
      <c r="I94" s="566">
        <f>SUM(I95:I97)</f>
        <v/>
      </c>
      <c r="J94" s="103">
        <f>(H94-I94)/I94</f>
        <v/>
      </c>
      <c r="K94" s="567">
        <f>E94/H94</f>
        <v/>
      </c>
      <c r="L94" s="566">
        <f>F94/I94</f>
        <v/>
      </c>
      <c r="M94" s="103">
        <f>(K94-L94)/L94</f>
        <v/>
      </c>
      <c r="N94" s="568">
        <f>SUM(N95:N97)</f>
        <v/>
      </c>
      <c r="O94" s="568">
        <f>SUM(O95:O97)</f>
        <v/>
      </c>
      <c r="P94" s="103">
        <f>(N94-O94)/O94</f>
        <v/>
      </c>
      <c r="Q94" s="568">
        <f>SUM(Q95:Q97)</f>
        <v/>
      </c>
      <c r="R94" s="568">
        <f>SUM(R95:R97)</f>
        <v/>
      </c>
      <c r="S94" s="103">
        <f>(Q94-R94)/R94</f>
        <v/>
      </c>
      <c r="T94" s="568">
        <f>E94/Q94</f>
        <v/>
      </c>
      <c r="U94" s="568">
        <f>F94/R94</f>
        <v/>
      </c>
      <c r="V94" s="103">
        <f>(T94-U94)/U94</f>
        <v/>
      </c>
      <c r="W94" s="568">
        <f>SUM(W95:W97)</f>
        <v/>
      </c>
      <c r="X94" s="568">
        <f>SUM(X95:X97)</f>
        <v/>
      </c>
      <c r="Y94" s="103">
        <f>(W94-X94)/X94</f>
        <v/>
      </c>
      <c r="Z94" s="568">
        <f>SUM(Z95:Z97)</f>
        <v/>
      </c>
      <c r="AA94" s="568">
        <f>SUM(AA95:AA97)</f>
        <v/>
      </c>
      <c r="AB94" s="103">
        <f>(Z94-AA94)/AA94</f>
        <v/>
      </c>
      <c r="AC94" s="82">
        <f>W94/Z94</f>
        <v/>
      </c>
      <c r="AD94" s="82">
        <f>X94/AA94</f>
        <v/>
      </c>
      <c r="AE94" s="103">
        <f>(AC94-AD94)/AD94</f>
        <v/>
      </c>
    </row>
    <row customHeight="1" ht="15.75" r="95" s="452" spans="1:32">
      <c r="A95" s="279" t="n"/>
      <c r="B95" s="279" t="n"/>
      <c r="C95" s="280" t="n"/>
      <c r="D95" s="280" t="n"/>
      <c r="E95" s="535" t="n"/>
      <c r="F95" s="535" t="n"/>
      <c r="G95" s="404" t="n"/>
      <c r="H95" s="536" t="n"/>
      <c r="I95" s="536" t="n"/>
      <c r="J95" s="404" t="n"/>
      <c r="K95" s="536" t="n"/>
      <c r="L95" s="535" t="n"/>
      <c r="M95" s="404" t="n"/>
      <c r="N95" s="537" t="n"/>
      <c r="O95" s="537" t="n"/>
      <c r="P95" s="404" t="n"/>
      <c r="Q95" s="537" t="n"/>
      <c r="R95" s="537" t="n"/>
      <c r="S95" s="404" t="n"/>
      <c r="T95" s="535" t="n"/>
      <c r="U95" s="537" t="n"/>
      <c r="V95" s="404" t="n"/>
      <c r="W95" s="537" t="n"/>
      <c r="X95" s="537" t="n"/>
      <c r="Y95" s="404" t="n"/>
      <c r="Z95" s="537" t="n"/>
      <c r="AA95" s="537" t="n"/>
      <c r="AB95" s="404" t="n"/>
      <c r="AC95" s="286" t="n"/>
      <c r="AD95" s="286" t="n"/>
      <c r="AE95" s="404" t="n"/>
    </row>
    <row customHeight="1" ht="15.75" r="96" s="452" spans="1:32">
      <c r="A96" s="279" t="n"/>
      <c r="B96" s="279" t="n"/>
      <c r="C96" s="280" t="n"/>
      <c r="D96" s="280" t="n"/>
      <c r="E96" s="535" t="n"/>
      <c r="F96" s="535" t="n"/>
      <c r="G96" s="404" t="n"/>
      <c r="H96" s="536" t="n"/>
      <c r="I96" s="536" t="n"/>
      <c r="J96" s="404" t="n"/>
      <c r="K96" s="536" t="n"/>
      <c r="L96" s="535" t="n"/>
      <c r="M96" s="404" t="n"/>
      <c r="N96" s="537" t="n"/>
      <c r="O96" s="537" t="n"/>
      <c r="P96" s="404" t="n"/>
      <c r="Q96" s="537" t="n"/>
      <c r="R96" s="537" t="n"/>
      <c r="S96" s="404" t="n"/>
      <c r="T96" s="535" t="n"/>
      <c r="U96" s="537" t="n"/>
      <c r="V96" s="404" t="n"/>
      <c r="W96" s="537" t="n"/>
      <c r="X96" s="537" t="n"/>
      <c r="Y96" s="404" t="n"/>
      <c r="Z96" s="537" t="n"/>
      <c r="AA96" s="537" t="n"/>
      <c r="AB96" s="404" t="n"/>
      <c r="AC96" s="286" t="n"/>
      <c r="AD96" s="286" t="n"/>
      <c r="AE96" s="404" t="n"/>
    </row>
    <row customFormat="1" customHeight="1" ht="15.75" r="97" s="357" spans="1:32">
      <c r="A97" s="347" t="n"/>
      <c r="B97" s="347" t="n"/>
      <c r="C97" s="348" t="n"/>
      <c r="D97" s="349" t="s">
        <v>177</v>
      </c>
      <c r="E97" s="612" t="n"/>
      <c r="F97" s="612" t="n"/>
      <c r="G97" s="405" t="n"/>
      <c r="H97" s="613" t="n"/>
      <c r="I97" s="613" t="n"/>
      <c r="J97" s="405" t="n"/>
      <c r="K97" s="613" t="n"/>
      <c r="L97" s="612" t="n"/>
      <c r="M97" s="405" t="n"/>
      <c r="N97" s="614" t="n">
        <v>4101</v>
      </c>
      <c r="O97" s="614" t="n"/>
      <c r="P97" s="405" t="n"/>
      <c r="Q97" s="614" t="n"/>
      <c r="R97" s="614" t="n"/>
      <c r="S97" s="405" t="n"/>
      <c r="T97" s="612" t="n"/>
      <c r="U97" s="614" t="n"/>
      <c r="V97" s="405" t="n"/>
      <c r="W97" s="614" t="n"/>
      <c r="X97" s="614" t="n"/>
      <c r="Y97" s="405" t="n"/>
      <c r="Z97" s="614" t="n"/>
      <c r="AA97" s="614" t="n"/>
      <c r="AB97" s="405" t="n"/>
      <c r="AC97" s="356" t="n"/>
      <c r="AD97" s="356" t="n"/>
      <c r="AE97" s="405" t="n"/>
    </row>
    <row customHeight="1" ht="15.75" r="98" s="452" spans="1:32">
      <c r="A98" s="49" t="s">
        <v>46</v>
      </c>
      <c r="B98" s="49" t="s">
        <v>106</v>
      </c>
      <c r="C98" s="50">
        <f>C94+7</f>
        <v/>
      </c>
      <c r="D98" s="403" t="s">
        <v>60</v>
      </c>
      <c r="E98" s="566">
        <f>SUM(E99:E101)</f>
        <v/>
      </c>
      <c r="F98" s="566">
        <f>SUM(F99:F101)</f>
        <v/>
      </c>
      <c r="G98" s="103">
        <f>(E98-F98)/F98</f>
        <v/>
      </c>
      <c r="H98" s="566">
        <f>SUM(H99:H101)</f>
        <v/>
      </c>
      <c r="I98" s="566">
        <f>SUM(I99:I101)</f>
        <v/>
      </c>
      <c r="J98" s="103">
        <f>(H98-I98)/I98</f>
        <v/>
      </c>
      <c r="K98" s="567">
        <f>E98/H98</f>
        <v/>
      </c>
      <c r="L98" s="566">
        <f>F98/I98</f>
        <v/>
      </c>
      <c r="M98" s="103">
        <f>(K98-L98)/L98</f>
        <v/>
      </c>
      <c r="N98" s="568">
        <f>SUM(N99:N101)</f>
        <v/>
      </c>
      <c r="O98" s="568">
        <f>SUM(O99:O101)</f>
        <v/>
      </c>
      <c r="P98" s="103">
        <f>(N98-O98)/O98</f>
        <v/>
      </c>
      <c r="Q98" s="568">
        <f>SUM(Q99:Q101)</f>
        <v/>
      </c>
      <c r="R98" s="568">
        <f>SUM(R99:R101)</f>
        <v/>
      </c>
      <c r="S98" s="103">
        <f>(Q98-R98)/R98</f>
        <v/>
      </c>
      <c r="T98" s="568">
        <f>E98/Q98</f>
        <v/>
      </c>
      <c r="U98" s="568">
        <f>F98/R98</f>
        <v/>
      </c>
      <c r="V98" s="103">
        <f>(T98-U98)/U98</f>
        <v/>
      </c>
      <c r="W98" s="568">
        <f>SUM(W99:W101)</f>
        <v/>
      </c>
      <c r="X98" s="568">
        <f>SUM(X99:X101)</f>
        <v/>
      </c>
      <c r="Y98" s="103">
        <f>(W98-X98)/X98</f>
        <v/>
      </c>
      <c r="Z98" s="568">
        <f>SUM(Z99:Z101)</f>
        <v/>
      </c>
      <c r="AA98" s="568">
        <f>SUM(AA99:AA101)</f>
        <v/>
      </c>
      <c r="AB98" s="103">
        <f>(Z98-AA98)/AA98</f>
        <v/>
      </c>
      <c r="AC98" s="82">
        <f>W98/Z98</f>
        <v/>
      </c>
      <c r="AD98" s="82">
        <f>X98/AA98</f>
        <v/>
      </c>
      <c r="AE98" s="103">
        <f>(AC98-AD98)/AD98</f>
        <v/>
      </c>
    </row>
    <row customHeight="1" ht="15.75" r="99" s="452" spans="1:32">
      <c r="A99" s="279" t="n"/>
      <c r="B99" s="279" t="n"/>
      <c r="C99" s="280" t="n"/>
      <c r="D99" s="280" t="n"/>
      <c r="E99" s="535" t="n"/>
      <c r="F99" s="535" t="n"/>
      <c r="G99" s="404" t="n"/>
      <c r="H99" s="536" t="n"/>
      <c r="I99" s="536" t="n"/>
      <c r="J99" s="404" t="n"/>
      <c r="K99" s="536" t="n"/>
      <c r="L99" s="535" t="n"/>
      <c r="M99" s="404" t="n"/>
      <c r="N99" s="537" t="n"/>
      <c r="O99" s="537" t="n"/>
      <c r="P99" s="404" t="n"/>
      <c r="Q99" s="537" t="n"/>
      <c r="R99" s="537" t="n"/>
      <c r="S99" s="404" t="n"/>
      <c r="T99" s="535" t="n"/>
      <c r="U99" s="537" t="n"/>
      <c r="V99" s="404" t="n"/>
      <c r="W99" s="537" t="n"/>
      <c r="X99" s="537" t="n"/>
      <c r="Y99" s="404" t="n"/>
      <c r="Z99" s="537" t="n"/>
      <c r="AA99" s="537" t="n"/>
      <c r="AB99" s="404" t="n"/>
      <c r="AC99" s="286" t="n"/>
      <c r="AD99" s="286" t="n"/>
      <c r="AE99" s="404" t="n"/>
    </row>
    <row customHeight="1" ht="15.75" r="100" s="452" spans="1:32">
      <c r="A100" s="279" t="n"/>
      <c r="B100" s="279" t="n"/>
      <c r="C100" s="280" t="n"/>
      <c r="D100" s="280" t="n"/>
      <c r="E100" s="535" t="n"/>
      <c r="F100" s="535" t="n"/>
      <c r="G100" s="404" t="n"/>
      <c r="H100" s="536" t="n"/>
      <c r="I100" s="536" t="n"/>
      <c r="J100" s="404" t="n"/>
      <c r="K100" s="536" t="n"/>
      <c r="L100" s="535" t="n"/>
      <c r="M100" s="404" t="n"/>
      <c r="N100" s="537" t="n"/>
      <c r="O100" s="537" t="n"/>
      <c r="P100" s="404" t="n"/>
      <c r="Q100" s="537" t="n"/>
      <c r="R100" s="537" t="n"/>
      <c r="S100" s="404" t="n"/>
      <c r="T100" s="535" t="n"/>
      <c r="U100" s="537" t="n"/>
      <c r="V100" s="404" t="n"/>
      <c r="W100" s="537" t="n"/>
      <c r="X100" s="537" t="n"/>
      <c r="Y100" s="404" t="n"/>
      <c r="Z100" s="537" t="n"/>
      <c r="AA100" s="537" t="n"/>
      <c r="AB100" s="404" t="n"/>
      <c r="AC100" s="286" t="n"/>
      <c r="AD100" s="286" t="n"/>
      <c r="AE100" s="404" t="n"/>
    </row>
    <row customHeight="1" ht="15.75" r="101" s="452" spans="1:32">
      <c r="A101" s="279" t="n"/>
      <c r="B101" s="279" t="n"/>
      <c r="C101" s="280" t="n"/>
      <c r="D101" s="297" t="s">
        <v>177</v>
      </c>
      <c r="E101" s="535" t="n"/>
      <c r="F101" s="535" t="n"/>
      <c r="G101" s="404" t="n"/>
      <c r="H101" s="536" t="n"/>
      <c r="I101" s="536" t="n"/>
      <c r="J101" s="404" t="n"/>
      <c r="K101" s="536" t="n"/>
      <c r="L101" s="535" t="n"/>
      <c r="M101" s="404" t="n"/>
      <c r="N101" s="537" t="n">
        <v>731</v>
      </c>
      <c r="O101" s="537" t="n"/>
      <c r="P101" s="404" t="n"/>
      <c r="Q101" s="537" t="n"/>
      <c r="R101" s="537" t="n"/>
      <c r="S101" s="404" t="n"/>
      <c r="T101" s="535" t="n"/>
      <c r="U101" s="537" t="n"/>
      <c r="V101" s="404" t="n"/>
      <c r="W101" s="537" t="n"/>
      <c r="X101" s="537" t="n"/>
      <c r="Y101" s="404" t="n"/>
      <c r="Z101" s="537" t="n"/>
      <c r="AA101" s="537" t="n"/>
      <c r="AB101" s="404" t="n"/>
      <c r="AC101" s="286" t="n"/>
      <c r="AD101" s="286" t="n"/>
      <c r="AE101" s="404" t="n"/>
    </row>
    <row customHeight="1" ht="15.75" r="102" s="452" spans="1:32">
      <c r="A102" s="49" t="s">
        <v>46</v>
      </c>
      <c r="B102" s="49" t="s">
        <v>108</v>
      </c>
      <c r="C102" s="50">
        <f>C98+7</f>
        <v/>
      </c>
      <c r="D102" s="403" t="s">
        <v>60</v>
      </c>
      <c r="E102" s="566">
        <f>SUM(E103:E105)</f>
        <v/>
      </c>
      <c r="F102" s="566">
        <f>SUM(F103:F105)</f>
        <v/>
      </c>
      <c r="G102" s="103">
        <f>(E102-F102)/F102</f>
        <v/>
      </c>
      <c r="H102" s="566">
        <f>SUM(H103:H105)</f>
        <v/>
      </c>
      <c r="I102" s="566">
        <f>SUM(I103:I105)</f>
        <v/>
      </c>
      <c r="J102" s="103">
        <f>(H102-I102)/I102</f>
        <v/>
      </c>
      <c r="K102" s="567">
        <f>E102/H102</f>
        <v/>
      </c>
      <c r="L102" s="566">
        <f>F102/I102</f>
        <v/>
      </c>
      <c r="M102" s="103">
        <f>(K102-L102)/L102</f>
        <v/>
      </c>
      <c r="N102" s="568">
        <f>SUM(N103:N105)</f>
        <v/>
      </c>
      <c r="O102" s="568">
        <f>SUM(O103:O105)</f>
        <v/>
      </c>
      <c r="P102" s="103">
        <f>(N102-O102)/O102</f>
        <v/>
      </c>
      <c r="Q102" s="568">
        <f>SUM(Q103:Q105)</f>
        <v/>
      </c>
      <c r="R102" s="568">
        <f>SUM(R103:R105)</f>
        <v/>
      </c>
      <c r="S102" s="103">
        <f>(Q102-R102)/R102</f>
        <v/>
      </c>
      <c r="T102" s="568">
        <f>E102/Q102</f>
        <v/>
      </c>
      <c r="U102" s="568">
        <f>F102/R102</f>
        <v/>
      </c>
      <c r="V102" s="103">
        <f>(T102-U102)/U102</f>
        <v/>
      </c>
      <c r="W102" s="568">
        <f>SUM(W103:W105)</f>
        <v/>
      </c>
      <c r="X102" s="568">
        <f>SUM(X103:X105)</f>
        <v/>
      </c>
      <c r="Y102" s="103">
        <f>(W102-X102)/X102</f>
        <v/>
      </c>
      <c r="Z102" s="568">
        <f>SUM(Z103:Z105)</f>
        <v/>
      </c>
      <c r="AA102" s="568">
        <f>SUM(AA103:AA105)</f>
        <v/>
      </c>
      <c r="AB102" s="103">
        <f>(Z102-AA102)/AA102</f>
        <v/>
      </c>
      <c r="AC102" s="82">
        <f>W102/Z102</f>
        <v/>
      </c>
      <c r="AD102" s="82">
        <f>X102/AA102</f>
        <v/>
      </c>
      <c r="AE102" s="103">
        <f>(AC102-AD102)/AD102</f>
        <v/>
      </c>
    </row>
    <row customHeight="1" ht="15.75" r="103" s="452" spans="1:32">
      <c r="A103" s="279" t="n"/>
      <c r="B103" s="279" t="n"/>
      <c r="C103" s="280" t="n"/>
      <c r="D103" s="280" t="n"/>
      <c r="E103" s="535" t="n"/>
      <c r="F103" s="535" t="n"/>
      <c r="G103" s="404" t="n"/>
      <c r="H103" s="536" t="n"/>
      <c r="I103" s="536" t="n"/>
      <c r="J103" s="404" t="n"/>
      <c r="K103" s="536" t="n"/>
      <c r="L103" s="535" t="n"/>
      <c r="M103" s="404" t="n"/>
      <c r="N103" s="537" t="n"/>
      <c r="O103" s="537" t="n"/>
      <c r="P103" s="404" t="n"/>
      <c r="Q103" s="537" t="n"/>
      <c r="R103" s="537" t="n"/>
      <c r="S103" s="404" t="n"/>
      <c r="T103" s="535" t="n"/>
      <c r="U103" s="537" t="n"/>
      <c r="V103" s="404" t="n"/>
      <c r="W103" s="537" t="n"/>
      <c r="X103" s="537" t="n"/>
      <c r="Y103" s="404" t="n"/>
      <c r="Z103" s="537" t="n"/>
      <c r="AA103" s="537" t="n"/>
      <c r="AB103" s="404" t="n"/>
      <c r="AC103" s="286" t="n"/>
      <c r="AD103" s="286" t="n"/>
      <c r="AE103" s="404" t="n"/>
    </row>
    <row customHeight="1" ht="15.75" r="104" s="452" spans="1:32">
      <c r="A104" s="279" t="n"/>
      <c r="B104" s="279" t="n"/>
      <c r="C104" s="280" t="n"/>
      <c r="D104" s="280" t="n"/>
      <c r="E104" s="535" t="n"/>
      <c r="F104" s="535" t="n"/>
      <c r="G104" s="404" t="n"/>
      <c r="H104" s="536" t="n"/>
      <c r="I104" s="536" t="n"/>
      <c r="J104" s="404" t="n"/>
      <c r="K104" s="536" t="n"/>
      <c r="L104" s="535" t="n"/>
      <c r="M104" s="404" t="n"/>
      <c r="N104" s="537" t="n"/>
      <c r="O104" s="537" t="n"/>
      <c r="P104" s="404" t="n"/>
      <c r="Q104" s="537" t="n"/>
      <c r="R104" s="537" t="n"/>
      <c r="S104" s="404" t="n"/>
      <c r="T104" s="535" t="n"/>
      <c r="U104" s="537" t="n"/>
      <c r="V104" s="404" t="n"/>
      <c r="W104" s="537" t="n"/>
      <c r="X104" s="537" t="n"/>
      <c r="Y104" s="404" t="n"/>
      <c r="Z104" s="537" t="n"/>
      <c r="AA104" s="537" t="n"/>
      <c r="AB104" s="404" t="n"/>
      <c r="AC104" s="286" t="n"/>
      <c r="AD104" s="286" t="n"/>
      <c r="AE104" s="404" t="n"/>
    </row>
    <row customHeight="1" ht="15.75" r="105" s="452" spans="1:32">
      <c r="A105" s="279" t="n"/>
      <c r="B105" s="279" t="n"/>
      <c r="C105" s="280" t="n"/>
      <c r="D105" s="297" t="s">
        <v>177</v>
      </c>
      <c r="E105" s="535" t="n"/>
      <c r="F105" s="535" t="n"/>
      <c r="G105" s="404" t="n"/>
      <c r="H105" s="536" t="n"/>
      <c r="I105" s="536" t="n"/>
      <c r="J105" s="404" t="n"/>
      <c r="K105" s="536" t="n"/>
      <c r="L105" s="535" t="n"/>
      <c r="M105" s="404" t="n"/>
      <c r="N105" s="537" t="n">
        <v>22</v>
      </c>
      <c r="O105" s="537" t="n"/>
      <c r="P105" s="404" t="n"/>
      <c r="Q105" s="537" t="n"/>
      <c r="R105" s="537" t="n"/>
      <c r="S105" s="404" t="n"/>
      <c r="T105" s="535" t="n"/>
      <c r="U105" s="537" t="n"/>
      <c r="V105" s="404" t="n"/>
      <c r="W105" s="537" t="n"/>
      <c r="X105" s="537" t="n"/>
      <c r="Y105" s="404" t="n"/>
      <c r="Z105" s="537" t="n"/>
      <c r="AA105" s="537" t="n"/>
      <c r="AB105" s="404" t="n"/>
      <c r="AC105" s="286" t="n"/>
      <c r="AD105" s="286" t="n"/>
      <c r="AE105" s="404" t="n"/>
    </row>
    <row customHeight="1" ht="15.75" r="106" s="452" spans="1:32">
      <c r="A106" s="49" t="s">
        <v>46</v>
      </c>
      <c r="B106" s="49" t="s">
        <v>109</v>
      </c>
      <c r="C106" s="50">
        <f>C102+7</f>
        <v/>
      </c>
      <c r="D106" s="403" t="s">
        <v>60</v>
      </c>
      <c r="E106" s="566">
        <f>SUM(E107:E109)</f>
        <v/>
      </c>
      <c r="F106" s="566">
        <f>SUM(F107:F109)</f>
        <v/>
      </c>
      <c r="G106" s="103">
        <f>(E106-F106)/F106</f>
        <v/>
      </c>
      <c r="H106" s="566">
        <f>SUM(H107:H109)</f>
        <v/>
      </c>
      <c r="I106" s="566">
        <f>SUM(I107:I109)</f>
        <v/>
      </c>
      <c r="J106" s="103">
        <f>(H106-I106)/I106</f>
        <v/>
      </c>
      <c r="K106" s="567">
        <f>E106/H106</f>
        <v/>
      </c>
      <c r="L106" s="566">
        <f>F106/I106</f>
        <v/>
      </c>
      <c r="M106" s="103">
        <f>(K106-L106)/L106</f>
        <v/>
      </c>
      <c r="N106" s="568">
        <f>SUM(N107:N109)</f>
        <v/>
      </c>
      <c r="O106" s="568">
        <f>SUM(O107:O109)</f>
        <v/>
      </c>
      <c r="P106" s="103">
        <f>(N106-O106)/O106</f>
        <v/>
      </c>
      <c r="Q106" s="568">
        <f>SUM(Q107:Q109)</f>
        <v/>
      </c>
      <c r="R106" s="568">
        <f>SUM(R107:R109)</f>
        <v/>
      </c>
      <c r="S106" s="103">
        <f>(Q106-R106)/R106</f>
        <v/>
      </c>
      <c r="T106" s="568">
        <f>E106/Q106</f>
        <v/>
      </c>
      <c r="U106" s="568">
        <f>F106/R106</f>
        <v/>
      </c>
      <c r="V106" s="103">
        <f>(T106-U106)/U106</f>
        <v/>
      </c>
      <c r="W106" s="568">
        <f>SUM(W107:W109)</f>
        <v/>
      </c>
      <c r="X106" s="568">
        <f>SUM(X107:X109)</f>
        <v/>
      </c>
      <c r="Y106" s="103">
        <f>(W106-X106)/X106</f>
        <v/>
      </c>
      <c r="Z106" s="568">
        <f>SUM(Z107:Z109)</f>
        <v/>
      </c>
      <c r="AA106" s="568">
        <f>SUM(AA107:AA109)</f>
        <v/>
      </c>
      <c r="AB106" s="103">
        <f>(Z106-AA106)/AA106</f>
        <v/>
      </c>
      <c r="AC106" s="82">
        <f>W106/Z106</f>
        <v/>
      </c>
      <c r="AD106" s="82">
        <f>X106/AA106</f>
        <v/>
      </c>
      <c r="AE106" s="103">
        <f>(AC106-AD106)/AD106</f>
        <v/>
      </c>
    </row>
    <row customHeight="1" ht="15.75" r="107" s="452" spans="1:32">
      <c r="A107" s="279" t="n"/>
      <c r="B107" s="279" t="n"/>
      <c r="C107" s="280" t="n"/>
      <c r="D107" s="280" t="n"/>
      <c r="E107" s="535" t="n"/>
      <c r="F107" s="535" t="n"/>
      <c r="G107" s="404" t="n"/>
      <c r="H107" s="536" t="n"/>
      <c r="I107" s="536" t="n"/>
      <c r="J107" s="404" t="n"/>
      <c r="K107" s="536" t="n"/>
      <c r="L107" s="535" t="n"/>
      <c r="M107" s="404" t="n"/>
      <c r="N107" s="537" t="n"/>
      <c r="O107" s="537" t="n"/>
      <c r="P107" s="404" t="n"/>
      <c r="Q107" s="537" t="n"/>
      <c r="R107" s="537" t="n"/>
      <c r="S107" s="404" t="n"/>
      <c r="T107" s="535" t="n"/>
      <c r="U107" s="537" t="n"/>
      <c r="V107" s="404" t="n"/>
      <c r="W107" s="537" t="n"/>
      <c r="X107" s="537" t="n"/>
      <c r="Y107" s="404" t="n"/>
      <c r="Z107" s="537" t="n"/>
      <c r="AA107" s="537" t="n"/>
      <c r="AB107" s="404" t="n"/>
      <c r="AC107" s="286" t="n"/>
      <c r="AD107" s="286" t="n"/>
      <c r="AE107" s="404" t="n"/>
    </row>
    <row customHeight="1" ht="15.75" r="108" s="452" spans="1:32">
      <c r="A108" s="279" t="n"/>
      <c r="B108" s="279" t="n"/>
      <c r="C108" s="280" t="n"/>
      <c r="D108" s="280" t="n"/>
      <c r="E108" s="535" t="n"/>
      <c r="F108" s="535" t="n"/>
      <c r="G108" s="404" t="n"/>
      <c r="H108" s="536" t="n"/>
      <c r="I108" s="536" t="n"/>
      <c r="J108" s="404" t="n"/>
      <c r="K108" s="536" t="n"/>
      <c r="L108" s="535" t="n"/>
      <c r="M108" s="404" t="n"/>
      <c r="N108" s="537" t="n"/>
      <c r="O108" s="537" t="n"/>
      <c r="P108" s="404" t="n"/>
      <c r="Q108" s="537" t="n"/>
      <c r="R108" s="537" t="n"/>
      <c r="S108" s="404" t="n"/>
      <c r="T108" s="535" t="n"/>
      <c r="U108" s="537" t="n"/>
      <c r="V108" s="404" t="n"/>
      <c r="W108" s="537" t="n"/>
      <c r="X108" s="537" t="n"/>
      <c r="Y108" s="404" t="n"/>
      <c r="Z108" s="537" t="n"/>
      <c r="AA108" s="537" t="n"/>
      <c r="AB108" s="404" t="n"/>
      <c r="AC108" s="286" t="n"/>
      <c r="AD108" s="286" t="n"/>
      <c r="AE108" s="404" t="n"/>
    </row>
    <row customHeight="1" ht="15.75" r="109" s="452" spans="1:32">
      <c r="A109" s="279" t="n"/>
      <c r="B109" s="279" t="n"/>
      <c r="C109" s="280" t="n"/>
      <c r="D109" s="297" t="s">
        <v>177</v>
      </c>
      <c r="E109" s="535" t="n"/>
      <c r="F109" s="535" t="n"/>
      <c r="G109" s="404" t="n"/>
      <c r="H109" s="536" t="n"/>
      <c r="I109" s="536" t="n"/>
      <c r="J109" s="404" t="n"/>
      <c r="K109" s="536" t="n"/>
      <c r="L109" s="535" t="n"/>
      <c r="M109" s="404" t="n"/>
      <c r="N109" s="537" t="n">
        <v>9</v>
      </c>
      <c r="O109" s="537" t="n"/>
      <c r="P109" s="404" t="n"/>
      <c r="Q109" s="537" t="n"/>
      <c r="R109" s="537" t="n"/>
      <c r="S109" s="404" t="n"/>
      <c r="T109" s="535" t="n"/>
      <c r="U109" s="537" t="n"/>
      <c r="V109" s="404" t="n"/>
      <c r="W109" s="537" t="n"/>
      <c r="X109" s="537" t="n"/>
      <c r="Y109" s="404" t="n"/>
      <c r="Z109" s="537" t="n"/>
      <c r="AA109" s="537" t="n"/>
      <c r="AB109" s="404" t="n"/>
      <c r="AC109" s="286" t="n"/>
      <c r="AD109" s="286" t="n"/>
      <c r="AE109" s="404" t="n"/>
    </row>
    <row customHeight="1" ht="15.75" r="110" s="452" spans="1:32">
      <c r="A110" s="49" t="s">
        <v>46</v>
      </c>
      <c r="B110" s="49" t="s">
        <v>110</v>
      </c>
      <c r="C110" s="50">
        <f>C106+7</f>
        <v/>
      </c>
      <c r="D110" s="403" t="s">
        <v>60</v>
      </c>
      <c r="E110" s="566">
        <f>SUM(E111:E113)</f>
        <v/>
      </c>
      <c r="F110" s="566">
        <f>SUM(F111:F113)</f>
        <v/>
      </c>
      <c r="G110" s="103">
        <f>(E110-F110)/F110</f>
        <v/>
      </c>
      <c r="H110" s="566">
        <f>SUM(H111:H113)</f>
        <v/>
      </c>
      <c r="I110" s="566">
        <f>SUM(I111:I113)</f>
        <v/>
      </c>
      <c r="J110" s="103">
        <f>(H110-I110)/I110</f>
        <v/>
      </c>
      <c r="K110" s="567">
        <f>E110/H110</f>
        <v/>
      </c>
      <c r="L110" s="566">
        <f>F110/I110</f>
        <v/>
      </c>
      <c r="M110" s="103">
        <f>(K110-L110)/L110</f>
        <v/>
      </c>
      <c r="N110" s="568">
        <f>SUM(N111:N113)</f>
        <v/>
      </c>
      <c r="O110" s="568">
        <f>SUM(O111:O113)</f>
        <v/>
      </c>
      <c r="P110" s="103">
        <f>(N110-O110)/O110</f>
        <v/>
      </c>
      <c r="Q110" s="568">
        <f>SUM(Q111:Q113)</f>
        <v/>
      </c>
      <c r="R110" s="568">
        <f>SUM(R111:R113)</f>
        <v/>
      </c>
      <c r="S110" s="103">
        <f>(Q110-R110)/R110</f>
        <v/>
      </c>
      <c r="T110" s="568">
        <f>E110/Q110</f>
        <v/>
      </c>
      <c r="U110" s="568">
        <f>F110/R110</f>
        <v/>
      </c>
      <c r="V110" s="103">
        <f>(T110-U110)/U110</f>
        <v/>
      </c>
      <c r="W110" s="568">
        <f>SUM(W111:W113)</f>
        <v/>
      </c>
      <c r="X110" s="568">
        <f>SUM(X111:X113)</f>
        <v/>
      </c>
      <c r="Y110" s="103">
        <f>(W110-X110)/X110</f>
        <v/>
      </c>
      <c r="Z110" s="568">
        <f>SUM(Z111:Z113)</f>
        <v/>
      </c>
      <c r="AA110" s="568">
        <f>SUM(AA111:AA113)</f>
        <v/>
      </c>
      <c r="AB110" s="103">
        <f>(Z110-AA110)/AA110</f>
        <v/>
      </c>
      <c r="AC110" s="82">
        <f>W110/Z110</f>
        <v/>
      </c>
      <c r="AD110" s="82">
        <f>X110/AA110</f>
        <v/>
      </c>
      <c r="AE110" s="103">
        <f>(AC110-AD110)/AD110</f>
        <v/>
      </c>
    </row>
    <row customHeight="1" ht="15.75" r="111" s="452" spans="1:32">
      <c r="A111" s="279" t="n"/>
      <c r="B111" s="279" t="n"/>
      <c r="C111" s="280" t="n"/>
      <c r="D111" s="280" t="n"/>
      <c r="E111" s="535" t="n"/>
      <c r="F111" s="535" t="n"/>
      <c r="G111" s="404" t="n"/>
      <c r="H111" s="536" t="n"/>
      <c r="I111" s="536" t="n"/>
      <c r="J111" s="404" t="n"/>
      <c r="K111" s="536" t="n"/>
      <c r="L111" s="535" t="n"/>
      <c r="M111" s="404" t="n"/>
      <c r="N111" s="537" t="n"/>
      <c r="O111" s="537" t="n"/>
      <c r="P111" s="404" t="n"/>
      <c r="Q111" s="537" t="n"/>
      <c r="R111" s="537" t="n"/>
      <c r="S111" s="404" t="n"/>
      <c r="T111" s="535" t="n"/>
      <c r="U111" s="537" t="n"/>
      <c r="V111" s="404" t="n"/>
      <c r="W111" s="537" t="n"/>
      <c r="X111" s="537" t="n"/>
      <c r="Y111" s="404" t="n"/>
      <c r="Z111" s="537" t="n"/>
      <c r="AA111" s="537" t="n"/>
      <c r="AB111" s="404" t="n"/>
      <c r="AC111" s="286" t="n"/>
      <c r="AD111" s="286" t="n"/>
      <c r="AE111" s="404" t="n"/>
    </row>
    <row customHeight="1" ht="15.75" r="112" s="452" spans="1:32">
      <c r="A112" s="279" t="n"/>
      <c r="B112" s="279" t="n"/>
      <c r="C112" s="280" t="n"/>
      <c r="D112" s="280" t="n"/>
      <c r="E112" s="535" t="n"/>
      <c r="F112" s="535" t="n"/>
      <c r="G112" s="404" t="n"/>
      <c r="H112" s="536" t="n"/>
      <c r="I112" s="536" t="n"/>
      <c r="J112" s="404" t="n"/>
      <c r="K112" s="536" t="n"/>
      <c r="L112" s="535" t="n"/>
      <c r="M112" s="404" t="n"/>
      <c r="N112" s="537" t="n"/>
      <c r="O112" s="537" t="n"/>
      <c r="P112" s="404" t="n"/>
      <c r="Q112" s="537" t="n"/>
      <c r="R112" s="537" t="n"/>
      <c r="S112" s="404" t="n"/>
      <c r="T112" s="535" t="n"/>
      <c r="U112" s="537" t="n"/>
      <c r="V112" s="404" t="n"/>
      <c r="W112" s="537" t="n"/>
      <c r="X112" s="537" t="n"/>
      <c r="Y112" s="404" t="n"/>
      <c r="Z112" s="537" t="n"/>
      <c r="AA112" s="537" t="n"/>
      <c r="AB112" s="404" t="n"/>
      <c r="AC112" s="286" t="n"/>
      <c r="AD112" s="286" t="n"/>
      <c r="AE112" s="404" t="n"/>
    </row>
    <row customFormat="1" customHeight="1" ht="15.75" r="113" s="357" spans="1:32">
      <c r="A113" s="347" t="n"/>
      <c r="B113" s="347" t="n"/>
      <c r="C113" s="348" t="n"/>
      <c r="D113" s="349" t="s">
        <v>177</v>
      </c>
      <c r="E113" s="612" t="n"/>
      <c r="F113" s="612" t="n"/>
      <c r="G113" s="405" t="n"/>
      <c r="H113" s="613" t="n"/>
      <c r="I113" s="613" t="n">
        <v>1735.64</v>
      </c>
      <c r="J113" s="405" t="n"/>
      <c r="K113" s="613" t="n"/>
      <c r="L113" s="612" t="n"/>
      <c r="M113" s="405" t="n"/>
      <c r="N113" s="614" t="n">
        <v>6</v>
      </c>
      <c r="O113" s="614" t="n"/>
      <c r="P113" s="405" t="n"/>
      <c r="Q113" s="614" t="n"/>
      <c r="R113" s="614" t="n"/>
      <c r="S113" s="405" t="n"/>
      <c r="T113" s="612" t="n"/>
      <c r="U113" s="614" t="n"/>
      <c r="V113" s="405" t="n"/>
      <c r="W113" s="614" t="n"/>
      <c r="X113" s="614" t="n">
        <v>2718</v>
      </c>
      <c r="Y113" s="405" t="n"/>
      <c r="Z113" s="614" t="n"/>
      <c r="AA113" s="614" t="n">
        <v>510959</v>
      </c>
      <c r="AB113" s="405" t="n"/>
      <c r="AC113" s="356" t="n"/>
      <c r="AD113" s="356" t="n"/>
      <c r="AE113" s="405" t="n"/>
    </row>
    <row customHeight="1" ht="15.75" r="114" s="452" spans="1:32">
      <c r="A114" s="49" t="s">
        <v>47</v>
      </c>
      <c r="B114" s="49" t="s">
        <v>111</v>
      </c>
      <c r="C114" s="50">
        <f>C110+7</f>
        <v/>
      </c>
      <c r="D114" s="403" t="s">
        <v>60</v>
      </c>
      <c r="E114" s="566">
        <f>SUM(E115:E117)</f>
        <v/>
      </c>
      <c r="F114" s="566">
        <f>SUM(F115:F117)</f>
        <v/>
      </c>
      <c r="G114" s="103">
        <f>(E114-F114)/F114</f>
        <v/>
      </c>
      <c r="H114" s="566">
        <f>SUM(H115:H117)</f>
        <v/>
      </c>
      <c r="I114" s="566">
        <f>SUM(I115:I117)</f>
        <v/>
      </c>
      <c r="J114" s="103">
        <f>(H114-I114)/I114</f>
        <v/>
      </c>
      <c r="K114" s="567">
        <f>E114/H114</f>
        <v/>
      </c>
      <c r="L114" s="566">
        <f>F114/I114</f>
        <v/>
      </c>
      <c r="M114" s="103">
        <f>(K114-L114)/L114</f>
        <v/>
      </c>
      <c r="N114" s="568">
        <f>SUM(N115:N117)</f>
        <v/>
      </c>
      <c r="O114" s="568">
        <f>SUM(O115:O117)</f>
        <v/>
      </c>
      <c r="P114" s="103">
        <f>(N114-O114)/O114</f>
        <v/>
      </c>
      <c r="Q114" s="568">
        <f>SUM(Q115:Q117)</f>
        <v/>
      </c>
      <c r="R114" s="568">
        <f>SUM(R115:R117)</f>
        <v/>
      </c>
      <c r="S114" s="103">
        <f>(Q114-R114)/R114</f>
        <v/>
      </c>
      <c r="T114" s="568">
        <f>E114/Q114</f>
        <v/>
      </c>
      <c r="U114" s="568">
        <f>F114/R114</f>
        <v/>
      </c>
      <c r="V114" s="103">
        <f>(T114-U114)/U114</f>
        <v/>
      </c>
      <c r="W114" s="568">
        <f>SUM(W115:W117)</f>
        <v/>
      </c>
      <c r="X114" s="568">
        <f>SUM(X115:X117)</f>
        <v/>
      </c>
      <c r="Y114" s="103">
        <f>(W114-X114)/X114</f>
        <v/>
      </c>
      <c r="Z114" s="568">
        <f>SUM(Z115:Z117)</f>
        <v/>
      </c>
      <c r="AA114" s="568">
        <f>SUM(AA115:AA117)</f>
        <v/>
      </c>
      <c r="AB114" s="103">
        <f>(Z114-AA114)/AA114</f>
        <v/>
      </c>
      <c r="AC114" s="82">
        <f>W114/Z114</f>
        <v/>
      </c>
      <c r="AD114" s="82">
        <f>X114/AA114</f>
        <v/>
      </c>
      <c r="AE114" s="103">
        <f>(AC114-AD114)/AD114</f>
        <v/>
      </c>
    </row>
    <row customHeight="1" ht="15.75" r="115" s="452" spans="1:32">
      <c r="A115" s="279" t="n"/>
      <c r="B115" s="279" t="n"/>
      <c r="C115" s="280" t="n"/>
      <c r="D115" s="280" t="n"/>
      <c r="E115" s="535" t="n"/>
      <c r="F115" s="535" t="n"/>
      <c r="G115" s="404" t="n"/>
      <c r="H115" s="536" t="n"/>
      <c r="I115" s="536" t="n"/>
      <c r="J115" s="404" t="n"/>
      <c r="K115" s="536" t="n"/>
      <c r="L115" s="535" t="n"/>
      <c r="M115" s="404" t="n"/>
      <c r="N115" s="537" t="n"/>
      <c r="O115" s="537" t="n"/>
      <c r="P115" s="404" t="n"/>
      <c r="Q115" s="537" t="n"/>
      <c r="R115" s="537" t="n"/>
      <c r="S115" s="404" t="n"/>
      <c r="T115" s="535" t="n"/>
      <c r="U115" s="537" t="n"/>
      <c r="V115" s="404" t="n"/>
      <c r="W115" s="537" t="n"/>
      <c r="X115" s="537" t="n"/>
      <c r="Y115" s="404" t="n"/>
      <c r="Z115" s="537" t="n"/>
      <c r="AA115" s="537" t="n"/>
      <c r="AB115" s="404" t="n"/>
      <c r="AC115" s="286" t="n"/>
      <c r="AD115" s="286" t="n"/>
      <c r="AE115" s="404" t="n"/>
    </row>
    <row customHeight="1" ht="15.75" r="116" s="452" spans="1:32">
      <c r="A116" s="279" t="n"/>
      <c r="B116" s="279" t="n"/>
      <c r="C116" s="280" t="n"/>
      <c r="D116" s="280" t="n"/>
      <c r="E116" s="535" t="n"/>
      <c r="F116" s="535" t="n"/>
      <c r="G116" s="404" t="n"/>
      <c r="H116" s="536" t="n"/>
      <c r="I116" s="536" t="n"/>
      <c r="J116" s="404" t="n"/>
      <c r="K116" s="536" t="n"/>
      <c r="L116" s="535" t="n"/>
      <c r="M116" s="404" t="n"/>
      <c r="N116" s="537" t="n"/>
      <c r="O116" s="537" t="n"/>
      <c r="P116" s="404" t="n"/>
      <c r="Q116" s="537" t="n"/>
      <c r="R116" s="537" t="n"/>
      <c r="S116" s="404" t="n"/>
      <c r="T116" s="535" t="n"/>
      <c r="U116" s="537" t="n"/>
      <c r="V116" s="404" t="n"/>
      <c r="W116" s="537" t="n"/>
      <c r="X116" s="537" t="n"/>
      <c r="Y116" s="404" t="n"/>
      <c r="Z116" s="537" t="n"/>
      <c r="AA116" s="537" t="n"/>
      <c r="AB116" s="404" t="n"/>
      <c r="AC116" s="286" t="n"/>
      <c r="AD116" s="286" t="n"/>
      <c r="AE116" s="404" t="n"/>
    </row>
    <row customHeight="1" ht="15.75" r="117" s="452" spans="1:32">
      <c r="A117" s="279" t="n"/>
      <c r="B117" s="279" t="n"/>
      <c r="C117" s="280" t="n"/>
      <c r="D117" s="297" t="s">
        <v>177</v>
      </c>
      <c r="E117" s="535" t="n"/>
      <c r="F117" s="535" t="n"/>
      <c r="G117" s="404" t="n"/>
      <c r="H117" s="536" t="n"/>
      <c r="I117" s="536" t="n">
        <v>634.04</v>
      </c>
      <c r="J117" s="404" t="n"/>
      <c r="K117" s="536" t="n"/>
      <c r="L117" s="535" t="n"/>
      <c r="M117" s="404" t="n"/>
      <c r="N117" s="537" t="n">
        <v>1</v>
      </c>
      <c r="O117" s="537" t="n"/>
      <c r="P117" s="404" t="n"/>
      <c r="Q117" s="537" t="n"/>
      <c r="R117" s="537" t="n"/>
      <c r="S117" s="404" t="n"/>
      <c r="T117" s="535" t="n"/>
      <c r="U117" s="537" t="n"/>
      <c r="V117" s="404" t="n"/>
      <c r="W117" s="537" t="n"/>
      <c r="X117" s="537" t="n">
        <v>1255</v>
      </c>
      <c r="Y117" s="404" t="n"/>
      <c r="Z117" s="537" t="n"/>
      <c r="AA117" s="537" t="n">
        <v>205502</v>
      </c>
      <c r="AB117" s="404" t="n"/>
      <c r="AC117" s="286" t="n"/>
      <c r="AD117" s="286" t="n"/>
      <c r="AE117" s="404" t="n"/>
    </row>
    <row customHeight="1" ht="15.75" r="118" s="452" spans="1:32">
      <c r="A118" s="49" t="s">
        <v>47</v>
      </c>
      <c r="B118" s="49" t="s">
        <v>112</v>
      </c>
      <c r="C118" s="50">
        <f>C114+7</f>
        <v/>
      </c>
      <c r="D118" s="403" t="s">
        <v>60</v>
      </c>
      <c r="E118" s="566">
        <f>SUM(E119:E121)</f>
        <v/>
      </c>
      <c r="F118" s="566">
        <f>SUM(F119:F121)</f>
        <v/>
      </c>
      <c r="G118" s="103">
        <f>(E118-F118)/F118</f>
        <v/>
      </c>
      <c r="H118" s="566">
        <f>SUM(H119:H121)</f>
        <v/>
      </c>
      <c r="I118" s="566">
        <f>SUM(I119:I121)</f>
        <v/>
      </c>
      <c r="J118" s="103">
        <f>(H118-I118)/I118</f>
        <v/>
      </c>
      <c r="K118" s="567">
        <f>E118/H118</f>
        <v/>
      </c>
      <c r="L118" s="566">
        <f>F118/I118</f>
        <v/>
      </c>
      <c r="M118" s="103">
        <f>(K118-L118)/L118</f>
        <v/>
      </c>
      <c r="N118" s="568">
        <f>SUM(N119:N121)</f>
        <v/>
      </c>
      <c r="O118" s="568">
        <f>SUM(O119:O121)</f>
        <v/>
      </c>
      <c r="P118" s="103">
        <f>(N118-O118)/O118</f>
        <v/>
      </c>
      <c r="Q118" s="568">
        <f>SUM(Q119:Q121)</f>
        <v/>
      </c>
      <c r="R118" s="568">
        <f>SUM(R119:R121)</f>
        <v/>
      </c>
      <c r="S118" s="103">
        <f>(Q118-R118)/R118</f>
        <v/>
      </c>
      <c r="T118" s="568">
        <f>E118/Q118</f>
        <v/>
      </c>
      <c r="U118" s="568">
        <f>F118/R118</f>
        <v/>
      </c>
      <c r="V118" s="103">
        <f>(T118-U118)/U118</f>
        <v/>
      </c>
      <c r="W118" s="568">
        <f>SUM(W119:W121)</f>
        <v/>
      </c>
      <c r="X118" s="568">
        <f>SUM(X119:X121)</f>
        <v/>
      </c>
      <c r="Y118" s="103">
        <f>(W118-X118)/X118</f>
        <v/>
      </c>
      <c r="Z118" s="568">
        <f>SUM(Z119:Z121)</f>
        <v/>
      </c>
      <c r="AA118" s="568">
        <f>SUM(AA119:AA121)</f>
        <v/>
      </c>
      <c r="AB118" s="103">
        <f>(Z118-AA118)/AA118</f>
        <v/>
      </c>
      <c r="AC118" s="82">
        <f>W118/Z118</f>
        <v/>
      </c>
      <c r="AD118" s="82">
        <f>X118/AA118</f>
        <v/>
      </c>
      <c r="AE118" s="103">
        <f>(AC118-AD118)/AD118</f>
        <v/>
      </c>
    </row>
    <row customHeight="1" ht="15.75" r="119" s="452" spans="1:32">
      <c r="A119" s="279" t="n"/>
      <c r="B119" s="279" t="n"/>
      <c r="C119" s="280" t="n"/>
      <c r="D119" s="280" t="n"/>
      <c r="E119" s="535" t="n"/>
      <c r="F119" s="535" t="n"/>
      <c r="G119" s="404" t="n"/>
      <c r="H119" s="536" t="n"/>
      <c r="I119" s="536" t="n"/>
      <c r="J119" s="404" t="n"/>
      <c r="K119" s="536" t="n"/>
      <c r="L119" s="535" t="n"/>
      <c r="M119" s="404" t="n"/>
      <c r="N119" s="537" t="n"/>
      <c r="O119" s="537" t="n"/>
      <c r="P119" s="404" t="n"/>
      <c r="Q119" s="537" t="n"/>
      <c r="R119" s="537" t="n"/>
      <c r="S119" s="404" t="n"/>
      <c r="T119" s="535" t="n"/>
      <c r="U119" s="537" t="n"/>
      <c r="V119" s="404" t="n"/>
      <c r="W119" s="537" t="n"/>
      <c r="X119" s="537" t="n"/>
      <c r="Y119" s="404" t="n"/>
      <c r="Z119" s="537" t="n"/>
      <c r="AA119" s="537" t="n"/>
      <c r="AB119" s="404" t="n"/>
      <c r="AC119" s="286" t="n"/>
      <c r="AD119" s="286" t="n"/>
      <c r="AE119" s="404" t="n"/>
    </row>
    <row customHeight="1" ht="15.75" r="120" s="452" spans="1:32">
      <c r="A120" s="279" t="n"/>
      <c r="B120" s="279" t="n"/>
      <c r="C120" s="280" t="n"/>
      <c r="D120" s="280" t="n"/>
      <c r="E120" s="535" t="n"/>
      <c r="F120" s="535" t="n"/>
      <c r="G120" s="404" t="n"/>
      <c r="H120" s="536" t="n"/>
      <c r="I120" s="536" t="n"/>
      <c r="J120" s="404" t="n"/>
      <c r="K120" s="536" t="n"/>
      <c r="L120" s="535" t="n"/>
      <c r="M120" s="404" t="n"/>
      <c r="N120" s="537" t="n"/>
      <c r="O120" s="537" t="n"/>
      <c r="P120" s="404" t="n"/>
      <c r="Q120" s="537" t="n"/>
      <c r="R120" s="537" t="n"/>
      <c r="S120" s="404" t="n"/>
      <c r="T120" s="535" t="n"/>
      <c r="U120" s="537" t="n"/>
      <c r="V120" s="404" t="n"/>
      <c r="W120" s="537" t="n"/>
      <c r="X120" s="537" t="n"/>
      <c r="Y120" s="404" t="n"/>
      <c r="Z120" s="537" t="n"/>
      <c r="AA120" s="537" t="n"/>
      <c r="AB120" s="404" t="n"/>
      <c r="AC120" s="286" t="n"/>
      <c r="AD120" s="286" t="n"/>
      <c r="AE120" s="404" t="n"/>
    </row>
    <row customHeight="1" ht="15.75" r="121" s="452" spans="1:32">
      <c r="A121" s="279" t="n"/>
      <c r="B121" s="279" t="n"/>
      <c r="C121" s="280" t="n"/>
      <c r="D121" s="297" t="s">
        <v>177</v>
      </c>
      <c r="E121" s="535" t="n"/>
      <c r="F121" s="535" t="n"/>
      <c r="G121" s="404" t="n"/>
      <c r="H121" s="536" t="n"/>
      <c r="I121" s="536" t="n"/>
      <c r="J121" s="404" t="n"/>
      <c r="K121" s="536" t="n"/>
      <c r="L121" s="535" t="n"/>
      <c r="M121" s="404" t="n"/>
      <c r="N121" s="537" t="n">
        <v>0</v>
      </c>
      <c r="O121" s="537" t="n"/>
      <c r="P121" s="404" t="n"/>
      <c r="Q121" s="537" t="n"/>
      <c r="R121" s="537" t="n"/>
      <c r="S121" s="404" t="n"/>
      <c r="T121" s="535" t="n"/>
      <c r="U121" s="537" t="n"/>
      <c r="V121" s="404" t="n"/>
      <c r="W121" s="537" t="n"/>
      <c r="X121" s="537" t="n"/>
      <c r="Y121" s="404" t="n"/>
      <c r="Z121" s="537" t="n"/>
      <c r="AA121" s="537" t="n"/>
      <c r="AB121" s="404" t="n"/>
      <c r="AC121" s="286" t="n"/>
      <c r="AD121" s="286" t="n"/>
      <c r="AE121" s="404" t="n"/>
    </row>
    <row customHeight="1" ht="15.75" r="122" s="452" spans="1:32">
      <c r="A122" s="49" t="s">
        <v>47</v>
      </c>
      <c r="B122" s="49" t="s">
        <v>114</v>
      </c>
      <c r="C122" s="50">
        <f>C118+7</f>
        <v/>
      </c>
      <c r="D122" s="403" t="s">
        <v>60</v>
      </c>
      <c r="E122" s="566">
        <f>SUM(E123:E125)</f>
        <v/>
      </c>
      <c r="F122" s="566">
        <f>SUM(F123:F125)</f>
        <v/>
      </c>
      <c r="G122" s="103">
        <f>(E122-F122)/F122</f>
        <v/>
      </c>
      <c r="H122" s="566">
        <f>SUM(H123:H125)</f>
        <v/>
      </c>
      <c r="I122" s="566">
        <f>SUM(I123:I125)</f>
        <v/>
      </c>
      <c r="J122" s="103">
        <f>(H122-I122)/I122</f>
        <v/>
      </c>
      <c r="K122" s="567">
        <f>E122/H122</f>
        <v/>
      </c>
      <c r="L122" s="566">
        <f>F122/I122</f>
        <v/>
      </c>
      <c r="M122" s="103">
        <f>(K122-L122)/L122</f>
        <v/>
      </c>
      <c r="N122" s="568">
        <f>SUM(N123:N125)</f>
        <v/>
      </c>
      <c r="O122" s="568">
        <f>SUM(O123:O125)</f>
        <v/>
      </c>
      <c r="P122" s="103">
        <f>(N122-O122)/O122</f>
        <v/>
      </c>
      <c r="Q122" s="568">
        <f>SUM(Q123:Q125)</f>
        <v/>
      </c>
      <c r="R122" s="568">
        <f>SUM(R123:R125)</f>
        <v/>
      </c>
      <c r="S122" s="103">
        <f>(Q122-R122)/R122</f>
        <v/>
      </c>
      <c r="T122" s="568">
        <f>E122/Q122</f>
        <v/>
      </c>
      <c r="U122" s="568">
        <f>F122/R122</f>
        <v/>
      </c>
      <c r="V122" s="103">
        <f>(T122-U122)/U122</f>
        <v/>
      </c>
      <c r="W122" s="568">
        <f>SUM(W123:W125)</f>
        <v/>
      </c>
      <c r="X122" s="568">
        <f>SUM(X123:X125)</f>
        <v/>
      </c>
      <c r="Y122" s="103">
        <f>(W122-X122)/X122</f>
        <v/>
      </c>
      <c r="Z122" s="568">
        <f>SUM(Z123:Z125)</f>
        <v/>
      </c>
      <c r="AA122" s="568">
        <f>SUM(AA123:AA125)</f>
        <v/>
      </c>
      <c r="AB122" s="103">
        <f>(Z122-AA122)/AA122</f>
        <v/>
      </c>
      <c r="AC122" s="82">
        <f>W122/Z122</f>
        <v/>
      </c>
      <c r="AD122" s="82">
        <f>X122/AA122</f>
        <v/>
      </c>
      <c r="AE122" s="103">
        <f>(AC122-AD122)/AD122</f>
        <v/>
      </c>
    </row>
    <row customHeight="1" ht="15.75" r="123" s="452" spans="1:32">
      <c r="A123" s="279" t="n"/>
      <c r="B123" s="279" t="n"/>
      <c r="C123" s="280" t="n"/>
      <c r="D123" s="280" t="n"/>
      <c r="E123" s="535" t="n"/>
      <c r="F123" s="535" t="n"/>
      <c r="G123" s="404" t="n"/>
      <c r="H123" s="536" t="n"/>
      <c r="I123" s="536" t="n"/>
      <c r="J123" s="404" t="n"/>
      <c r="K123" s="536" t="n"/>
      <c r="L123" s="535" t="n"/>
      <c r="M123" s="404" t="n"/>
      <c r="N123" s="537" t="n"/>
      <c r="O123" s="537" t="n"/>
      <c r="P123" s="404" t="n"/>
      <c r="Q123" s="537" t="n"/>
      <c r="R123" s="537" t="n"/>
      <c r="S123" s="404" t="n"/>
      <c r="T123" s="535" t="n"/>
      <c r="U123" s="537" t="n"/>
      <c r="V123" s="404" t="n"/>
      <c r="W123" s="537" t="n"/>
      <c r="X123" s="537" t="n"/>
      <c r="Y123" s="404" t="n"/>
      <c r="Z123" s="537" t="n"/>
      <c r="AA123" s="537" t="n"/>
      <c r="AB123" s="404" t="n"/>
      <c r="AC123" s="286" t="n"/>
      <c r="AD123" s="286" t="n"/>
      <c r="AE123" s="404" t="n"/>
    </row>
    <row customHeight="1" ht="15.75" r="124" s="452" spans="1:32">
      <c r="A124" s="279" t="n"/>
      <c r="B124" s="279" t="n"/>
      <c r="C124" s="280" t="n"/>
      <c r="D124" s="280" t="n"/>
      <c r="E124" s="535" t="n"/>
      <c r="F124" s="535" t="n"/>
      <c r="G124" s="404" t="n"/>
      <c r="H124" s="536" t="n"/>
      <c r="I124" s="536" t="n"/>
      <c r="J124" s="404" t="n"/>
      <c r="K124" s="536" t="n"/>
      <c r="L124" s="535" t="n"/>
      <c r="M124" s="404" t="n"/>
      <c r="N124" s="537" t="n"/>
      <c r="O124" s="537" t="n"/>
      <c r="P124" s="404" t="n"/>
      <c r="Q124" s="537" t="n"/>
      <c r="R124" s="537" t="n"/>
      <c r="S124" s="404" t="n"/>
      <c r="T124" s="535" t="n"/>
      <c r="U124" s="537" t="n"/>
      <c r="V124" s="404" t="n"/>
      <c r="W124" s="537" t="n"/>
      <c r="X124" s="537" t="n"/>
      <c r="Y124" s="404" t="n"/>
      <c r="Z124" s="537" t="n"/>
      <c r="AA124" s="537" t="n"/>
      <c r="AB124" s="404" t="n"/>
      <c r="AC124" s="286" t="n"/>
      <c r="AD124" s="286" t="n"/>
      <c r="AE124" s="404" t="n"/>
    </row>
    <row customHeight="1" ht="15.75" r="125" s="452" spans="1:32">
      <c r="A125" s="279" t="n"/>
      <c r="B125" s="279" t="n"/>
      <c r="C125" s="280" t="n"/>
      <c r="D125" s="297" t="s">
        <v>177</v>
      </c>
      <c r="E125" s="535" t="n"/>
      <c r="F125" s="535" t="n"/>
      <c r="G125" s="404" t="n"/>
      <c r="H125" s="536" t="n"/>
      <c r="I125" s="536" t="n"/>
      <c r="J125" s="404" t="n"/>
      <c r="K125" s="536" t="n"/>
      <c r="L125" s="535" t="n"/>
      <c r="M125" s="404" t="n"/>
      <c r="N125" s="537" t="n">
        <v>1</v>
      </c>
      <c r="O125" s="537" t="n"/>
      <c r="P125" s="404" t="n"/>
      <c r="Q125" s="537" t="n"/>
      <c r="R125" s="537" t="n"/>
      <c r="S125" s="404" t="n"/>
      <c r="T125" s="535" t="n"/>
      <c r="U125" s="537" t="n"/>
      <c r="V125" s="404" t="n"/>
      <c r="W125" s="537" t="n"/>
      <c r="X125" s="537" t="n"/>
      <c r="Y125" s="404" t="n"/>
      <c r="Z125" s="537" t="n"/>
      <c r="AA125" s="537" t="n"/>
      <c r="AB125" s="404" t="n"/>
      <c r="AC125" s="286" t="n"/>
      <c r="AD125" s="286" t="n"/>
      <c r="AE125" s="404" t="n"/>
    </row>
    <row customHeight="1" ht="15.75" r="126" s="452" spans="1:32">
      <c r="A126" s="49" t="s">
        <v>47</v>
      </c>
      <c r="B126" s="49" t="s">
        <v>116</v>
      </c>
      <c r="C126" s="50">
        <f>C122+7</f>
        <v/>
      </c>
      <c r="D126" s="403" t="s">
        <v>60</v>
      </c>
      <c r="E126" s="566">
        <f>SUM(E127:E129)</f>
        <v/>
      </c>
      <c r="F126" s="566">
        <f>SUM(F127:F129)</f>
        <v/>
      </c>
      <c r="G126" s="103">
        <f>(E126-F126)/F126</f>
        <v/>
      </c>
      <c r="H126" s="566">
        <f>SUM(H127:H129)</f>
        <v/>
      </c>
      <c r="I126" s="566">
        <f>SUM(I127:I129)</f>
        <v/>
      </c>
      <c r="J126" s="103">
        <f>(H126-I126)/I126</f>
        <v/>
      </c>
      <c r="K126" s="567">
        <f>E126/H126</f>
        <v/>
      </c>
      <c r="L126" s="566">
        <f>F126/I126</f>
        <v/>
      </c>
      <c r="M126" s="103">
        <f>(K126-L126)/L126</f>
        <v/>
      </c>
      <c r="N126" s="568">
        <f>SUM(N127:N129)</f>
        <v/>
      </c>
      <c r="O126" s="568">
        <f>SUM(O127:O129)</f>
        <v/>
      </c>
      <c r="P126" s="103">
        <f>(N126-O126)/O126</f>
        <v/>
      </c>
      <c r="Q126" s="568">
        <f>SUM(Q127:Q129)</f>
        <v/>
      </c>
      <c r="R126" s="568">
        <f>SUM(R127:R129)</f>
        <v/>
      </c>
      <c r="S126" s="103">
        <f>(Q126-R126)/R126</f>
        <v/>
      </c>
      <c r="T126" s="568">
        <f>E126/Q126</f>
        <v/>
      </c>
      <c r="U126" s="568">
        <f>F126/R126</f>
        <v/>
      </c>
      <c r="V126" s="103">
        <f>(T126-U126)/U126</f>
        <v/>
      </c>
      <c r="W126" s="568">
        <f>SUM(W127:W129)</f>
        <v/>
      </c>
      <c r="X126" s="568">
        <f>SUM(X127:X129)</f>
        <v/>
      </c>
      <c r="Y126" s="103">
        <f>(W126-X126)/X126</f>
        <v/>
      </c>
      <c r="Z126" s="568">
        <f>SUM(Z127:Z129)</f>
        <v/>
      </c>
      <c r="AA126" s="568">
        <f>SUM(AA127:AA129)</f>
        <v/>
      </c>
      <c r="AB126" s="103">
        <f>(Z126-AA126)/AA126</f>
        <v/>
      </c>
      <c r="AC126" s="82">
        <f>W126/Z126</f>
        <v/>
      </c>
      <c r="AD126" s="82">
        <f>X126/AA126</f>
        <v/>
      </c>
      <c r="AE126" s="103">
        <f>(AC126-AD126)/AD126</f>
        <v/>
      </c>
    </row>
    <row customHeight="1" ht="15.75" r="127" s="452" spans="1:32">
      <c r="A127" s="279" t="n"/>
      <c r="B127" s="279" t="n"/>
      <c r="C127" s="280" t="n"/>
      <c r="D127" s="280" t="n"/>
      <c r="E127" s="535" t="n"/>
      <c r="F127" s="535" t="n"/>
      <c r="G127" s="404" t="n"/>
      <c r="H127" s="536" t="n"/>
      <c r="I127" s="536" t="n"/>
      <c r="J127" s="404" t="n"/>
      <c r="K127" s="536" t="n"/>
      <c r="L127" s="535" t="n"/>
      <c r="M127" s="404" t="n"/>
      <c r="N127" s="537" t="n"/>
      <c r="O127" s="537" t="n"/>
      <c r="P127" s="404" t="n"/>
      <c r="Q127" s="537" t="n"/>
      <c r="R127" s="537" t="n"/>
      <c r="S127" s="404" t="n"/>
      <c r="T127" s="535" t="n"/>
      <c r="U127" s="537" t="n"/>
      <c r="V127" s="404" t="n"/>
      <c r="W127" s="537" t="n"/>
      <c r="X127" s="537" t="n"/>
      <c r="Y127" s="404" t="n"/>
      <c r="Z127" s="537" t="n"/>
      <c r="AA127" s="537" t="n"/>
      <c r="AB127" s="404" t="n"/>
      <c r="AC127" s="286" t="n"/>
      <c r="AD127" s="286" t="n"/>
      <c r="AE127" s="404" t="n"/>
    </row>
    <row customHeight="1" ht="15.75" r="128" s="452" spans="1:32">
      <c r="A128" s="279" t="n"/>
      <c r="B128" s="279" t="n"/>
      <c r="C128" s="280" t="n"/>
      <c r="D128" s="280" t="n"/>
      <c r="E128" s="535" t="n"/>
      <c r="F128" s="535" t="n"/>
      <c r="G128" s="404" t="n"/>
      <c r="H128" s="536" t="n"/>
      <c r="I128" s="536" t="n"/>
      <c r="J128" s="404" t="n"/>
      <c r="K128" s="536" t="n"/>
      <c r="L128" s="535" t="n"/>
      <c r="M128" s="404" t="n"/>
      <c r="N128" s="537" t="n"/>
      <c r="O128" s="537" t="n"/>
      <c r="P128" s="404" t="n"/>
      <c r="Q128" s="537" t="n"/>
      <c r="R128" s="537" t="n"/>
      <c r="S128" s="404" t="n"/>
      <c r="T128" s="535" t="n"/>
      <c r="U128" s="537" t="n"/>
      <c r="V128" s="404" t="n"/>
      <c r="W128" s="537" t="n"/>
      <c r="X128" s="537" t="n"/>
      <c r="Y128" s="404" t="n"/>
      <c r="Z128" s="537" t="n"/>
      <c r="AA128" s="537" t="n"/>
      <c r="AB128" s="404" t="n"/>
      <c r="AC128" s="286" t="n"/>
      <c r="AD128" s="286" t="n"/>
      <c r="AE128" s="404" t="n"/>
    </row>
    <row customFormat="1" customHeight="1" ht="15.75" r="129" s="357" spans="1:32">
      <c r="A129" s="347" t="n"/>
      <c r="B129" s="347" t="n"/>
      <c r="C129" s="348" t="n"/>
      <c r="D129" s="349" t="s">
        <v>177</v>
      </c>
      <c r="E129" s="612" t="n"/>
      <c r="F129" s="612" t="n"/>
      <c r="G129" s="405" t="n"/>
      <c r="H129" s="613" t="n"/>
      <c r="I129" s="613" t="n"/>
      <c r="J129" s="405" t="n"/>
      <c r="K129" s="613" t="n"/>
      <c r="L129" s="612" t="n"/>
      <c r="M129" s="405" t="n"/>
      <c r="N129" s="614" t="n"/>
      <c r="O129" s="614" t="n"/>
      <c r="P129" s="405" t="n"/>
      <c r="Q129" s="614" t="n"/>
      <c r="R129" s="614" t="n"/>
      <c r="S129" s="405" t="n"/>
      <c r="T129" s="612" t="n"/>
      <c r="U129" s="614" t="n"/>
      <c r="V129" s="405" t="n"/>
      <c r="W129" s="614" t="n"/>
      <c r="X129" s="614" t="n"/>
      <c r="Y129" s="405" t="n"/>
      <c r="Z129" s="614" t="n"/>
      <c r="AA129" s="614" t="n"/>
      <c r="AB129" s="405" t="n"/>
      <c r="AC129" s="356" t="n"/>
      <c r="AD129" s="356" t="n"/>
      <c r="AE129" s="405" t="n"/>
    </row>
    <row customHeight="1" ht="15.75" r="130" s="452" spans="1:32">
      <c r="A130" s="49" t="s">
        <v>48</v>
      </c>
      <c r="B130" s="49" t="s">
        <v>117</v>
      </c>
      <c r="C130" s="50">
        <f>C126+7</f>
        <v/>
      </c>
      <c r="D130" s="403" t="s">
        <v>60</v>
      </c>
      <c r="E130" s="566">
        <f>SUM(E131:E133)</f>
        <v/>
      </c>
      <c r="F130" s="566">
        <f>SUM(F131:F133)</f>
        <v/>
      </c>
      <c r="G130" s="103">
        <f>(E130-F130)/F130</f>
        <v/>
      </c>
      <c r="H130" s="566">
        <f>SUM(H131:H133)</f>
        <v/>
      </c>
      <c r="I130" s="566">
        <f>SUM(I131:I133)</f>
        <v/>
      </c>
      <c r="J130" s="103">
        <f>(H130-I130)/I130</f>
        <v/>
      </c>
      <c r="K130" s="567">
        <f>E130/H130</f>
        <v/>
      </c>
      <c r="L130" s="566">
        <f>F130/I130</f>
        <v/>
      </c>
      <c r="M130" s="103">
        <f>(K130-L130)/L130</f>
        <v/>
      </c>
      <c r="N130" s="568">
        <f>SUM(N131:N133)</f>
        <v/>
      </c>
      <c r="O130" s="568">
        <f>SUM(O131:O133)</f>
        <v/>
      </c>
      <c r="P130" s="103">
        <f>(N130-O130)/O130</f>
        <v/>
      </c>
      <c r="Q130" s="568">
        <f>SUM(Q131:Q133)</f>
        <v/>
      </c>
      <c r="R130" s="568">
        <f>SUM(R131:R133)</f>
        <v/>
      </c>
      <c r="S130" s="103">
        <f>(Q130-R130)/R130</f>
        <v/>
      </c>
      <c r="T130" s="568">
        <f>E130/Q130</f>
        <v/>
      </c>
      <c r="U130" s="568">
        <f>F130/R130</f>
        <v/>
      </c>
      <c r="V130" s="103">
        <f>(T130-U130)/U130</f>
        <v/>
      </c>
      <c r="W130" s="568">
        <f>SUM(W131:W133)</f>
        <v/>
      </c>
      <c r="X130" s="568">
        <f>SUM(X131:X133)</f>
        <v/>
      </c>
      <c r="Y130" s="103">
        <f>(W130-X130)/X130</f>
        <v/>
      </c>
      <c r="Z130" s="568">
        <f>SUM(Z131:Z133)</f>
        <v/>
      </c>
      <c r="AA130" s="568">
        <f>SUM(AA131:AA133)</f>
        <v/>
      </c>
      <c r="AB130" s="103">
        <f>(Z130-AA130)/AA130</f>
        <v/>
      </c>
      <c r="AC130" s="82">
        <f>W130/Z130</f>
        <v/>
      </c>
      <c r="AD130" s="82">
        <f>X130/AA130</f>
        <v/>
      </c>
      <c r="AE130" s="103">
        <f>(AC130-AD130)/AD130</f>
        <v/>
      </c>
    </row>
    <row customHeight="1" ht="15.75" r="131" s="452" spans="1:32">
      <c r="A131" s="279" t="n"/>
      <c r="B131" s="279" t="n"/>
      <c r="C131" s="280" t="n"/>
      <c r="D131" s="280" t="n"/>
      <c r="E131" s="535" t="n"/>
      <c r="F131" s="535" t="n"/>
      <c r="G131" s="404" t="n"/>
      <c r="H131" s="536" t="n"/>
      <c r="I131" s="536" t="n"/>
      <c r="J131" s="404" t="n"/>
      <c r="K131" s="536" t="n"/>
      <c r="L131" s="535" t="n"/>
      <c r="M131" s="404" t="n"/>
      <c r="N131" s="537" t="n"/>
      <c r="O131" s="537" t="n"/>
      <c r="P131" s="404" t="n"/>
      <c r="Q131" s="537" t="n"/>
      <c r="R131" s="537" t="n"/>
      <c r="S131" s="404" t="n"/>
      <c r="T131" s="535" t="n"/>
      <c r="U131" s="537" t="n"/>
      <c r="V131" s="404" t="n"/>
      <c r="W131" s="537" t="n"/>
      <c r="X131" s="537" t="n"/>
      <c r="Y131" s="404" t="n"/>
      <c r="Z131" s="537" t="n"/>
      <c r="AA131" s="537" t="n"/>
      <c r="AB131" s="404" t="n"/>
      <c r="AC131" s="286" t="n"/>
      <c r="AD131" s="286" t="n"/>
      <c r="AE131" s="404" t="n"/>
    </row>
    <row customHeight="1" ht="15.75" r="132" s="452" spans="1:32">
      <c r="A132" s="279" t="n"/>
      <c r="B132" s="279" t="n"/>
      <c r="C132" s="280" t="n"/>
      <c r="D132" s="280" t="n"/>
      <c r="E132" s="535" t="n"/>
      <c r="F132" s="535" t="n"/>
      <c r="G132" s="404" t="n"/>
      <c r="H132" s="536" t="n"/>
      <c r="I132" s="536" t="n"/>
      <c r="J132" s="404" t="n"/>
      <c r="K132" s="536" t="n"/>
      <c r="L132" s="535" t="n"/>
      <c r="M132" s="404" t="n"/>
      <c r="N132" s="537" t="n"/>
      <c r="O132" s="537" t="n"/>
      <c r="P132" s="404" t="n"/>
      <c r="Q132" s="537" t="n"/>
      <c r="R132" s="537" t="n"/>
      <c r="S132" s="404" t="n"/>
      <c r="T132" s="535" t="n"/>
      <c r="U132" s="537" t="n"/>
      <c r="V132" s="404" t="n"/>
      <c r="W132" s="537" t="n"/>
      <c r="X132" s="537" t="n"/>
      <c r="Y132" s="404" t="n"/>
      <c r="Z132" s="537" t="n"/>
      <c r="AA132" s="537" t="n"/>
      <c r="AB132" s="404" t="n"/>
      <c r="AC132" s="286" t="n"/>
      <c r="AD132" s="286" t="n"/>
      <c r="AE132" s="404" t="n"/>
    </row>
    <row customHeight="1" ht="15.75" r="133" s="452" spans="1:32">
      <c r="A133" s="279" t="n"/>
      <c r="B133" s="279" t="n"/>
      <c r="C133" s="280" t="n"/>
      <c r="D133" s="297" t="s">
        <v>177</v>
      </c>
      <c r="E133" s="535" t="n"/>
      <c r="F133" s="535" t="n"/>
      <c r="G133" s="404" t="n"/>
      <c r="H133" s="536" t="n"/>
      <c r="I133" s="536" t="n"/>
      <c r="J133" s="404" t="n"/>
      <c r="K133" s="536" t="n"/>
      <c r="L133" s="535" t="n"/>
      <c r="M133" s="404" t="n"/>
      <c r="N133" s="537" t="n"/>
      <c r="O133" s="537" t="n"/>
      <c r="P133" s="404" t="n"/>
      <c r="Q133" s="537" t="n"/>
      <c r="R133" s="537" t="n"/>
      <c r="S133" s="404" t="n"/>
      <c r="T133" s="535" t="n"/>
      <c r="U133" s="537" t="n"/>
      <c r="V133" s="404" t="n"/>
      <c r="W133" s="537" t="n"/>
      <c r="X133" s="537" t="n"/>
      <c r="Y133" s="404" t="n"/>
      <c r="Z133" s="537" t="n"/>
      <c r="AA133" s="537" t="n"/>
      <c r="AB133" s="404" t="n"/>
      <c r="AC133" s="286" t="n"/>
      <c r="AD133" s="286" t="n"/>
      <c r="AE133" s="404" t="n"/>
    </row>
    <row customHeight="1" ht="15.75" r="134" s="452" spans="1:32">
      <c r="A134" s="49" t="s">
        <v>48</v>
      </c>
      <c r="B134" s="49" t="s">
        <v>118</v>
      </c>
      <c r="C134" s="50">
        <f>C130+7</f>
        <v/>
      </c>
      <c r="D134" s="403" t="s">
        <v>60</v>
      </c>
      <c r="E134" s="566">
        <f>SUM(E135:E137)</f>
        <v/>
      </c>
      <c r="F134" s="566">
        <f>SUM(F135:F137)</f>
        <v/>
      </c>
      <c r="G134" s="103">
        <f>(E134-F134)/F134</f>
        <v/>
      </c>
      <c r="H134" s="566">
        <f>SUM(H135:H137)</f>
        <v/>
      </c>
      <c r="I134" s="566">
        <f>SUM(I135:I137)</f>
        <v/>
      </c>
      <c r="J134" s="103">
        <f>(H134-I134)/I134</f>
        <v/>
      </c>
      <c r="K134" s="567">
        <f>E134/H134</f>
        <v/>
      </c>
      <c r="L134" s="566">
        <f>F134/I134</f>
        <v/>
      </c>
      <c r="M134" s="103">
        <f>(K134-L134)/L134</f>
        <v/>
      </c>
      <c r="N134" s="568">
        <f>SUM(N135:N137)</f>
        <v/>
      </c>
      <c r="O134" s="568">
        <f>SUM(O135:O137)</f>
        <v/>
      </c>
      <c r="P134" s="103">
        <f>(N134-O134)/O134</f>
        <v/>
      </c>
      <c r="Q134" s="568">
        <f>SUM(Q135:Q137)</f>
        <v/>
      </c>
      <c r="R134" s="568">
        <f>SUM(R135:R137)</f>
        <v/>
      </c>
      <c r="S134" s="103">
        <f>(Q134-R134)/R134</f>
        <v/>
      </c>
      <c r="T134" s="568">
        <f>E134/Q134</f>
        <v/>
      </c>
      <c r="U134" s="568">
        <f>F134/R134</f>
        <v/>
      </c>
      <c r="V134" s="103">
        <f>(T134-U134)/U134</f>
        <v/>
      </c>
      <c r="W134" s="568">
        <f>SUM(W135:W137)</f>
        <v/>
      </c>
      <c r="X134" s="568">
        <f>SUM(X135:X137)</f>
        <v/>
      </c>
      <c r="Y134" s="103">
        <f>(W134-X134)/X134</f>
        <v/>
      </c>
      <c r="Z134" s="568">
        <f>SUM(Z135:Z137)</f>
        <v/>
      </c>
      <c r="AA134" s="568">
        <f>SUM(AA135:AA137)</f>
        <v/>
      </c>
      <c r="AB134" s="103">
        <f>(Z134-AA134)/AA134</f>
        <v/>
      </c>
      <c r="AC134" s="82">
        <f>W134/Z134</f>
        <v/>
      </c>
      <c r="AD134" s="82">
        <f>X134/AA134</f>
        <v/>
      </c>
      <c r="AE134" s="103">
        <f>(AC134-AD134)/AD134</f>
        <v/>
      </c>
    </row>
    <row customHeight="1" ht="15.75" r="135" s="452" spans="1:32">
      <c r="A135" s="279" t="n"/>
      <c r="B135" s="279" t="n"/>
      <c r="C135" s="280" t="n"/>
      <c r="D135" s="280" t="n"/>
      <c r="E135" s="535" t="n"/>
      <c r="F135" s="535" t="n"/>
      <c r="G135" s="404" t="n"/>
      <c r="H135" s="536" t="n"/>
      <c r="I135" s="536" t="n"/>
      <c r="J135" s="404" t="n"/>
      <c r="K135" s="536" t="n"/>
      <c r="L135" s="535" t="n"/>
      <c r="M135" s="404" t="n"/>
      <c r="N135" s="537" t="n"/>
      <c r="O135" s="537" t="n"/>
      <c r="P135" s="404" t="n"/>
      <c r="Q135" s="537" t="n"/>
      <c r="R135" s="537" t="n"/>
      <c r="S135" s="404" t="n"/>
      <c r="T135" s="535" t="n"/>
      <c r="U135" s="537" t="n"/>
      <c r="V135" s="404" t="n"/>
      <c r="W135" s="537" t="n"/>
      <c r="X135" s="537" t="n"/>
      <c r="Y135" s="404" t="n"/>
      <c r="Z135" s="537" t="n"/>
      <c r="AA135" s="537" t="n"/>
      <c r="AB135" s="404" t="n"/>
      <c r="AC135" s="286" t="n"/>
      <c r="AD135" s="286" t="n"/>
      <c r="AE135" s="404" t="n"/>
    </row>
    <row customHeight="1" ht="15.75" r="136" s="452" spans="1:32">
      <c r="A136" s="279" t="n"/>
      <c r="B136" s="279" t="n"/>
      <c r="C136" s="280" t="n"/>
      <c r="D136" s="280" t="n"/>
      <c r="E136" s="535" t="n"/>
      <c r="F136" s="535" t="n"/>
      <c r="G136" s="404" t="n"/>
      <c r="H136" s="536" t="n"/>
      <c r="I136" s="536" t="n"/>
      <c r="J136" s="404" t="n"/>
      <c r="K136" s="536" t="n"/>
      <c r="L136" s="535" t="n"/>
      <c r="M136" s="404" t="n"/>
      <c r="N136" s="537" t="n"/>
      <c r="O136" s="537" t="n"/>
      <c r="P136" s="404" t="n"/>
      <c r="Q136" s="537" t="n"/>
      <c r="R136" s="537" t="n"/>
      <c r="S136" s="404" t="n"/>
      <c r="T136" s="535" t="n"/>
      <c r="U136" s="537" t="n"/>
      <c r="V136" s="404" t="n"/>
      <c r="W136" s="537" t="n"/>
      <c r="X136" s="537" t="n"/>
      <c r="Y136" s="404" t="n"/>
      <c r="Z136" s="537" t="n"/>
      <c r="AA136" s="537" t="n"/>
      <c r="AB136" s="404" t="n"/>
      <c r="AC136" s="286" t="n"/>
      <c r="AD136" s="286" t="n"/>
      <c r="AE136" s="404" t="n"/>
    </row>
    <row customHeight="1" ht="15.75" r="137" s="452" spans="1:32">
      <c r="A137" s="279" t="n"/>
      <c r="B137" s="279" t="n"/>
      <c r="C137" s="280" t="n"/>
      <c r="D137" s="297" t="s">
        <v>177</v>
      </c>
      <c r="E137" s="535" t="n"/>
      <c r="F137" s="535" t="n"/>
      <c r="G137" s="404" t="n"/>
      <c r="H137" s="536" t="n"/>
      <c r="I137" s="536" t="n"/>
      <c r="J137" s="404" t="n"/>
      <c r="K137" s="536" t="n"/>
      <c r="L137" s="535" t="n"/>
      <c r="M137" s="404" t="n"/>
      <c r="N137" s="537" t="n"/>
      <c r="O137" s="537" t="n"/>
      <c r="P137" s="404" t="n"/>
      <c r="Q137" s="537" t="n"/>
      <c r="R137" s="537" t="n"/>
      <c r="S137" s="404" t="n"/>
      <c r="T137" s="535" t="n"/>
      <c r="U137" s="537" t="n"/>
      <c r="V137" s="404" t="n"/>
      <c r="W137" s="537" t="n"/>
      <c r="X137" s="537" t="n"/>
      <c r="Y137" s="404" t="n"/>
      <c r="Z137" s="537" t="n"/>
      <c r="AA137" s="537" t="n"/>
      <c r="AB137" s="404" t="n"/>
      <c r="AC137" s="286" t="n"/>
      <c r="AD137" s="286" t="n"/>
      <c r="AE137" s="404" t="n"/>
    </row>
    <row customHeight="1" ht="15.75" r="138" s="452" spans="1:32">
      <c r="A138" s="49" t="s">
        <v>48</v>
      </c>
      <c r="B138" s="49" t="s">
        <v>119</v>
      </c>
      <c r="C138" s="50">
        <f>C134+7</f>
        <v/>
      </c>
      <c r="D138" s="403" t="s">
        <v>60</v>
      </c>
      <c r="E138" s="566">
        <f>SUM(E139:E141)</f>
        <v/>
      </c>
      <c r="F138" s="566">
        <f>SUM(F139:F141)</f>
        <v/>
      </c>
      <c r="G138" s="103">
        <f>(E138-F138)/F138</f>
        <v/>
      </c>
      <c r="H138" s="566">
        <f>SUM(H139:H141)</f>
        <v/>
      </c>
      <c r="I138" s="566">
        <f>SUM(I139:I141)</f>
        <v/>
      </c>
      <c r="J138" s="103">
        <f>(H138-I138)/I138</f>
        <v/>
      </c>
      <c r="K138" s="567">
        <f>E138/H138</f>
        <v/>
      </c>
      <c r="L138" s="566">
        <f>F138/I138</f>
        <v/>
      </c>
      <c r="M138" s="103">
        <f>(K138-L138)/L138</f>
        <v/>
      </c>
      <c r="N138" s="568">
        <f>SUM(N139:N141)</f>
        <v/>
      </c>
      <c r="O138" s="568">
        <f>SUM(O139:O141)</f>
        <v/>
      </c>
      <c r="P138" s="103">
        <f>(N138-O138)/O138</f>
        <v/>
      </c>
      <c r="Q138" s="568">
        <f>SUM(Q139:Q141)</f>
        <v/>
      </c>
      <c r="R138" s="568">
        <f>SUM(R139:R141)</f>
        <v/>
      </c>
      <c r="S138" s="103">
        <f>(Q138-R138)/R138</f>
        <v/>
      </c>
      <c r="T138" s="568">
        <f>E138/Q138</f>
        <v/>
      </c>
      <c r="U138" s="568">
        <f>F138/R138</f>
        <v/>
      </c>
      <c r="V138" s="103">
        <f>(T138-U138)/U138</f>
        <v/>
      </c>
      <c r="W138" s="568">
        <f>SUM(W139:W141)</f>
        <v/>
      </c>
      <c r="X138" s="568">
        <f>SUM(X139:X141)</f>
        <v/>
      </c>
      <c r="Y138" s="103">
        <f>(W138-X138)/X138</f>
        <v/>
      </c>
      <c r="Z138" s="568">
        <f>SUM(Z139:Z141)</f>
        <v/>
      </c>
      <c r="AA138" s="568">
        <f>SUM(AA139:AA141)</f>
        <v/>
      </c>
      <c r="AB138" s="103">
        <f>(Z138-AA138)/AA138</f>
        <v/>
      </c>
      <c r="AC138" s="82">
        <f>W138/Z138</f>
        <v/>
      </c>
      <c r="AD138" s="82">
        <f>X138/AA138</f>
        <v/>
      </c>
      <c r="AE138" s="103">
        <f>(AC138-AD138)/AD138</f>
        <v/>
      </c>
    </row>
    <row customHeight="1" ht="15.75" r="139" s="452" spans="1:32">
      <c r="A139" s="279" t="n"/>
      <c r="B139" s="279" t="n"/>
      <c r="C139" s="280" t="n"/>
      <c r="D139" s="280" t="n"/>
      <c r="E139" s="535" t="n"/>
      <c r="F139" s="535" t="n"/>
      <c r="G139" s="404" t="n"/>
      <c r="H139" s="536" t="n"/>
      <c r="I139" s="536" t="n"/>
      <c r="J139" s="404" t="n"/>
      <c r="K139" s="536" t="n"/>
      <c r="L139" s="535" t="n"/>
      <c r="M139" s="404" t="n"/>
      <c r="N139" s="537" t="n"/>
      <c r="O139" s="537" t="n"/>
      <c r="P139" s="404" t="n"/>
      <c r="Q139" s="537" t="n"/>
      <c r="R139" s="537" t="n"/>
      <c r="S139" s="404" t="n"/>
      <c r="T139" s="535" t="n"/>
      <c r="U139" s="537" t="n"/>
      <c r="V139" s="404" t="n"/>
      <c r="W139" s="537" t="n"/>
      <c r="X139" s="537" t="n"/>
      <c r="Y139" s="404" t="n"/>
      <c r="Z139" s="537" t="n"/>
      <c r="AA139" s="537" t="n"/>
      <c r="AB139" s="404" t="n"/>
      <c r="AC139" s="286" t="n"/>
      <c r="AD139" s="286" t="n"/>
      <c r="AE139" s="404" t="n"/>
    </row>
    <row customHeight="1" ht="15.75" r="140" s="452" spans="1:32">
      <c r="A140" s="279" t="n"/>
      <c r="B140" s="279" t="n"/>
      <c r="C140" s="280" t="n"/>
      <c r="D140" s="280" t="n"/>
      <c r="E140" s="535" t="n"/>
      <c r="F140" s="535" t="n"/>
      <c r="G140" s="404" t="n"/>
      <c r="H140" s="536" t="n"/>
      <c r="I140" s="536" t="n"/>
      <c r="J140" s="404" t="n"/>
      <c r="K140" s="536" t="n"/>
      <c r="L140" s="535" t="n"/>
      <c r="M140" s="404" t="n"/>
      <c r="N140" s="537" t="n"/>
      <c r="O140" s="537" t="n"/>
      <c r="P140" s="404" t="n"/>
      <c r="Q140" s="537" t="n"/>
      <c r="R140" s="537" t="n"/>
      <c r="S140" s="404" t="n"/>
      <c r="T140" s="535" t="n"/>
      <c r="U140" s="537" t="n"/>
      <c r="V140" s="404" t="n"/>
      <c r="W140" s="537" t="n"/>
      <c r="X140" s="537" t="n"/>
      <c r="Y140" s="404" t="n"/>
      <c r="Z140" s="537" t="n"/>
      <c r="AA140" s="537" t="n"/>
      <c r="AB140" s="404" t="n"/>
      <c r="AC140" s="286" t="n"/>
      <c r="AD140" s="286" t="n"/>
      <c r="AE140" s="404" t="n"/>
    </row>
    <row customHeight="1" ht="15.75" r="141" s="452" spans="1:32">
      <c r="A141" s="279" t="n"/>
      <c r="B141" s="279" t="n"/>
      <c r="C141" s="280" t="n"/>
      <c r="D141" s="297" t="s">
        <v>177</v>
      </c>
      <c r="E141" s="535" t="n"/>
      <c r="F141" s="535" t="n"/>
      <c r="G141" s="404" t="n"/>
      <c r="H141" s="536" t="n"/>
      <c r="I141" s="536" t="n"/>
      <c r="J141" s="404" t="n"/>
      <c r="K141" s="536" t="n"/>
      <c r="L141" s="535" t="n"/>
      <c r="M141" s="404" t="n"/>
      <c r="N141" s="537" t="n"/>
      <c r="O141" s="537" t="n"/>
      <c r="P141" s="404" t="n"/>
      <c r="Q141" s="537" t="n"/>
      <c r="R141" s="537" t="n"/>
      <c r="S141" s="404" t="n"/>
      <c r="T141" s="535" t="n"/>
      <c r="U141" s="537" t="n"/>
      <c r="V141" s="404" t="n"/>
      <c r="W141" s="537" t="n"/>
      <c r="X141" s="537" t="n"/>
      <c r="Y141" s="404" t="n"/>
      <c r="Z141" s="537" t="n"/>
      <c r="AA141" s="537" t="n"/>
      <c r="AB141" s="404" t="n"/>
      <c r="AC141" s="286" t="n"/>
      <c r="AD141" s="286" t="n"/>
      <c r="AE141" s="404" t="n"/>
    </row>
    <row customHeight="1" ht="15.75" r="142" s="452" spans="1:32">
      <c r="A142" s="49" t="s">
        <v>48</v>
      </c>
      <c r="B142" s="49" t="s">
        <v>120</v>
      </c>
      <c r="C142" s="50">
        <f>C138+7</f>
        <v/>
      </c>
      <c r="D142" s="403" t="s">
        <v>60</v>
      </c>
      <c r="E142" s="566">
        <f>SUM(E143:E145)</f>
        <v/>
      </c>
      <c r="F142" s="566">
        <f>SUM(F143:F145)</f>
        <v/>
      </c>
      <c r="G142" s="103">
        <f>(E142-F142)/F142</f>
        <v/>
      </c>
      <c r="H142" s="566">
        <f>SUM(H143:H145)</f>
        <v/>
      </c>
      <c r="I142" s="566">
        <f>SUM(I143:I145)</f>
        <v/>
      </c>
      <c r="J142" s="103">
        <f>(H142-I142)/I142</f>
        <v/>
      </c>
      <c r="K142" s="567">
        <f>E142/H142</f>
        <v/>
      </c>
      <c r="L142" s="566">
        <f>F142/I142</f>
        <v/>
      </c>
      <c r="M142" s="103">
        <f>(K142-L142)/L142</f>
        <v/>
      </c>
      <c r="N142" s="568">
        <f>SUM(N143:N145)</f>
        <v/>
      </c>
      <c r="O142" s="568">
        <f>SUM(O143:O145)</f>
        <v/>
      </c>
      <c r="P142" s="103">
        <f>(N142-O142)/O142</f>
        <v/>
      </c>
      <c r="Q142" s="568">
        <f>SUM(Q143:Q145)</f>
        <v/>
      </c>
      <c r="R142" s="568">
        <f>SUM(R143:R145)</f>
        <v/>
      </c>
      <c r="S142" s="103">
        <f>(Q142-R142)/R142</f>
        <v/>
      </c>
      <c r="T142" s="568">
        <f>E142/Q142</f>
        <v/>
      </c>
      <c r="U142" s="568">
        <f>F142/R142</f>
        <v/>
      </c>
      <c r="V142" s="103">
        <f>(T142-U142)/U142</f>
        <v/>
      </c>
      <c r="W142" s="568">
        <f>SUM(W143:W145)</f>
        <v/>
      </c>
      <c r="X142" s="568">
        <f>SUM(X143:X145)</f>
        <v/>
      </c>
      <c r="Y142" s="103">
        <f>(W142-X142)/X142</f>
        <v/>
      </c>
      <c r="Z142" s="568">
        <f>SUM(Z143:Z145)</f>
        <v/>
      </c>
      <c r="AA142" s="568">
        <f>SUM(AA143:AA145)</f>
        <v/>
      </c>
      <c r="AB142" s="103">
        <f>(Z142-AA142)/AA142</f>
        <v/>
      </c>
      <c r="AC142" s="82">
        <f>W142/Z142</f>
        <v/>
      </c>
      <c r="AD142" s="82">
        <f>X142/AA142</f>
        <v/>
      </c>
      <c r="AE142" s="103">
        <f>(AC142-AD142)/AD142</f>
        <v/>
      </c>
    </row>
    <row customHeight="1" ht="15.75" r="143" s="452" spans="1:32">
      <c r="A143" s="279" t="n"/>
      <c r="B143" s="279" t="n"/>
      <c r="C143" s="280" t="n"/>
      <c r="D143" s="280" t="n"/>
      <c r="E143" s="535" t="n"/>
      <c r="F143" s="535" t="n"/>
      <c r="G143" s="404" t="n"/>
      <c r="H143" s="536" t="n"/>
      <c r="I143" s="536" t="n"/>
      <c r="J143" s="404" t="n"/>
      <c r="K143" s="536" t="n"/>
      <c r="L143" s="535" t="n"/>
      <c r="M143" s="404" t="n"/>
      <c r="N143" s="537" t="n"/>
      <c r="O143" s="537" t="n"/>
      <c r="P143" s="404" t="n"/>
      <c r="Q143" s="537" t="n"/>
      <c r="R143" s="537" t="n"/>
      <c r="S143" s="404" t="n"/>
      <c r="T143" s="535" t="n"/>
      <c r="U143" s="537" t="n"/>
      <c r="V143" s="404" t="n"/>
      <c r="W143" s="537" t="n"/>
      <c r="X143" s="537" t="n"/>
      <c r="Y143" s="404" t="n"/>
      <c r="Z143" s="537" t="n"/>
      <c r="AA143" s="537" t="n"/>
      <c r="AB143" s="404" t="n"/>
      <c r="AC143" s="286" t="n"/>
      <c r="AD143" s="286" t="n"/>
      <c r="AE143" s="404" t="n"/>
    </row>
    <row customHeight="1" ht="15.75" r="144" s="452" spans="1:32">
      <c r="A144" s="279" t="n"/>
      <c r="B144" s="279" t="n"/>
      <c r="C144" s="280" t="n"/>
      <c r="D144" s="280" t="n"/>
      <c r="E144" s="535" t="n"/>
      <c r="F144" s="535" t="n"/>
      <c r="G144" s="404" t="n"/>
      <c r="H144" s="536" t="n"/>
      <c r="I144" s="536" t="n"/>
      <c r="J144" s="404" t="n"/>
      <c r="K144" s="536" t="n"/>
      <c r="L144" s="535" t="n"/>
      <c r="M144" s="404" t="n"/>
      <c r="N144" s="537" t="n"/>
      <c r="O144" s="537" t="n"/>
      <c r="P144" s="404" t="n"/>
      <c r="Q144" s="537" t="n"/>
      <c r="R144" s="537" t="n"/>
      <c r="S144" s="404" t="n"/>
      <c r="T144" s="535" t="n"/>
      <c r="U144" s="537" t="n"/>
      <c r="V144" s="404" t="n"/>
      <c r="W144" s="537" t="n"/>
      <c r="X144" s="537" t="n"/>
      <c r="Y144" s="404" t="n"/>
      <c r="Z144" s="537" t="n"/>
      <c r="AA144" s="537" t="n"/>
      <c r="AB144" s="404" t="n"/>
      <c r="AC144" s="286" t="n"/>
      <c r="AD144" s="286" t="n"/>
      <c r="AE144" s="404" t="n"/>
    </row>
    <row customFormat="1" customHeight="1" ht="15.75" r="145" s="357" spans="1:32">
      <c r="A145" s="347" t="n"/>
      <c r="B145" s="347" t="n"/>
      <c r="C145" s="348" t="n"/>
      <c r="D145" s="349" t="s">
        <v>177</v>
      </c>
      <c r="E145" s="612" t="n"/>
      <c r="F145" s="612" t="n"/>
      <c r="G145" s="405" t="n"/>
      <c r="H145" s="613" t="n"/>
      <c r="I145" s="613" t="n"/>
      <c r="J145" s="405" t="n"/>
      <c r="K145" s="613" t="n"/>
      <c r="L145" s="612" t="n"/>
      <c r="M145" s="405" t="n"/>
      <c r="N145" s="614" t="n"/>
      <c r="O145" s="614" t="n"/>
      <c r="P145" s="405" t="n"/>
      <c r="Q145" s="614" t="n"/>
      <c r="R145" s="614" t="n"/>
      <c r="S145" s="405" t="n"/>
      <c r="T145" s="612" t="n"/>
      <c r="U145" s="614" t="n"/>
      <c r="V145" s="405" t="n"/>
      <c r="W145" s="614" t="n"/>
      <c r="X145" s="614" t="n"/>
      <c r="Y145" s="405" t="n"/>
      <c r="Z145" s="614" t="n"/>
      <c r="AA145" s="614" t="n"/>
      <c r="AB145" s="405" t="n"/>
      <c r="AC145" s="356" t="n"/>
      <c r="AD145" s="356" t="n"/>
      <c r="AE145" s="405" t="n"/>
    </row>
    <row customHeight="1" ht="15.75" r="146" s="452" spans="1:32">
      <c r="A146" s="49" t="s">
        <v>49</v>
      </c>
      <c r="B146" s="49" t="s">
        <v>121</v>
      </c>
      <c r="C146" s="50">
        <f>C142+7</f>
        <v/>
      </c>
      <c r="D146" s="403" t="s">
        <v>60</v>
      </c>
      <c r="E146" s="566">
        <f>SUM(E147:E149)</f>
        <v/>
      </c>
      <c r="F146" s="566">
        <f>SUM(F147:F149)</f>
        <v/>
      </c>
      <c r="G146" s="103">
        <f>(E146-F146)/F146</f>
        <v/>
      </c>
      <c r="H146" s="566">
        <f>SUM(H147:H149)</f>
        <v/>
      </c>
      <c r="I146" s="566">
        <f>SUM(I147:I149)</f>
        <v/>
      </c>
      <c r="J146" s="103">
        <f>(H146-I146)/I146</f>
        <v/>
      </c>
      <c r="K146" s="567">
        <f>E146/H146</f>
        <v/>
      </c>
      <c r="L146" s="566">
        <f>F146/I146</f>
        <v/>
      </c>
      <c r="M146" s="103">
        <f>(K146-L146)/L146</f>
        <v/>
      </c>
      <c r="N146" s="568">
        <f>SUM(N147:N149)</f>
        <v/>
      </c>
      <c r="O146" s="568">
        <f>SUM(O147:O149)</f>
        <v/>
      </c>
      <c r="P146" s="103">
        <f>(N146-O146)/O146</f>
        <v/>
      </c>
      <c r="Q146" s="568">
        <f>SUM(Q147:Q149)</f>
        <v/>
      </c>
      <c r="R146" s="568">
        <f>SUM(R147:R149)</f>
        <v/>
      </c>
      <c r="S146" s="103">
        <f>(Q146-R146)/R146</f>
        <v/>
      </c>
      <c r="T146" s="568">
        <f>E146/Q146</f>
        <v/>
      </c>
      <c r="U146" s="568">
        <f>F146/R146</f>
        <v/>
      </c>
      <c r="V146" s="103">
        <f>(T146-U146)/U146</f>
        <v/>
      </c>
      <c r="W146" s="568">
        <f>SUM(W147:W149)</f>
        <v/>
      </c>
      <c r="X146" s="568">
        <f>SUM(X147:X149)</f>
        <v/>
      </c>
      <c r="Y146" s="103">
        <f>(W146-X146)/X146</f>
        <v/>
      </c>
      <c r="Z146" s="568">
        <f>SUM(Z147:Z149)</f>
        <v/>
      </c>
      <c r="AA146" s="568">
        <f>SUM(AA147:AA149)</f>
        <v/>
      </c>
      <c r="AB146" s="103">
        <f>(Z146-AA146)/AA146</f>
        <v/>
      </c>
      <c r="AC146" s="82">
        <f>W146/Z146</f>
        <v/>
      </c>
      <c r="AD146" s="82">
        <f>X146/AA146</f>
        <v/>
      </c>
      <c r="AE146" s="103">
        <f>(AC146-AD146)/AD146</f>
        <v/>
      </c>
    </row>
    <row customHeight="1" ht="15.75" r="147" s="452" spans="1:32">
      <c r="A147" s="279" t="n"/>
      <c r="B147" s="279" t="n"/>
      <c r="C147" s="280" t="n"/>
      <c r="D147" s="280" t="n"/>
      <c r="E147" s="535" t="n"/>
      <c r="F147" s="535" t="n"/>
      <c r="G147" s="404" t="n"/>
      <c r="H147" s="536" t="n"/>
      <c r="I147" s="536" t="n"/>
      <c r="J147" s="404" t="n"/>
      <c r="K147" s="536" t="n"/>
      <c r="L147" s="535" t="n"/>
      <c r="M147" s="404" t="n"/>
      <c r="N147" s="537" t="n"/>
      <c r="O147" s="537" t="n"/>
      <c r="P147" s="404" t="n"/>
      <c r="Q147" s="537" t="n"/>
      <c r="R147" s="537" t="n"/>
      <c r="S147" s="404" t="n"/>
      <c r="T147" s="535" t="n"/>
      <c r="U147" s="537" t="n"/>
      <c r="V147" s="404" t="n"/>
      <c r="W147" s="537" t="n"/>
      <c r="X147" s="537" t="n"/>
      <c r="Y147" s="404" t="n"/>
      <c r="Z147" s="537" t="n"/>
      <c r="AA147" s="537" t="n"/>
      <c r="AB147" s="404" t="n"/>
      <c r="AC147" s="286" t="n"/>
      <c r="AD147" s="286" t="n"/>
      <c r="AE147" s="404" t="n"/>
    </row>
    <row customHeight="1" ht="15.75" r="148" s="452" spans="1:32">
      <c r="A148" s="279" t="n"/>
      <c r="B148" s="279" t="n"/>
      <c r="C148" s="280" t="n"/>
      <c r="D148" s="280" t="n"/>
      <c r="E148" s="535" t="n"/>
      <c r="F148" s="535" t="n"/>
      <c r="G148" s="404" t="n"/>
      <c r="H148" s="536" t="n"/>
      <c r="I148" s="536" t="n"/>
      <c r="J148" s="404" t="n"/>
      <c r="K148" s="536" t="n"/>
      <c r="L148" s="535" t="n"/>
      <c r="M148" s="404" t="n"/>
      <c r="N148" s="537" t="n"/>
      <c r="O148" s="537" t="n"/>
      <c r="P148" s="404" t="n"/>
      <c r="Q148" s="537" t="n"/>
      <c r="R148" s="537" t="n"/>
      <c r="S148" s="404" t="n"/>
      <c r="T148" s="535" t="n"/>
      <c r="U148" s="537" t="n"/>
      <c r="V148" s="404" t="n"/>
      <c r="W148" s="537" t="n"/>
      <c r="X148" s="537" t="n"/>
      <c r="Y148" s="404" t="n"/>
      <c r="Z148" s="537" t="n"/>
      <c r="AA148" s="537" t="n"/>
      <c r="AB148" s="404" t="n"/>
      <c r="AC148" s="286" t="n"/>
      <c r="AD148" s="286" t="n"/>
      <c r="AE148" s="404" t="n"/>
    </row>
    <row customHeight="1" ht="15.75" r="149" s="452" spans="1:32">
      <c r="A149" s="279" t="n"/>
      <c r="B149" s="279" t="n"/>
      <c r="C149" s="280" t="n"/>
      <c r="D149" s="297" t="s">
        <v>177</v>
      </c>
      <c r="E149" s="535" t="n"/>
      <c r="F149" s="535" t="n"/>
      <c r="G149" s="404" t="n"/>
      <c r="H149" s="536" t="n"/>
      <c r="I149" s="536" t="n"/>
      <c r="J149" s="404" t="n"/>
      <c r="K149" s="536" t="n"/>
      <c r="L149" s="535" t="n"/>
      <c r="M149" s="404" t="n"/>
      <c r="N149" s="537" t="n">
        <v>1</v>
      </c>
      <c r="O149" s="537" t="n">
        <v>0</v>
      </c>
      <c r="P149" s="404" t="n"/>
      <c r="Q149" s="537" t="n"/>
      <c r="R149" s="537" t="n"/>
      <c r="S149" s="404" t="n"/>
      <c r="T149" s="535" t="n"/>
      <c r="U149" s="537" t="n"/>
      <c r="V149" s="404" t="n"/>
      <c r="W149" s="537" t="n"/>
      <c r="X149" s="537" t="n"/>
      <c r="Y149" s="404" t="n"/>
      <c r="Z149" s="537" t="n"/>
      <c r="AA149" s="537" t="n"/>
      <c r="AB149" s="404" t="n"/>
      <c r="AC149" s="286" t="n"/>
      <c r="AD149" s="286" t="n"/>
      <c r="AE149" s="404" t="n"/>
    </row>
    <row customHeight="1" ht="15.75" r="150" s="452" spans="1:32">
      <c r="A150" s="49" t="s">
        <v>49</v>
      </c>
      <c r="B150" s="49" t="s">
        <v>122</v>
      </c>
      <c r="C150" s="50">
        <f>C146+7</f>
        <v/>
      </c>
      <c r="D150" s="403" t="s">
        <v>60</v>
      </c>
      <c r="E150" s="566">
        <f>SUM(E151:E153)</f>
        <v/>
      </c>
      <c r="F150" s="566">
        <f>SUM(F151:F153)</f>
        <v/>
      </c>
      <c r="G150" s="103">
        <f>(E150-F150)/F150</f>
        <v/>
      </c>
      <c r="H150" s="566">
        <f>SUM(H151:H153)</f>
        <v/>
      </c>
      <c r="I150" s="566">
        <f>SUM(I151:I153)</f>
        <v/>
      </c>
      <c r="J150" s="103">
        <f>(H150-I150)/I150</f>
        <v/>
      </c>
      <c r="K150" s="567">
        <f>E150/H150</f>
        <v/>
      </c>
      <c r="L150" s="566">
        <f>F150/I150</f>
        <v/>
      </c>
      <c r="M150" s="103">
        <f>(K150-L150)/L150</f>
        <v/>
      </c>
      <c r="N150" s="568">
        <f>SUM(N151:N153)</f>
        <v/>
      </c>
      <c r="O150" s="568">
        <f>SUM(O151:O153)</f>
        <v/>
      </c>
      <c r="P150" s="103">
        <f>(N150-O150)/O150</f>
        <v/>
      </c>
      <c r="Q150" s="568">
        <f>SUM(Q151:Q153)</f>
        <v/>
      </c>
      <c r="R150" s="568">
        <f>SUM(R151:R153)</f>
        <v/>
      </c>
      <c r="S150" s="103">
        <f>(Q150-R150)/R150</f>
        <v/>
      </c>
      <c r="T150" s="568">
        <f>E150/Q150</f>
        <v/>
      </c>
      <c r="U150" s="568">
        <f>F150/R150</f>
        <v/>
      </c>
      <c r="V150" s="103">
        <f>(T150-U150)/U150</f>
        <v/>
      </c>
      <c r="W150" s="568">
        <f>SUM(W151:W153)</f>
        <v/>
      </c>
      <c r="X150" s="568">
        <f>SUM(X151:X153)</f>
        <v/>
      </c>
      <c r="Y150" s="103">
        <f>(W150-X150)/X150</f>
        <v/>
      </c>
      <c r="Z150" s="568">
        <f>SUM(Z151:Z153)</f>
        <v/>
      </c>
      <c r="AA150" s="568">
        <f>SUM(AA151:AA153)</f>
        <v/>
      </c>
      <c r="AB150" s="103">
        <f>(Z150-AA150)/AA150</f>
        <v/>
      </c>
      <c r="AC150" s="82">
        <f>W150/Z150</f>
        <v/>
      </c>
      <c r="AD150" s="82">
        <f>X150/AA150</f>
        <v/>
      </c>
      <c r="AE150" s="103">
        <f>(AC150-AD150)/AD150</f>
        <v/>
      </c>
    </row>
    <row customHeight="1" ht="15.75" r="151" s="452" spans="1:32">
      <c r="A151" s="279" t="n"/>
      <c r="B151" s="279" t="n"/>
      <c r="C151" s="280" t="n"/>
      <c r="D151" s="280" t="n"/>
      <c r="E151" s="535" t="n"/>
      <c r="F151" s="535" t="n"/>
      <c r="G151" s="404" t="n"/>
      <c r="H151" s="536" t="n"/>
      <c r="I151" s="536" t="n"/>
      <c r="J151" s="404" t="n"/>
      <c r="K151" s="536" t="n"/>
      <c r="L151" s="535" t="n"/>
      <c r="M151" s="404" t="n"/>
      <c r="N151" s="537" t="n"/>
      <c r="O151" s="537" t="n"/>
      <c r="P151" s="404" t="n"/>
      <c r="Q151" s="537" t="n"/>
      <c r="R151" s="537" t="n"/>
      <c r="S151" s="404" t="n"/>
      <c r="T151" s="535" t="n"/>
      <c r="U151" s="537" t="n"/>
      <c r="V151" s="404" t="n"/>
      <c r="W151" s="537" t="n"/>
      <c r="X151" s="537" t="n"/>
      <c r="Y151" s="404" t="n"/>
      <c r="Z151" s="537" t="n"/>
      <c r="AA151" s="537" t="n"/>
      <c r="AB151" s="404" t="n"/>
      <c r="AC151" s="286" t="n"/>
      <c r="AD151" s="286" t="n"/>
      <c r="AE151" s="404" t="n"/>
    </row>
    <row customHeight="1" ht="15.75" r="152" s="452" spans="1:32">
      <c r="A152" s="279" t="n"/>
      <c r="B152" s="279" t="n"/>
      <c r="C152" s="280" t="n"/>
      <c r="D152" s="280" t="n"/>
      <c r="E152" s="535" t="n"/>
      <c r="F152" s="535" t="n"/>
      <c r="G152" s="404" t="n"/>
      <c r="H152" s="536" t="n"/>
      <c r="I152" s="536" t="n"/>
      <c r="J152" s="404" t="n"/>
      <c r="K152" s="536" t="n"/>
      <c r="L152" s="535" t="n"/>
      <c r="M152" s="404" t="n"/>
      <c r="N152" s="537" t="n"/>
      <c r="O152" s="537" t="n"/>
      <c r="P152" s="404" t="n"/>
      <c r="Q152" s="537" t="n"/>
      <c r="R152" s="537" t="n"/>
      <c r="S152" s="404" t="n"/>
      <c r="T152" s="535" t="n"/>
      <c r="U152" s="537" t="n"/>
      <c r="V152" s="404" t="n"/>
      <c r="W152" s="537" t="n"/>
      <c r="X152" s="537" t="n"/>
      <c r="Y152" s="404" t="n"/>
      <c r="Z152" s="537" t="n"/>
      <c r="AA152" s="537" t="n"/>
      <c r="AB152" s="404" t="n"/>
      <c r="AC152" s="286" t="n"/>
      <c r="AD152" s="286" t="n"/>
      <c r="AE152" s="404" t="n"/>
    </row>
    <row customHeight="1" ht="15.75" r="153" s="452" spans="1:32">
      <c r="A153" s="279" t="n"/>
      <c r="B153" s="279" t="n"/>
      <c r="C153" s="280" t="n"/>
      <c r="D153" s="297" t="s">
        <v>177</v>
      </c>
      <c r="E153" s="535" t="n"/>
      <c r="F153" s="535" t="n"/>
      <c r="G153" s="404" t="n"/>
      <c r="H153" s="536" t="n"/>
      <c r="I153" s="536" t="n">
        <v>6615.75</v>
      </c>
      <c r="J153" s="404" t="n"/>
      <c r="K153" s="536" t="n"/>
      <c r="L153" s="535" t="n"/>
      <c r="M153" s="404" t="n"/>
      <c r="N153" s="537" t="n"/>
      <c r="O153" s="537" t="n">
        <v>3522</v>
      </c>
      <c r="P153" s="404" t="n"/>
      <c r="Q153" s="537" t="n"/>
      <c r="R153" s="537" t="n"/>
      <c r="S153" s="404" t="n"/>
      <c r="T153" s="535" t="n"/>
      <c r="U153" s="537" t="n"/>
      <c r="V153" s="404" t="n"/>
      <c r="W153" s="537" t="n"/>
      <c r="X153" s="537" t="n">
        <v>5647</v>
      </c>
      <c r="Y153" s="404" t="n"/>
      <c r="Z153" s="537" t="n"/>
      <c r="AA153" s="537" t="n">
        <v>1480414</v>
      </c>
      <c r="AB153" s="404" t="n"/>
      <c r="AC153" s="286" t="n"/>
      <c r="AD153" s="286" t="n"/>
      <c r="AE153" s="404" t="n"/>
    </row>
    <row customHeight="1" ht="15.75" r="154" s="452" spans="1:32">
      <c r="A154" s="49" t="s">
        <v>49</v>
      </c>
      <c r="B154" s="49" t="s">
        <v>123</v>
      </c>
      <c r="C154" s="50">
        <f>C150+7</f>
        <v/>
      </c>
      <c r="D154" s="403" t="s">
        <v>60</v>
      </c>
      <c r="E154" s="566">
        <f>SUM(E155:E157)</f>
        <v/>
      </c>
      <c r="F154" s="566">
        <f>SUM(F155:F157)</f>
        <v/>
      </c>
      <c r="G154" s="103">
        <f>(E154-F154)/F154</f>
        <v/>
      </c>
      <c r="H154" s="566">
        <f>SUM(H155:H157)</f>
        <v/>
      </c>
      <c r="I154" s="566">
        <f>SUM(I155:I157)</f>
        <v/>
      </c>
      <c r="J154" s="103">
        <f>(H154-I154)/I154</f>
        <v/>
      </c>
      <c r="K154" s="567">
        <f>E154/H154</f>
        <v/>
      </c>
      <c r="L154" s="566">
        <f>F154/I154</f>
        <v/>
      </c>
      <c r="M154" s="103">
        <f>(K154-L154)/L154</f>
        <v/>
      </c>
      <c r="N154" s="568">
        <f>SUM(N155:N157)</f>
        <v/>
      </c>
      <c r="O154" s="568">
        <f>SUM(O155:O157)</f>
        <v/>
      </c>
      <c r="P154" s="103">
        <f>(N154-O154)/O154</f>
        <v/>
      </c>
      <c r="Q154" s="568">
        <f>SUM(Q155:Q157)</f>
        <v/>
      </c>
      <c r="R154" s="568">
        <f>SUM(R155:R157)</f>
        <v/>
      </c>
      <c r="S154" s="103">
        <f>(Q154-R154)/R154</f>
        <v/>
      </c>
      <c r="T154" s="568">
        <f>E154/Q154</f>
        <v/>
      </c>
      <c r="U154" s="568">
        <f>F154/R154</f>
        <v/>
      </c>
      <c r="V154" s="103">
        <f>(T154-U154)/U154</f>
        <v/>
      </c>
      <c r="W154" s="568">
        <f>SUM(W155:W157)</f>
        <v/>
      </c>
      <c r="X154" s="568">
        <f>SUM(X155:X157)</f>
        <v/>
      </c>
      <c r="Y154" s="103">
        <f>(W154-X154)/X154</f>
        <v/>
      </c>
      <c r="Z154" s="568">
        <f>SUM(Z155:Z157)</f>
        <v/>
      </c>
      <c r="AA154" s="568">
        <f>SUM(AA155:AA157)</f>
        <v/>
      </c>
      <c r="AB154" s="103">
        <f>(Z154-AA154)/AA154</f>
        <v/>
      </c>
      <c r="AC154" s="82">
        <f>W154/Z154</f>
        <v/>
      </c>
      <c r="AD154" s="82">
        <f>X154/AA154</f>
        <v/>
      </c>
      <c r="AE154" s="103">
        <f>(AC154-AD154)/AD154</f>
        <v/>
      </c>
    </row>
    <row customHeight="1" ht="15.75" r="155" s="452" spans="1:32">
      <c r="A155" s="279" t="n"/>
      <c r="B155" s="279" t="n"/>
      <c r="C155" s="280" t="n"/>
      <c r="D155" s="280" t="n"/>
      <c r="E155" s="535" t="n"/>
      <c r="F155" s="535" t="n"/>
      <c r="G155" s="404" t="n"/>
      <c r="H155" s="536" t="n"/>
      <c r="I155" s="536" t="n"/>
      <c r="J155" s="404" t="n"/>
      <c r="K155" s="536" t="n"/>
      <c r="L155" s="535" t="n"/>
      <c r="M155" s="404" t="n"/>
      <c r="N155" s="537" t="n"/>
      <c r="O155" s="537" t="n"/>
      <c r="P155" s="404" t="n"/>
      <c r="Q155" s="537" t="n"/>
      <c r="R155" s="537" t="n"/>
      <c r="S155" s="404" t="n"/>
      <c r="T155" s="535" t="n"/>
      <c r="U155" s="537" t="n"/>
      <c r="V155" s="404" t="n"/>
      <c r="W155" s="537" t="n"/>
      <c r="X155" s="537" t="n"/>
      <c r="Y155" s="404" t="n"/>
      <c r="Z155" s="537" t="n"/>
      <c r="AA155" s="537" t="n"/>
      <c r="AB155" s="404" t="n"/>
      <c r="AC155" s="286" t="n"/>
      <c r="AD155" s="286" t="n"/>
      <c r="AE155" s="404" t="n"/>
    </row>
    <row customHeight="1" ht="15.75" r="156" s="452" spans="1:32">
      <c r="A156" s="279" t="n"/>
      <c r="B156" s="279" t="n"/>
      <c r="C156" s="280" t="n"/>
      <c r="D156" s="280" t="n"/>
      <c r="E156" s="535" t="n"/>
      <c r="F156" s="535" t="n"/>
      <c r="G156" s="404" t="n"/>
      <c r="H156" s="536" t="n"/>
      <c r="I156" s="536" t="n"/>
      <c r="J156" s="404" t="n"/>
      <c r="K156" s="536" t="n"/>
      <c r="L156" s="535" t="n"/>
      <c r="M156" s="404" t="n"/>
      <c r="N156" s="537" t="n"/>
      <c r="O156" s="537" t="n"/>
      <c r="P156" s="404" t="n"/>
      <c r="Q156" s="537" t="n"/>
      <c r="R156" s="537" t="n"/>
      <c r="S156" s="404" t="n"/>
      <c r="T156" s="535" t="n"/>
      <c r="U156" s="537" t="n"/>
      <c r="V156" s="404" t="n"/>
      <c r="W156" s="537" t="n"/>
      <c r="X156" s="537" t="n"/>
      <c r="Y156" s="404" t="n"/>
      <c r="Z156" s="537" t="n"/>
      <c r="AA156" s="537" t="n"/>
      <c r="AB156" s="404" t="n"/>
      <c r="AC156" s="286" t="n"/>
      <c r="AD156" s="286" t="n"/>
      <c r="AE156" s="404" t="n"/>
    </row>
    <row customHeight="1" ht="15.75" r="157" s="452" spans="1:32">
      <c r="A157" s="279" t="n"/>
      <c r="B157" s="279" t="n"/>
      <c r="C157" s="280" t="n"/>
      <c r="D157" s="297" t="s">
        <v>177</v>
      </c>
      <c r="E157" s="535" t="n"/>
      <c r="F157" s="535" t="n">
        <v>180</v>
      </c>
      <c r="G157" s="404" t="n"/>
      <c r="H157" s="536" t="n"/>
      <c r="I157" s="536" t="n">
        <v>775.54</v>
      </c>
      <c r="J157" s="404" t="n"/>
      <c r="K157" s="536" t="n"/>
      <c r="L157" s="535" t="n"/>
      <c r="M157" s="404" t="n"/>
      <c r="N157" s="537" t="n"/>
      <c r="O157" s="537" t="n">
        <v>513</v>
      </c>
      <c r="P157" s="404" t="n"/>
      <c r="Q157" s="537" t="n"/>
      <c r="R157" s="537" t="n">
        <v>1</v>
      </c>
      <c r="S157" s="404" t="n"/>
      <c r="T157" s="535" t="n"/>
      <c r="U157" s="537" t="n"/>
      <c r="V157" s="404" t="n"/>
      <c r="W157" s="537" t="n"/>
      <c r="X157" s="537" t="n">
        <v>498</v>
      </c>
      <c r="Y157" s="404" t="n"/>
      <c r="Z157" s="537" t="n"/>
      <c r="AA157" s="537" t="n">
        <v>278331</v>
      </c>
      <c r="AB157" s="404" t="n"/>
      <c r="AC157" s="286" t="n"/>
      <c r="AD157" s="286" t="n"/>
      <c r="AE157" s="404" t="n"/>
    </row>
    <row customHeight="1" ht="15.75" r="158" s="452" spans="1:32">
      <c r="A158" s="49" t="s">
        <v>49</v>
      </c>
      <c r="B158" s="49" t="s">
        <v>124</v>
      </c>
      <c r="C158" s="50">
        <f>C154+7</f>
        <v/>
      </c>
      <c r="D158" s="403" t="s">
        <v>60</v>
      </c>
      <c r="E158" s="566">
        <f>SUM(E159:E161)</f>
        <v/>
      </c>
      <c r="F158" s="566">
        <f>SUM(F159:F161)</f>
        <v/>
      </c>
      <c r="G158" s="103">
        <f>(E158-F158)/F158</f>
        <v/>
      </c>
      <c r="H158" s="566">
        <f>SUM(H159:H161)</f>
        <v/>
      </c>
      <c r="I158" s="566">
        <f>SUM(I159:I161)</f>
        <v/>
      </c>
      <c r="J158" s="103">
        <f>(H158-I158)/I158</f>
        <v/>
      </c>
      <c r="K158" s="567">
        <f>E158/H158</f>
        <v/>
      </c>
      <c r="L158" s="566">
        <f>F158/I158</f>
        <v/>
      </c>
      <c r="M158" s="103">
        <f>(K158-L158)/L158</f>
        <v/>
      </c>
      <c r="N158" s="568">
        <f>SUM(N159:N161)</f>
        <v/>
      </c>
      <c r="O158" s="568">
        <f>SUM(O159:O161)</f>
        <v/>
      </c>
      <c r="P158" s="103">
        <f>(N158-O158)/O158</f>
        <v/>
      </c>
      <c r="Q158" s="568">
        <f>SUM(Q159:Q161)</f>
        <v/>
      </c>
      <c r="R158" s="568">
        <f>SUM(R159:R161)</f>
        <v/>
      </c>
      <c r="S158" s="103">
        <f>(Q158-R158)/R158</f>
        <v/>
      </c>
      <c r="T158" s="568">
        <f>E158/Q158</f>
        <v/>
      </c>
      <c r="U158" s="568">
        <f>F158/R158</f>
        <v/>
      </c>
      <c r="V158" s="103">
        <f>(T158-U158)/U158</f>
        <v/>
      </c>
      <c r="W158" s="568">
        <f>SUM(W159:W161)</f>
        <v/>
      </c>
      <c r="X158" s="568">
        <f>SUM(X159:X161)</f>
        <v/>
      </c>
      <c r="Y158" s="103">
        <f>(W158-X158)/X158</f>
        <v/>
      </c>
      <c r="Z158" s="568">
        <f>SUM(Z159:Z161)</f>
        <v/>
      </c>
      <c r="AA158" s="568">
        <f>SUM(AA159:AA161)</f>
        <v/>
      </c>
      <c r="AB158" s="103">
        <f>(Z158-AA158)/AA158</f>
        <v/>
      </c>
      <c r="AC158" s="82">
        <f>W158/Z158</f>
        <v/>
      </c>
      <c r="AD158" s="82">
        <f>X158/AA158</f>
        <v/>
      </c>
      <c r="AE158" s="103">
        <f>(AC158-AD158)/AD158</f>
        <v/>
      </c>
    </row>
    <row customHeight="1" ht="15.75" r="159" s="452" spans="1:32">
      <c r="A159" s="279" t="n"/>
      <c r="B159" s="279" t="n"/>
      <c r="C159" s="280" t="n"/>
      <c r="D159" s="280" t="n"/>
      <c r="E159" s="535" t="n"/>
      <c r="F159" s="535" t="n"/>
      <c r="G159" s="404" t="n"/>
      <c r="H159" s="535" t="n"/>
      <c r="I159" s="535" t="n"/>
      <c r="J159" s="404" t="n"/>
      <c r="K159" s="536" t="n"/>
      <c r="L159" s="535" t="n"/>
      <c r="M159" s="404" t="n"/>
      <c r="N159" s="537" t="n"/>
      <c r="O159" s="537" t="n"/>
      <c r="P159" s="404" t="n"/>
      <c r="Q159" s="537" t="n"/>
      <c r="R159" s="537" t="n"/>
      <c r="S159" s="404" t="n"/>
      <c r="T159" s="535" t="n"/>
      <c r="U159" s="537" t="n"/>
      <c r="V159" s="404" t="n"/>
      <c r="W159" s="537" t="n"/>
      <c r="X159" s="537" t="n"/>
      <c r="Y159" s="404" t="n"/>
      <c r="Z159" s="537" t="n"/>
      <c r="AA159" s="537" t="n"/>
      <c r="AB159" s="404" t="n"/>
      <c r="AC159" s="286" t="n"/>
      <c r="AD159" s="286" t="n"/>
      <c r="AE159" s="404" t="n"/>
    </row>
    <row customHeight="1" ht="15.75" r="160" s="452" spans="1:32">
      <c r="A160" s="279" t="n"/>
      <c r="B160" s="279" t="n"/>
      <c r="C160" s="280" t="n"/>
      <c r="D160" s="280" t="n"/>
      <c r="E160" s="535" t="n"/>
      <c r="F160" s="535" t="n"/>
      <c r="G160" s="404" t="n"/>
      <c r="H160" s="535" t="n"/>
      <c r="I160" s="535" t="n"/>
      <c r="J160" s="404" t="n"/>
      <c r="K160" s="536" t="n"/>
      <c r="L160" s="535" t="n"/>
      <c r="M160" s="404" t="n"/>
      <c r="N160" s="537" t="n"/>
      <c r="O160" s="537" t="n"/>
      <c r="P160" s="404" t="n"/>
      <c r="Q160" s="537" t="n"/>
      <c r="R160" s="537" t="n"/>
      <c r="S160" s="404" t="n"/>
      <c r="T160" s="535" t="n"/>
      <c r="U160" s="537" t="n"/>
      <c r="V160" s="404" t="n"/>
      <c r="W160" s="537" t="n"/>
      <c r="X160" s="537" t="n"/>
      <c r="Y160" s="404" t="n"/>
      <c r="Z160" s="537" t="n"/>
      <c r="AA160" s="537" t="n"/>
      <c r="AB160" s="404" t="n"/>
      <c r="AC160" s="286" t="n"/>
      <c r="AD160" s="286" t="n"/>
      <c r="AE160" s="404" t="n"/>
    </row>
    <row customFormat="1" customHeight="1" ht="15.75" r="161" s="357" spans="1:32">
      <c r="A161" s="347" t="n"/>
      <c r="B161" s="347" t="n"/>
      <c r="C161" s="348" t="n"/>
      <c r="D161" s="349" t="s">
        <v>177</v>
      </c>
      <c r="E161" s="612" t="n">
        <v>0</v>
      </c>
      <c r="F161" s="612" t="n"/>
      <c r="G161" s="405" t="n"/>
      <c r="H161" s="612" t="n">
        <v>0</v>
      </c>
      <c r="I161" s="612" t="n"/>
      <c r="J161" s="405" t="n"/>
      <c r="K161" s="613" t="n"/>
      <c r="L161" s="612" t="n"/>
      <c r="M161" s="405" t="n"/>
      <c r="N161" s="614" t="n">
        <v>1</v>
      </c>
      <c r="O161" s="614" t="n">
        <v>15</v>
      </c>
      <c r="P161" s="405" t="n"/>
      <c r="Q161" s="614" t="n">
        <v>0</v>
      </c>
      <c r="R161" s="614" t="n"/>
      <c r="S161" s="405" t="n"/>
      <c r="T161" s="612" t="n"/>
      <c r="U161" s="614" t="n"/>
      <c r="V161" s="405" t="n"/>
      <c r="W161" s="614" t="n">
        <v>0</v>
      </c>
      <c r="X161" s="614" t="n"/>
      <c r="Y161" s="405" t="n"/>
      <c r="Z161" s="614" t="n">
        <v>0</v>
      </c>
      <c r="AA161" s="614" t="n"/>
      <c r="AB161" s="405" t="n"/>
      <c r="AC161" s="356" t="n"/>
      <c r="AD161" s="356" t="n"/>
      <c r="AE161" s="405" t="n"/>
    </row>
    <row customHeight="1" ht="15.75" r="162" s="452" spans="1:32">
      <c r="A162" s="49" t="s">
        <v>50</v>
      </c>
      <c r="B162" s="49" t="s">
        <v>125</v>
      </c>
      <c r="C162" s="50">
        <f>C158+7</f>
        <v/>
      </c>
      <c r="D162" s="403" t="s">
        <v>60</v>
      </c>
      <c r="E162" s="566">
        <f>SUM(E163:E165)</f>
        <v/>
      </c>
      <c r="F162" s="566">
        <f>SUM(F163:F165)</f>
        <v/>
      </c>
      <c r="G162" s="103">
        <f>(E162-F162)/F162</f>
        <v/>
      </c>
      <c r="H162" s="566">
        <f>SUM(H163:H165)</f>
        <v/>
      </c>
      <c r="I162" s="566">
        <f>SUM(I163:I165)</f>
        <v/>
      </c>
      <c r="J162" s="103">
        <f>(H162-I162)/I162</f>
        <v/>
      </c>
      <c r="K162" s="567">
        <f>E162/H162</f>
        <v/>
      </c>
      <c r="L162" s="566">
        <f>F162/I162</f>
        <v/>
      </c>
      <c r="M162" s="103">
        <f>(K162-L162)/L162</f>
        <v/>
      </c>
      <c r="N162" s="568">
        <f>SUM(N163:N165)</f>
        <v/>
      </c>
      <c r="O162" s="568">
        <f>SUM(O163:O165)</f>
        <v/>
      </c>
      <c r="P162" s="103">
        <f>(N162-O162)/O162</f>
        <v/>
      </c>
      <c r="Q162" s="568">
        <f>SUM(Q163:Q165)</f>
        <v/>
      </c>
      <c r="R162" s="568">
        <f>SUM(R163:R165)</f>
        <v/>
      </c>
      <c r="S162" s="103">
        <f>(Q162-R162)/R162</f>
        <v/>
      </c>
      <c r="T162" s="568">
        <f>E162/Q162</f>
        <v/>
      </c>
      <c r="U162" s="568">
        <f>F162/R162</f>
        <v/>
      </c>
      <c r="V162" s="103">
        <f>(T162-U162)/U162</f>
        <v/>
      </c>
      <c r="W162" s="568">
        <f>SUM(W163:W165)</f>
        <v/>
      </c>
      <c r="X162" s="568">
        <f>SUM(X163:X165)</f>
        <v/>
      </c>
      <c r="Y162" s="103">
        <f>(W162-X162)/X162</f>
        <v/>
      </c>
      <c r="Z162" s="568">
        <f>SUM(Z163:Z165)</f>
        <v/>
      </c>
      <c r="AA162" s="568">
        <f>SUM(AA163:AA165)</f>
        <v/>
      </c>
      <c r="AB162" s="103">
        <f>(Z162-AA162)/AA162</f>
        <v/>
      </c>
      <c r="AC162" s="82">
        <f>W162/Z162</f>
        <v/>
      </c>
      <c r="AD162" s="82">
        <f>X162/AA162</f>
        <v/>
      </c>
      <c r="AE162" s="103">
        <f>(AC162-AD162)/AD162</f>
        <v/>
      </c>
    </row>
    <row customHeight="1" ht="15.75" r="163" s="452" spans="1:32">
      <c r="A163" s="279" t="n"/>
      <c r="B163" s="279" t="n"/>
      <c r="C163" s="280" t="n"/>
      <c r="D163" s="280" t="n"/>
      <c r="E163" s="535" t="n"/>
      <c r="F163" s="535" t="n"/>
      <c r="G163" s="404" t="n"/>
      <c r="H163" s="535" t="n"/>
      <c r="I163" s="535" t="n"/>
      <c r="J163" s="404" t="n"/>
      <c r="K163" s="536" t="n"/>
      <c r="L163" s="535" t="n"/>
      <c r="M163" s="404" t="n"/>
      <c r="N163" s="537" t="n"/>
      <c r="O163" s="537" t="n"/>
      <c r="P163" s="404" t="n"/>
      <c r="Q163" s="537" t="n"/>
      <c r="R163" s="537" t="n"/>
      <c r="S163" s="404" t="n"/>
      <c r="T163" s="535" t="n"/>
      <c r="U163" s="537" t="n"/>
      <c r="V163" s="404" t="n"/>
      <c r="W163" s="537" t="n"/>
      <c r="X163" s="537" t="n"/>
      <c r="Y163" s="404" t="n"/>
      <c r="Z163" s="537" t="n"/>
      <c r="AA163" s="537" t="n"/>
      <c r="AB163" s="404" t="n"/>
      <c r="AC163" s="286" t="n"/>
      <c r="AD163" s="286" t="n"/>
      <c r="AE163" s="404" t="n"/>
    </row>
    <row customHeight="1" ht="15.75" r="164" s="452" spans="1:32">
      <c r="A164" s="279" t="n"/>
      <c r="B164" s="279" t="n"/>
      <c r="C164" s="280" t="n"/>
      <c r="D164" s="280" t="n"/>
      <c r="E164" s="535" t="n"/>
      <c r="F164" s="535" t="n"/>
      <c r="G164" s="404" t="n"/>
      <c r="H164" s="535" t="n"/>
      <c r="I164" s="535" t="n"/>
      <c r="J164" s="404" t="n"/>
      <c r="K164" s="536" t="n"/>
      <c r="L164" s="535" t="n"/>
      <c r="M164" s="404" t="n"/>
      <c r="N164" s="537" t="n"/>
      <c r="O164" s="537" t="n"/>
      <c r="P164" s="404" t="n"/>
      <c r="Q164" s="537" t="n"/>
      <c r="R164" s="537" t="n"/>
      <c r="S164" s="404" t="n"/>
      <c r="T164" s="535" t="n"/>
      <c r="U164" s="537" t="n"/>
      <c r="V164" s="404" t="n"/>
      <c r="W164" s="537" t="n"/>
      <c r="X164" s="537" t="n"/>
      <c r="Y164" s="404" t="n"/>
      <c r="Z164" s="537" t="n"/>
      <c r="AA164" s="537" t="n"/>
      <c r="AB164" s="404" t="n"/>
      <c r="AC164" s="286" t="n"/>
      <c r="AD164" s="286" t="n"/>
      <c r="AE164" s="404" t="n"/>
    </row>
    <row customHeight="1" ht="15.75" r="165" s="452" spans="1:32">
      <c r="A165" s="279" t="n"/>
      <c r="B165" s="279" t="n"/>
      <c r="C165" s="280" t="n"/>
      <c r="D165" s="297" t="s">
        <v>177</v>
      </c>
      <c r="E165" s="535" t="n"/>
      <c r="F165" s="535" t="n"/>
      <c r="G165" s="404" t="n"/>
      <c r="H165" s="535" t="n"/>
      <c r="I165" s="535" t="n"/>
      <c r="J165" s="404" t="n"/>
      <c r="K165" s="536" t="n"/>
      <c r="L165" s="535" t="n"/>
      <c r="M165" s="404" t="n"/>
      <c r="N165" s="537" t="n"/>
      <c r="O165" s="537" t="n">
        <v>11</v>
      </c>
      <c r="P165" s="404" t="n"/>
      <c r="Q165" s="537" t="n"/>
      <c r="R165" s="537" t="n"/>
      <c r="S165" s="404" t="n"/>
      <c r="T165" s="535" t="n"/>
      <c r="U165" s="537" t="n"/>
      <c r="V165" s="404" t="n"/>
      <c r="W165" s="537" t="n"/>
      <c r="X165" s="537" t="n"/>
      <c r="Y165" s="404" t="n"/>
      <c r="Z165" s="537" t="n"/>
      <c r="AA165" s="537" t="n"/>
      <c r="AB165" s="404" t="n"/>
      <c r="AC165" s="286" t="n"/>
      <c r="AD165" s="286" t="n"/>
      <c r="AE165" s="404" t="n"/>
    </row>
    <row customHeight="1" ht="15.75" r="166" s="452" spans="1:32">
      <c r="A166" s="49" t="s">
        <v>50</v>
      </c>
      <c r="B166" s="49" t="s">
        <v>126</v>
      </c>
      <c r="C166" s="50">
        <f>C162+7</f>
        <v/>
      </c>
      <c r="D166" s="403" t="s">
        <v>60</v>
      </c>
      <c r="E166" s="566">
        <f>SUM(E167:E169)</f>
        <v/>
      </c>
      <c r="F166" s="566">
        <f>SUM(F167:F169)</f>
        <v/>
      </c>
      <c r="G166" s="103">
        <f>(E166-F166)/F166</f>
        <v/>
      </c>
      <c r="H166" s="566">
        <f>SUM(H167:H169)</f>
        <v/>
      </c>
      <c r="I166" s="566">
        <f>SUM(I167:I169)</f>
        <v/>
      </c>
      <c r="J166" s="103">
        <f>(H166-I166)/I166</f>
        <v/>
      </c>
      <c r="K166" s="567">
        <f>E166/H166</f>
        <v/>
      </c>
      <c r="L166" s="566">
        <f>F166/I166</f>
        <v/>
      </c>
      <c r="M166" s="103">
        <f>(K166-L166)/L166</f>
        <v/>
      </c>
      <c r="N166" s="568">
        <f>SUM(N167:N169)</f>
        <v/>
      </c>
      <c r="O166" s="568">
        <f>SUM(O167:O169)</f>
        <v/>
      </c>
      <c r="P166" s="103">
        <f>(N166-O166)/O166</f>
        <v/>
      </c>
      <c r="Q166" s="568">
        <f>SUM(Q167:Q169)</f>
        <v/>
      </c>
      <c r="R166" s="568">
        <f>SUM(R167:R169)</f>
        <v/>
      </c>
      <c r="S166" s="103">
        <f>(Q166-R166)/R166</f>
        <v/>
      </c>
      <c r="T166" s="568">
        <f>E166/Q166</f>
        <v/>
      </c>
      <c r="U166" s="568">
        <f>F166/R166</f>
        <v/>
      </c>
      <c r="V166" s="103">
        <f>(T166-U166)/U166</f>
        <v/>
      </c>
      <c r="W166" s="568">
        <f>SUM(W167:W169)</f>
        <v/>
      </c>
      <c r="X166" s="568">
        <f>SUM(X167:X169)</f>
        <v/>
      </c>
      <c r="Y166" s="103">
        <f>(W166-X166)/X166</f>
        <v/>
      </c>
      <c r="Z166" s="568">
        <f>SUM(Z167:Z169)</f>
        <v/>
      </c>
      <c r="AA166" s="568">
        <f>SUM(AA167:AA169)</f>
        <v/>
      </c>
      <c r="AB166" s="103">
        <f>(Z166-AA166)/AA166</f>
        <v/>
      </c>
      <c r="AC166" s="82">
        <f>W166/Z166</f>
        <v/>
      </c>
      <c r="AD166" s="82">
        <f>X166/AA166</f>
        <v/>
      </c>
      <c r="AE166" s="103">
        <f>(AC166-AD166)/AD166</f>
        <v/>
      </c>
    </row>
    <row customHeight="1" ht="15.75" r="167" s="452" spans="1:32">
      <c r="A167" s="279" t="n"/>
      <c r="B167" s="279" t="n"/>
      <c r="C167" s="280" t="n"/>
      <c r="D167" s="280" t="n"/>
      <c r="E167" s="535" t="n"/>
      <c r="F167" s="535" t="n"/>
      <c r="G167" s="404" t="n"/>
      <c r="H167" s="535" t="n"/>
      <c r="I167" s="535" t="n"/>
      <c r="J167" s="404" t="n"/>
      <c r="K167" s="536" t="n"/>
      <c r="L167" s="535" t="n"/>
      <c r="M167" s="404" t="n"/>
      <c r="N167" s="537" t="n"/>
      <c r="O167" s="537" t="n"/>
      <c r="P167" s="404" t="n"/>
      <c r="Q167" s="537" t="n"/>
      <c r="R167" s="537" t="n"/>
      <c r="S167" s="404" t="n"/>
      <c r="T167" s="535" t="n"/>
      <c r="U167" s="537" t="n"/>
      <c r="V167" s="404" t="n"/>
      <c r="W167" s="537" t="n"/>
      <c r="X167" s="537" t="n"/>
      <c r="Y167" s="404" t="n"/>
      <c r="Z167" s="537" t="n"/>
      <c r="AA167" s="537" t="n"/>
      <c r="AB167" s="404" t="n"/>
      <c r="AC167" s="286" t="n"/>
      <c r="AD167" s="286" t="n"/>
      <c r="AE167" s="404" t="n"/>
    </row>
    <row customHeight="1" ht="15.75" r="168" s="452" spans="1:32">
      <c r="A168" s="279" t="n"/>
      <c r="B168" s="279" t="n"/>
      <c r="C168" s="280" t="n"/>
      <c r="D168" s="280" t="n"/>
      <c r="E168" s="535" t="n"/>
      <c r="F168" s="535" t="n"/>
      <c r="G168" s="404" t="n"/>
      <c r="H168" s="535" t="n"/>
      <c r="I168" s="535" t="n"/>
      <c r="J168" s="404" t="n"/>
      <c r="K168" s="536" t="n"/>
      <c r="L168" s="535" t="n"/>
      <c r="M168" s="404" t="n"/>
      <c r="N168" s="537" t="n"/>
      <c r="O168" s="537" t="n"/>
      <c r="P168" s="404" t="n"/>
      <c r="Q168" s="537" t="n"/>
      <c r="R168" s="537" t="n"/>
      <c r="S168" s="404" t="n"/>
      <c r="T168" s="535" t="n"/>
      <c r="U168" s="537" t="n"/>
      <c r="V168" s="404" t="n"/>
      <c r="W168" s="537" t="n"/>
      <c r="X168" s="537" t="n"/>
      <c r="Y168" s="404" t="n"/>
      <c r="Z168" s="537" t="n"/>
      <c r="AA168" s="537" t="n"/>
      <c r="AB168" s="404" t="n"/>
      <c r="AC168" s="286" t="n"/>
      <c r="AD168" s="286" t="n"/>
      <c r="AE168" s="404" t="n"/>
    </row>
    <row customHeight="1" ht="15.75" r="169" s="452" spans="1:32">
      <c r="A169" s="279" t="n"/>
      <c r="B169" s="279" t="n"/>
      <c r="C169" s="280" t="n"/>
      <c r="D169" s="297" t="s">
        <v>177</v>
      </c>
      <c r="E169" s="535" t="n"/>
      <c r="F169" s="535" t="n"/>
      <c r="G169" s="404" t="n"/>
      <c r="H169" s="535" t="n"/>
      <c r="I169" s="535" t="n"/>
      <c r="J169" s="404" t="n"/>
      <c r="K169" s="536" t="n"/>
      <c r="L169" s="535" t="n"/>
      <c r="M169" s="404" t="n"/>
      <c r="N169" s="537" t="n"/>
      <c r="O169" s="537" t="n">
        <v>8</v>
      </c>
      <c r="P169" s="404" t="n"/>
      <c r="Q169" s="537" t="n"/>
      <c r="R169" s="537" t="n"/>
      <c r="S169" s="404" t="n"/>
      <c r="T169" s="535" t="n"/>
      <c r="U169" s="537" t="n"/>
      <c r="V169" s="404" t="n"/>
      <c r="W169" s="537" t="n"/>
      <c r="X169" s="537" t="n"/>
      <c r="Y169" s="404" t="n"/>
      <c r="Z169" s="537" t="n"/>
      <c r="AA169" s="537" t="n"/>
      <c r="AB169" s="404" t="n"/>
      <c r="AC169" s="286" t="n"/>
      <c r="AD169" s="286" t="n"/>
      <c r="AE169" s="404" t="n"/>
    </row>
    <row customHeight="1" ht="15.75" r="170" s="452" spans="1:32">
      <c r="A170" s="49" t="s">
        <v>50</v>
      </c>
      <c r="B170" s="49" t="s">
        <v>127</v>
      </c>
      <c r="C170" s="50">
        <f>C166+7</f>
        <v/>
      </c>
      <c r="D170" s="403" t="s">
        <v>60</v>
      </c>
      <c r="E170" s="566">
        <f>SUM(E171:E173)</f>
        <v/>
      </c>
      <c r="F170" s="566">
        <f>SUM(F171:F173)</f>
        <v/>
      </c>
      <c r="G170" s="103">
        <f>(E170-F170)/F170</f>
        <v/>
      </c>
      <c r="H170" s="566">
        <f>SUM(H171:H173)</f>
        <v/>
      </c>
      <c r="I170" s="566">
        <f>SUM(I171:I173)</f>
        <v/>
      </c>
      <c r="J170" s="103">
        <f>(H170-I170)/I170</f>
        <v/>
      </c>
      <c r="K170" s="567">
        <f>E170/H170</f>
        <v/>
      </c>
      <c r="L170" s="566">
        <f>F170/I170</f>
        <v/>
      </c>
      <c r="M170" s="103">
        <f>(K170-L170)/L170</f>
        <v/>
      </c>
      <c r="N170" s="568">
        <f>SUM(N171:N173)</f>
        <v/>
      </c>
      <c r="O170" s="568">
        <f>SUM(O171:O173)</f>
        <v/>
      </c>
      <c r="P170" s="103">
        <f>(N170-O170)/O170</f>
        <v/>
      </c>
      <c r="Q170" s="568">
        <f>SUM(Q171:Q173)</f>
        <v/>
      </c>
      <c r="R170" s="568">
        <f>SUM(R171:R173)</f>
        <v/>
      </c>
      <c r="S170" s="103">
        <f>(Q170-R170)/R170</f>
        <v/>
      </c>
      <c r="T170" s="568">
        <f>E170/Q170</f>
        <v/>
      </c>
      <c r="U170" s="568">
        <f>F170/R170</f>
        <v/>
      </c>
      <c r="V170" s="103">
        <f>(T170-U170)/U170</f>
        <v/>
      </c>
      <c r="W170" s="568">
        <f>SUM(W171:W173)</f>
        <v/>
      </c>
      <c r="X170" s="568">
        <f>SUM(X171:X173)</f>
        <v/>
      </c>
      <c r="Y170" s="103">
        <f>(W170-X170)/X170</f>
        <v/>
      </c>
      <c r="Z170" s="568">
        <f>SUM(Z171:Z173)</f>
        <v/>
      </c>
      <c r="AA170" s="568">
        <f>SUM(AA171:AA173)</f>
        <v/>
      </c>
      <c r="AB170" s="103">
        <f>(Z170-AA170)/AA170</f>
        <v/>
      </c>
      <c r="AC170" s="82">
        <f>W170/Z170</f>
        <v/>
      </c>
      <c r="AD170" s="82">
        <f>X170/AA170</f>
        <v/>
      </c>
      <c r="AE170" s="103">
        <f>(AC170-AD170)/AD170</f>
        <v/>
      </c>
    </row>
    <row customHeight="1" ht="15.75" r="171" s="452" spans="1:32">
      <c r="A171" s="279" t="n"/>
      <c r="B171" s="279" t="n"/>
      <c r="C171" s="280" t="n"/>
      <c r="D171" s="280" t="n"/>
      <c r="E171" s="535" t="n"/>
      <c r="F171" s="535" t="n"/>
      <c r="G171" s="404" t="n"/>
      <c r="H171" s="535" t="n"/>
      <c r="I171" s="535" t="n"/>
      <c r="J171" s="404" t="n"/>
      <c r="K171" s="536" t="n"/>
      <c r="L171" s="535" t="n"/>
      <c r="M171" s="404" t="n"/>
      <c r="N171" s="537" t="n"/>
      <c r="O171" s="537" t="n"/>
      <c r="P171" s="404" t="n"/>
      <c r="Q171" s="537" t="n"/>
      <c r="R171" s="537" t="n"/>
      <c r="S171" s="404" t="n"/>
      <c r="T171" s="535" t="n"/>
      <c r="U171" s="537" t="n"/>
      <c r="V171" s="404" t="n"/>
      <c r="W171" s="537" t="n"/>
      <c r="X171" s="537" t="n"/>
      <c r="Y171" s="404" t="n"/>
      <c r="Z171" s="537" t="n"/>
      <c r="AA171" s="537" t="n"/>
      <c r="AB171" s="404" t="n"/>
      <c r="AC171" s="286" t="n"/>
      <c r="AD171" s="286" t="n"/>
      <c r="AE171" s="404" t="n"/>
    </row>
    <row customHeight="1" ht="15.75" r="172" s="452" spans="1:32">
      <c r="A172" s="279" t="n"/>
      <c r="B172" s="279" t="n"/>
      <c r="C172" s="280" t="n"/>
      <c r="D172" s="280" t="n"/>
      <c r="E172" s="535" t="n"/>
      <c r="F172" s="535" t="n"/>
      <c r="G172" s="404" t="n"/>
      <c r="H172" s="535" t="n"/>
      <c r="I172" s="535" t="n"/>
      <c r="J172" s="404" t="n"/>
      <c r="K172" s="536" t="n"/>
      <c r="L172" s="535" t="n"/>
      <c r="M172" s="404" t="n"/>
      <c r="N172" s="537" t="n"/>
      <c r="O172" s="537" t="n"/>
      <c r="P172" s="404" t="n"/>
      <c r="Q172" s="537" t="n"/>
      <c r="R172" s="537" t="n"/>
      <c r="S172" s="404" t="n"/>
      <c r="T172" s="535" t="n"/>
      <c r="U172" s="537" t="n"/>
      <c r="V172" s="404" t="n"/>
      <c r="W172" s="537" t="n"/>
      <c r="X172" s="537" t="n"/>
      <c r="Y172" s="404" t="n"/>
      <c r="Z172" s="537" t="n"/>
      <c r="AA172" s="537" t="n"/>
      <c r="AB172" s="404" t="n"/>
      <c r="AC172" s="286" t="n"/>
      <c r="AD172" s="286" t="n"/>
      <c r="AE172" s="404" t="n"/>
    </row>
    <row customHeight="1" ht="15.75" r="173" s="452" spans="1:32">
      <c r="A173" s="279" t="n"/>
      <c r="B173" s="279" t="n"/>
      <c r="C173" s="280" t="n"/>
      <c r="D173" s="297" t="s">
        <v>177</v>
      </c>
      <c r="E173" s="535" t="n"/>
      <c r="F173" s="535" t="n"/>
      <c r="G173" s="404" t="n"/>
      <c r="H173" s="535" t="n"/>
      <c r="I173" s="535" t="n"/>
      <c r="J173" s="404" t="n"/>
      <c r="K173" s="536" t="n"/>
      <c r="L173" s="535" t="n"/>
      <c r="M173" s="404" t="n"/>
      <c r="N173" s="537" t="n"/>
      <c r="O173" s="537" t="n">
        <v>8</v>
      </c>
      <c r="P173" s="404" t="n"/>
      <c r="Q173" s="537" t="n"/>
      <c r="R173" s="537" t="n"/>
      <c r="S173" s="404" t="n"/>
      <c r="T173" s="535" t="n"/>
      <c r="U173" s="537" t="n"/>
      <c r="V173" s="404" t="n"/>
      <c r="W173" s="537" t="n"/>
      <c r="X173" s="537" t="n"/>
      <c r="Y173" s="404" t="n"/>
      <c r="Z173" s="537" t="n"/>
      <c r="AA173" s="537" t="n"/>
      <c r="AB173" s="404" t="n"/>
      <c r="AC173" s="286" t="n"/>
      <c r="AD173" s="286" t="n"/>
      <c r="AE173" s="404" t="n"/>
    </row>
    <row customHeight="1" ht="15.75" r="174" s="452" spans="1:32">
      <c r="A174" s="49" t="s">
        <v>50</v>
      </c>
      <c r="B174" s="49" t="s">
        <v>128</v>
      </c>
      <c r="C174" s="50">
        <f>C170+7</f>
        <v/>
      </c>
      <c r="D174" s="403" t="s">
        <v>60</v>
      </c>
      <c r="E174" s="566">
        <f>SUM(E175:E177)</f>
        <v/>
      </c>
      <c r="F174" s="566">
        <f>SUM(F175:F177)</f>
        <v/>
      </c>
      <c r="G174" s="103">
        <f>(E174-F174)/F174</f>
        <v/>
      </c>
      <c r="H174" s="566">
        <f>SUM(H175:H177)</f>
        <v/>
      </c>
      <c r="I174" s="566">
        <f>SUM(I175:I177)</f>
        <v/>
      </c>
      <c r="J174" s="103">
        <f>(H174-I174)/I174</f>
        <v/>
      </c>
      <c r="K174" s="567">
        <f>E174/H174</f>
        <v/>
      </c>
      <c r="L174" s="566">
        <f>F174/I174</f>
        <v/>
      </c>
      <c r="M174" s="103">
        <f>(K174-L174)/L174</f>
        <v/>
      </c>
      <c r="N174" s="568">
        <f>SUM(N175:N177)</f>
        <v/>
      </c>
      <c r="O174" s="568">
        <f>SUM(O175:O177)</f>
        <v/>
      </c>
      <c r="P174" s="103">
        <f>(N174-O174)/O174</f>
        <v/>
      </c>
      <c r="Q174" s="568">
        <f>SUM(Q175:Q177)</f>
        <v/>
      </c>
      <c r="R174" s="568">
        <f>SUM(R175:R177)</f>
        <v/>
      </c>
      <c r="S174" s="103">
        <f>(Q174-R174)/R174</f>
        <v/>
      </c>
      <c r="T174" s="568">
        <f>E174/Q174</f>
        <v/>
      </c>
      <c r="U174" s="568">
        <f>F174/R174</f>
        <v/>
      </c>
      <c r="V174" s="103">
        <f>(T174-U174)/U174</f>
        <v/>
      </c>
      <c r="W174" s="568">
        <f>SUM(W175:W177)</f>
        <v/>
      </c>
      <c r="X174" s="568">
        <f>SUM(X175:X177)</f>
        <v/>
      </c>
      <c r="Y174" s="103">
        <f>(W174-X174)/X174</f>
        <v/>
      </c>
      <c r="Z174" s="568">
        <f>SUM(Z175:Z177)</f>
        <v/>
      </c>
      <c r="AA174" s="568">
        <f>SUM(AA175:AA177)</f>
        <v/>
      </c>
      <c r="AB174" s="103">
        <f>(Z174-AA174)/AA174</f>
        <v/>
      </c>
      <c r="AC174" s="82">
        <f>W174/Z174</f>
        <v/>
      </c>
      <c r="AD174" s="82">
        <f>X174/AA174</f>
        <v/>
      </c>
      <c r="AE174" s="103">
        <f>(AC174-AD174)/AD174</f>
        <v/>
      </c>
    </row>
    <row customHeight="1" ht="15.75" r="175" s="452" spans="1:32">
      <c r="A175" s="279" t="n"/>
      <c r="B175" s="279" t="n"/>
      <c r="C175" s="280" t="n"/>
      <c r="D175" s="280" t="n"/>
      <c r="E175" s="535" t="n"/>
      <c r="F175" s="535" t="n"/>
      <c r="G175" s="404" t="n"/>
      <c r="H175" s="535" t="n"/>
      <c r="I175" s="535" t="n"/>
      <c r="J175" s="404" t="n"/>
      <c r="K175" s="536" t="n"/>
      <c r="L175" s="535" t="n"/>
      <c r="M175" s="404" t="n"/>
      <c r="N175" s="537" t="n"/>
      <c r="O175" s="537" t="n"/>
      <c r="P175" s="404" t="n"/>
      <c r="Q175" s="537" t="n"/>
      <c r="R175" s="537" t="n"/>
      <c r="S175" s="404" t="n"/>
      <c r="T175" s="535" t="n"/>
      <c r="U175" s="537" t="n"/>
      <c r="V175" s="404" t="n"/>
      <c r="W175" s="537" t="n"/>
      <c r="X175" s="537" t="n"/>
      <c r="Y175" s="404" t="n"/>
      <c r="Z175" s="537" t="n"/>
      <c r="AA175" s="537" t="n"/>
      <c r="AB175" s="404" t="n"/>
      <c r="AC175" s="286" t="n"/>
      <c r="AD175" s="286" t="n"/>
      <c r="AE175" s="404" t="n"/>
    </row>
    <row customHeight="1" ht="15.75" r="176" s="452" spans="1:32">
      <c r="A176" s="279" t="n"/>
      <c r="B176" s="279" t="n"/>
      <c r="C176" s="280" t="n"/>
      <c r="D176" s="280" t="n"/>
      <c r="E176" s="535" t="n"/>
      <c r="F176" s="535" t="n"/>
      <c r="G176" s="404" t="n"/>
      <c r="H176" s="535" t="n"/>
      <c r="I176" s="535" t="n"/>
      <c r="J176" s="404" t="n"/>
      <c r="K176" s="536" t="n"/>
      <c r="L176" s="535" t="n"/>
      <c r="M176" s="404" t="n"/>
      <c r="N176" s="537" t="n"/>
      <c r="O176" s="537" t="n"/>
      <c r="P176" s="404" t="n"/>
      <c r="Q176" s="537" t="n"/>
      <c r="R176" s="537" t="n"/>
      <c r="S176" s="404" t="n"/>
      <c r="T176" s="535" t="n"/>
      <c r="U176" s="537" t="n"/>
      <c r="V176" s="404" t="n"/>
      <c r="W176" s="537" t="n"/>
      <c r="X176" s="537" t="n"/>
      <c r="Y176" s="404" t="n"/>
      <c r="Z176" s="537" t="n"/>
      <c r="AA176" s="537" t="n"/>
      <c r="AB176" s="404" t="n"/>
      <c r="AC176" s="286" t="n"/>
      <c r="AD176" s="286" t="n"/>
      <c r="AE176" s="404" t="n"/>
    </row>
    <row customFormat="1" customHeight="1" ht="15.75" r="177" s="357" spans="1:32">
      <c r="A177" s="347" t="n"/>
      <c r="B177" s="347" t="n"/>
      <c r="C177" s="348" t="n"/>
      <c r="D177" s="349" t="s">
        <v>177</v>
      </c>
      <c r="E177" s="612" t="n"/>
      <c r="F177" s="612" t="n"/>
      <c r="G177" s="405" t="n"/>
      <c r="H177" s="612" t="n"/>
      <c r="I177" s="612" t="n"/>
      <c r="J177" s="405" t="n"/>
      <c r="K177" s="613" t="n"/>
      <c r="L177" s="612" t="n"/>
      <c r="M177" s="405" t="n"/>
      <c r="N177" s="614" t="n"/>
      <c r="O177" s="614" t="n">
        <v>6</v>
      </c>
      <c r="P177" s="405" t="n"/>
      <c r="Q177" s="614" t="n"/>
      <c r="R177" s="614" t="n"/>
      <c r="S177" s="405" t="n"/>
      <c r="T177" s="612" t="n"/>
      <c r="U177" s="614" t="n"/>
      <c r="V177" s="405" t="n"/>
      <c r="W177" s="614" t="n"/>
      <c r="X177" s="614" t="n"/>
      <c r="Y177" s="405" t="n"/>
      <c r="Z177" s="614" t="n"/>
      <c r="AA177" s="614" t="n"/>
      <c r="AB177" s="405" t="n"/>
      <c r="AC177" s="356" t="n"/>
      <c r="AD177" s="356" t="n"/>
      <c r="AE177" s="405" t="n"/>
      <c r="AF177" s="357" t="n"/>
    </row>
    <row customHeight="1" ht="15.75" r="178" s="452" spans="1:32">
      <c r="A178" s="49" t="s">
        <v>51</v>
      </c>
      <c r="B178" s="49" t="s">
        <v>129</v>
      </c>
      <c r="C178" s="50">
        <f>C174+7</f>
        <v/>
      </c>
      <c r="D178" s="403" t="s">
        <v>60</v>
      </c>
      <c r="E178" s="566">
        <f>SUM(E179:E181)</f>
        <v/>
      </c>
      <c r="F178" s="566">
        <f>SUM(F179:F181)</f>
        <v/>
      </c>
      <c r="G178" s="103">
        <f>(E178-F178)/F178</f>
        <v/>
      </c>
      <c r="H178" s="566">
        <f>SUM(H179:H181)</f>
        <v/>
      </c>
      <c r="I178" s="566">
        <f>SUM(I179:I181)</f>
        <v/>
      </c>
      <c r="J178" s="103">
        <f>(H178-I178)/I178</f>
        <v/>
      </c>
      <c r="K178" s="567">
        <f>E178/H178</f>
        <v/>
      </c>
      <c r="L178" s="566">
        <f>F178/I178</f>
        <v/>
      </c>
      <c r="M178" s="103">
        <f>(K178-L178)/L178</f>
        <v/>
      </c>
      <c r="N178" s="568">
        <f>SUM(N179:N181)</f>
        <v/>
      </c>
      <c r="O178" s="568">
        <f>SUM(O179:O181)</f>
        <v/>
      </c>
      <c r="P178" s="103">
        <f>(N178-O178)/O178</f>
        <v/>
      </c>
      <c r="Q178" s="568">
        <f>SUM(Q179:Q181)</f>
        <v/>
      </c>
      <c r="R178" s="568">
        <f>SUM(R179:R181)</f>
        <v/>
      </c>
      <c r="S178" s="103">
        <f>(Q178-R178)/R178</f>
        <v/>
      </c>
      <c r="T178" s="568">
        <f>E178/Q178</f>
        <v/>
      </c>
      <c r="U178" s="568">
        <f>F178/R178</f>
        <v/>
      </c>
      <c r="V178" s="103">
        <f>(T178-U178)/U178</f>
        <v/>
      </c>
      <c r="W178" s="568">
        <f>SUM(W179:W181)</f>
        <v/>
      </c>
      <c r="X178" s="568">
        <f>SUM(X179:X181)</f>
        <v/>
      </c>
      <c r="Y178" s="103">
        <f>(W178-X178)/X178</f>
        <v/>
      </c>
      <c r="Z178" s="568">
        <f>SUM(Z179:Z181)</f>
        <v/>
      </c>
      <c r="AA178" s="568">
        <f>SUM(AA179:AA181)</f>
        <v/>
      </c>
      <c r="AB178" s="103">
        <f>(Z178-AA178)/AA178</f>
        <v/>
      </c>
      <c r="AC178" s="82">
        <f>W178/Z178</f>
        <v/>
      </c>
      <c r="AD178" s="82">
        <f>X178/AA178</f>
        <v/>
      </c>
      <c r="AE178" s="103">
        <f>(AC178-AD178)/AD178</f>
        <v/>
      </c>
    </row>
    <row customHeight="1" ht="15.75" r="179" s="452" spans="1:32">
      <c r="A179" s="279" t="n"/>
      <c r="B179" s="279" t="n"/>
      <c r="C179" s="280" t="n"/>
      <c r="D179" s="280" t="n"/>
      <c r="E179" s="535" t="n"/>
      <c r="F179" s="535" t="n"/>
      <c r="G179" s="404" t="n"/>
      <c r="H179" s="535" t="n"/>
      <c r="I179" s="535" t="n"/>
      <c r="J179" s="404" t="n"/>
      <c r="K179" s="536" t="n"/>
      <c r="L179" s="535" t="n"/>
      <c r="M179" s="404" t="n"/>
      <c r="N179" s="537" t="n"/>
      <c r="O179" s="537" t="n"/>
      <c r="P179" s="404" t="n"/>
      <c r="Q179" s="537" t="n"/>
      <c r="R179" s="537" t="n"/>
      <c r="S179" s="404" t="n"/>
      <c r="T179" s="535" t="n"/>
      <c r="U179" s="537" t="n"/>
      <c r="V179" s="404" t="n"/>
      <c r="W179" s="537" t="n"/>
      <c r="X179" s="537" t="n"/>
      <c r="Y179" s="404" t="n"/>
      <c r="Z179" s="537" t="n"/>
      <c r="AA179" s="537" t="n"/>
      <c r="AB179" s="404" t="n"/>
      <c r="AC179" s="286" t="n"/>
      <c r="AD179" s="286" t="n"/>
      <c r="AE179" s="404" t="n"/>
    </row>
    <row customHeight="1" ht="15.75" r="180" s="452" spans="1:32">
      <c r="A180" s="279" t="n"/>
      <c r="B180" s="279" t="n"/>
      <c r="C180" s="280" t="n"/>
      <c r="D180" s="280" t="n"/>
      <c r="E180" s="535" t="n"/>
      <c r="F180" s="535" t="n"/>
      <c r="G180" s="404" t="n"/>
      <c r="H180" s="535" t="n"/>
      <c r="I180" s="535" t="n"/>
      <c r="J180" s="404" t="n"/>
      <c r="K180" s="536" t="n"/>
      <c r="L180" s="535" t="n"/>
      <c r="M180" s="404" t="n"/>
      <c r="N180" s="537" t="n"/>
      <c r="O180" s="537" t="n"/>
      <c r="P180" s="404" t="n"/>
      <c r="Q180" s="537" t="n"/>
      <c r="R180" s="537" t="n"/>
      <c r="S180" s="404" t="n"/>
      <c r="T180" s="535" t="n"/>
      <c r="U180" s="537" t="n"/>
      <c r="V180" s="404" t="n"/>
      <c r="W180" s="537" t="n"/>
      <c r="X180" s="537" t="n"/>
      <c r="Y180" s="404" t="n"/>
      <c r="Z180" s="537" t="n"/>
      <c r="AA180" s="537" t="n"/>
      <c r="AB180" s="404" t="n"/>
      <c r="AC180" s="286" t="n"/>
      <c r="AD180" s="286" t="n"/>
      <c r="AE180" s="404" t="n"/>
    </row>
    <row customHeight="1" ht="15.75" r="181" s="452" spans="1:32">
      <c r="A181" s="279" t="n"/>
      <c r="B181" s="279" t="n"/>
      <c r="C181" s="280" t="n"/>
      <c r="D181" s="297" t="s">
        <v>177</v>
      </c>
      <c r="E181" s="535" t="n"/>
      <c r="F181" s="535" t="n"/>
      <c r="G181" s="404" t="n"/>
      <c r="H181" s="535" t="n"/>
      <c r="I181" s="535" t="n"/>
      <c r="J181" s="404" t="n"/>
      <c r="K181" s="536" t="n"/>
      <c r="L181" s="535" t="n"/>
      <c r="M181" s="404" t="n"/>
      <c r="N181" s="537" t="n"/>
      <c r="O181" s="537" t="n">
        <v>7</v>
      </c>
      <c r="P181" s="404" t="n"/>
      <c r="Q181" s="537" t="n"/>
      <c r="R181" s="537" t="n"/>
      <c r="S181" s="404" t="n"/>
      <c r="T181" s="535" t="n"/>
      <c r="U181" s="537" t="n"/>
      <c r="V181" s="404" t="n"/>
      <c r="W181" s="537" t="n"/>
      <c r="X181" s="537" t="n"/>
      <c r="Y181" s="404" t="n"/>
      <c r="Z181" s="537" t="n"/>
      <c r="AA181" s="537" t="n"/>
      <c r="AB181" s="404" t="n"/>
      <c r="AC181" s="286" t="n"/>
      <c r="AD181" s="286" t="n"/>
      <c r="AE181" s="404" t="n"/>
    </row>
    <row customHeight="1" ht="15.75" r="182" s="452" spans="1:32">
      <c r="A182" s="49" t="s">
        <v>51</v>
      </c>
      <c r="B182" s="49" t="s">
        <v>130</v>
      </c>
      <c r="C182" s="50">
        <f>C178+7</f>
        <v/>
      </c>
      <c r="D182" s="403" t="s">
        <v>60</v>
      </c>
      <c r="E182" s="566">
        <f>SUM(E183:E185)</f>
        <v/>
      </c>
      <c r="F182" s="566">
        <f>SUM(F183:F185)</f>
        <v/>
      </c>
      <c r="G182" s="103">
        <f>(E182-F182)/F182</f>
        <v/>
      </c>
      <c r="H182" s="566">
        <f>SUM(H183:H185)</f>
        <v/>
      </c>
      <c r="I182" s="566">
        <f>SUM(I183:I185)</f>
        <v/>
      </c>
      <c r="J182" s="103">
        <f>(H182-I182)/I182</f>
        <v/>
      </c>
      <c r="K182" s="567">
        <f>E182/H182</f>
        <v/>
      </c>
      <c r="L182" s="566">
        <f>F182/I182</f>
        <v/>
      </c>
      <c r="M182" s="103">
        <f>(K182-L182)/L182</f>
        <v/>
      </c>
      <c r="N182" s="568">
        <f>SUM(N183:N185)</f>
        <v/>
      </c>
      <c r="O182" s="568">
        <f>SUM(O183:O185)</f>
        <v/>
      </c>
      <c r="P182" s="103">
        <f>(N182-O182)/O182</f>
        <v/>
      </c>
      <c r="Q182" s="568">
        <f>SUM(Q183:Q185)</f>
        <v/>
      </c>
      <c r="R182" s="568">
        <f>SUM(R183:R185)</f>
        <v/>
      </c>
      <c r="S182" s="103">
        <f>(Q182-R182)/R182</f>
        <v/>
      </c>
      <c r="T182" s="568">
        <f>E182/Q182</f>
        <v/>
      </c>
      <c r="U182" s="568">
        <f>F182/R182</f>
        <v/>
      </c>
      <c r="V182" s="103">
        <f>(T182-U182)/U182</f>
        <v/>
      </c>
      <c r="W182" s="568">
        <f>SUM(W183:W185)</f>
        <v/>
      </c>
      <c r="X182" s="568">
        <f>SUM(X183:X185)</f>
        <v/>
      </c>
      <c r="Y182" s="103">
        <f>(W182-X182)/X182</f>
        <v/>
      </c>
      <c r="Z182" s="568">
        <f>SUM(Z183:Z185)</f>
        <v/>
      </c>
      <c r="AA182" s="568">
        <f>SUM(AA183:AA185)</f>
        <v/>
      </c>
      <c r="AB182" s="103">
        <f>(Z182-AA182)/AA182</f>
        <v/>
      </c>
      <c r="AC182" s="82">
        <f>W182/Z182</f>
        <v/>
      </c>
      <c r="AD182" s="82">
        <f>X182/AA182</f>
        <v/>
      </c>
      <c r="AE182" s="103">
        <f>(AC182-AD182)/AD182</f>
        <v/>
      </c>
    </row>
    <row customHeight="1" ht="15.75" r="183" s="452" spans="1:32">
      <c r="A183" s="279" t="n"/>
      <c r="B183" s="279" t="n"/>
      <c r="C183" s="280" t="n"/>
      <c r="D183" s="280" t="n"/>
      <c r="E183" s="535" t="n"/>
      <c r="F183" s="535" t="n"/>
      <c r="G183" s="404" t="n"/>
      <c r="H183" s="535" t="n"/>
      <c r="I183" s="535" t="n"/>
      <c r="J183" s="404" t="n"/>
      <c r="K183" s="536" t="n"/>
      <c r="L183" s="535" t="n"/>
      <c r="M183" s="404" t="n"/>
      <c r="N183" s="537" t="n"/>
      <c r="O183" s="537" t="n"/>
      <c r="P183" s="404" t="n"/>
      <c r="Q183" s="537" t="n"/>
      <c r="R183" s="537" t="n"/>
      <c r="S183" s="404" t="n"/>
      <c r="T183" s="535" t="n"/>
      <c r="U183" s="537" t="n"/>
      <c r="V183" s="404" t="n"/>
      <c r="W183" s="537" t="n"/>
      <c r="X183" s="537" t="n"/>
      <c r="Y183" s="404" t="n"/>
      <c r="Z183" s="537" t="n"/>
      <c r="AA183" s="537" t="n"/>
      <c r="AB183" s="404" t="n"/>
      <c r="AC183" s="286" t="n"/>
      <c r="AD183" s="286" t="n"/>
      <c r="AE183" s="404" t="n"/>
    </row>
    <row customHeight="1" ht="15.75" r="184" s="452" spans="1:32">
      <c r="A184" s="279" t="n"/>
      <c r="B184" s="279" t="n"/>
      <c r="C184" s="280" t="n"/>
      <c r="D184" s="280" t="n"/>
      <c r="E184" s="535" t="n"/>
      <c r="F184" s="535" t="n"/>
      <c r="G184" s="404" t="n"/>
      <c r="H184" s="535" t="n"/>
      <c r="I184" s="535" t="n"/>
      <c r="J184" s="404" t="n"/>
      <c r="K184" s="536" t="n"/>
      <c r="L184" s="535" t="n"/>
      <c r="M184" s="404" t="n"/>
      <c r="N184" s="537" t="n"/>
      <c r="O184" s="537" t="n"/>
      <c r="P184" s="404" t="n"/>
      <c r="Q184" s="537" t="n"/>
      <c r="R184" s="537" t="n"/>
      <c r="S184" s="404" t="n"/>
      <c r="T184" s="535" t="n"/>
      <c r="U184" s="537" t="n"/>
      <c r="V184" s="404" t="n"/>
      <c r="W184" s="537" t="n"/>
      <c r="X184" s="537" t="n"/>
      <c r="Y184" s="404" t="n"/>
      <c r="Z184" s="537" t="n"/>
      <c r="AA184" s="537" t="n"/>
      <c r="AB184" s="404" t="n"/>
      <c r="AC184" s="286" t="n"/>
      <c r="AD184" s="286" t="n"/>
      <c r="AE184" s="404" t="n"/>
    </row>
    <row customHeight="1" ht="15.75" r="185" s="452" spans="1:32">
      <c r="A185" s="279" t="n"/>
      <c r="B185" s="279" t="n"/>
      <c r="C185" s="280" t="n"/>
      <c r="D185" s="297" t="s">
        <v>177</v>
      </c>
      <c r="E185" s="535" t="n"/>
      <c r="F185" s="535" t="n"/>
      <c r="G185" s="404" t="n"/>
      <c r="H185" s="535" t="n"/>
      <c r="I185" s="535" t="n"/>
      <c r="J185" s="404" t="n"/>
      <c r="K185" s="536" t="n"/>
      <c r="L185" s="535" t="n"/>
      <c r="M185" s="404" t="n"/>
      <c r="N185" s="537" t="n"/>
      <c r="O185" s="537" t="n">
        <v>6</v>
      </c>
      <c r="P185" s="404" t="n"/>
      <c r="Q185" s="537" t="n"/>
      <c r="R185" s="537" t="n"/>
      <c r="S185" s="404" t="n"/>
      <c r="T185" s="535" t="n"/>
      <c r="U185" s="537" t="n"/>
      <c r="V185" s="404" t="n"/>
      <c r="W185" s="537" t="n"/>
      <c r="X185" s="537" t="n"/>
      <c r="Y185" s="404" t="n"/>
      <c r="Z185" s="537" t="n"/>
      <c r="AA185" s="537" t="n"/>
      <c r="AB185" s="404" t="n"/>
      <c r="AC185" s="286" t="n"/>
      <c r="AD185" s="286" t="n"/>
      <c r="AE185" s="404" t="n"/>
    </row>
    <row customHeight="1" ht="15.75" r="186" s="452" spans="1:32">
      <c r="A186" s="49" t="s">
        <v>51</v>
      </c>
      <c r="B186" s="49" t="s">
        <v>131</v>
      </c>
      <c r="C186" s="50">
        <f>C182+7</f>
        <v/>
      </c>
      <c r="D186" s="403" t="s">
        <v>60</v>
      </c>
      <c r="E186" s="566">
        <f>SUM(E187:E189)</f>
        <v/>
      </c>
      <c r="F186" s="566">
        <f>SUM(F187:F189)</f>
        <v/>
      </c>
      <c r="G186" s="103">
        <f>(E186-F186)/F186</f>
        <v/>
      </c>
      <c r="H186" s="566">
        <f>SUM(H187:H189)</f>
        <v/>
      </c>
      <c r="I186" s="566">
        <f>SUM(I187:I189)</f>
        <v/>
      </c>
      <c r="J186" s="103">
        <f>(H186-I186)/I186</f>
        <v/>
      </c>
      <c r="K186" s="567">
        <f>E186/H186</f>
        <v/>
      </c>
      <c r="L186" s="566">
        <f>F186/I186</f>
        <v/>
      </c>
      <c r="M186" s="103">
        <f>(K186-L186)/L186</f>
        <v/>
      </c>
      <c r="N186" s="568">
        <f>SUM(N187:N189)</f>
        <v/>
      </c>
      <c r="O186" s="568">
        <f>SUM(O187:O189)</f>
        <v/>
      </c>
      <c r="P186" s="103">
        <f>(N186-O186)/O186</f>
        <v/>
      </c>
      <c r="Q186" s="568">
        <f>SUM(Q187:Q189)</f>
        <v/>
      </c>
      <c r="R186" s="568">
        <f>SUM(R187:R189)</f>
        <v/>
      </c>
      <c r="S186" s="103">
        <f>(Q186-R186)/R186</f>
        <v/>
      </c>
      <c r="T186" s="568">
        <f>E186/Q186</f>
        <v/>
      </c>
      <c r="U186" s="568">
        <f>F186/R186</f>
        <v/>
      </c>
      <c r="V186" s="103">
        <f>(T186-U186)/U186</f>
        <v/>
      </c>
      <c r="W186" s="568">
        <f>SUM(W187:W189)</f>
        <v/>
      </c>
      <c r="X186" s="568">
        <f>SUM(X187:X189)</f>
        <v/>
      </c>
      <c r="Y186" s="103">
        <f>(W186-X186)/X186</f>
        <v/>
      </c>
      <c r="Z186" s="568">
        <f>SUM(Z187:Z189)</f>
        <v/>
      </c>
      <c r="AA186" s="568">
        <f>SUM(AA187:AA189)</f>
        <v/>
      </c>
      <c r="AB186" s="103">
        <f>(Z186-AA186)/AA186</f>
        <v/>
      </c>
      <c r="AC186" s="82">
        <f>W186/Z186</f>
        <v/>
      </c>
      <c r="AD186" s="82">
        <f>X186/AA186</f>
        <v/>
      </c>
      <c r="AE186" s="103">
        <f>(AC186-AD186)/AD186</f>
        <v/>
      </c>
    </row>
    <row customHeight="1" ht="15.75" r="187" s="452" spans="1:32">
      <c r="A187" s="279" t="n"/>
      <c r="B187" s="279" t="n"/>
      <c r="C187" s="280" t="n"/>
      <c r="D187" s="280" t="n"/>
      <c r="E187" s="535" t="n"/>
      <c r="F187" s="535" t="n"/>
      <c r="G187" s="404" t="n"/>
      <c r="H187" s="535" t="n"/>
      <c r="I187" s="535" t="n"/>
      <c r="J187" s="404" t="n"/>
      <c r="K187" s="536" t="n"/>
      <c r="L187" s="535" t="n"/>
      <c r="M187" s="404" t="n"/>
      <c r="N187" s="537" t="n"/>
      <c r="O187" s="537" t="n"/>
      <c r="P187" s="404" t="n"/>
      <c r="Q187" s="537" t="n"/>
      <c r="R187" s="537" t="n"/>
      <c r="S187" s="404" t="n"/>
      <c r="T187" s="535" t="n"/>
      <c r="U187" s="537" t="n"/>
      <c r="V187" s="404" t="n"/>
      <c r="W187" s="537" t="n"/>
      <c r="X187" s="537" t="n"/>
      <c r="Y187" s="404" t="n"/>
      <c r="Z187" s="537" t="n"/>
      <c r="AA187" s="537" t="n"/>
      <c r="AB187" s="404" t="n"/>
      <c r="AC187" s="286" t="n"/>
      <c r="AD187" s="286" t="n"/>
      <c r="AE187" s="404" t="n"/>
    </row>
    <row customHeight="1" ht="15.75" r="188" s="452" spans="1:32">
      <c r="A188" s="279" t="n"/>
      <c r="B188" s="279" t="n"/>
      <c r="C188" s="280" t="n"/>
      <c r="D188" s="280" t="n"/>
      <c r="E188" s="535" t="n"/>
      <c r="F188" s="535" t="n"/>
      <c r="G188" s="404" t="n"/>
      <c r="H188" s="535" t="n"/>
      <c r="I188" s="535" t="n"/>
      <c r="J188" s="404" t="n"/>
      <c r="K188" s="536" t="n"/>
      <c r="L188" s="535" t="n"/>
      <c r="M188" s="404" t="n"/>
      <c r="N188" s="537" t="n"/>
      <c r="O188" s="537" t="n"/>
      <c r="P188" s="404" t="n"/>
      <c r="Q188" s="537" t="n"/>
      <c r="R188" s="537" t="n"/>
      <c r="S188" s="404" t="n"/>
      <c r="T188" s="535" t="n"/>
      <c r="U188" s="537" t="n"/>
      <c r="V188" s="404" t="n"/>
      <c r="W188" s="537" t="n"/>
      <c r="X188" s="537" t="n"/>
      <c r="Y188" s="404" t="n"/>
      <c r="Z188" s="537" t="n"/>
      <c r="AA188" s="537" t="n"/>
      <c r="AB188" s="404" t="n"/>
      <c r="AC188" s="286" t="n"/>
      <c r="AD188" s="286" t="n"/>
      <c r="AE188" s="404" t="n"/>
    </row>
    <row customHeight="1" ht="15.75" r="189" s="452" spans="1:32">
      <c r="A189" s="279" t="n"/>
      <c r="B189" s="279" t="n"/>
      <c r="C189" s="280" t="n"/>
      <c r="D189" s="297" t="s">
        <v>177</v>
      </c>
      <c r="E189" s="535" t="n"/>
      <c r="F189" s="535" t="n"/>
      <c r="G189" s="404" t="n"/>
      <c r="H189" s="535" t="n"/>
      <c r="I189" s="535" t="n"/>
      <c r="J189" s="404" t="n"/>
      <c r="K189" s="536" t="n"/>
      <c r="L189" s="535" t="n"/>
      <c r="M189" s="404" t="n"/>
      <c r="N189" s="537" t="n"/>
      <c r="O189" s="537" t="n">
        <v>1</v>
      </c>
      <c r="P189" s="404" t="n"/>
      <c r="Q189" s="537" t="n"/>
      <c r="R189" s="537" t="n"/>
      <c r="S189" s="404" t="n"/>
      <c r="T189" s="535" t="n"/>
      <c r="U189" s="537" t="n"/>
      <c r="V189" s="404" t="n"/>
      <c r="W189" s="537" t="n"/>
      <c r="X189" s="537" t="n"/>
      <c r="Y189" s="404" t="n"/>
      <c r="Z189" s="537" t="n"/>
      <c r="AA189" s="537" t="n"/>
      <c r="AB189" s="404" t="n"/>
      <c r="AC189" s="286" t="n"/>
      <c r="AD189" s="286" t="n"/>
      <c r="AE189" s="404" t="n"/>
    </row>
    <row customHeight="1" ht="15.75" r="190" s="452" spans="1:32">
      <c r="A190" s="49" t="s">
        <v>51</v>
      </c>
      <c r="B190" s="49" t="s">
        <v>53</v>
      </c>
      <c r="C190" s="50">
        <f>C186+7</f>
        <v/>
      </c>
      <c r="D190" s="403" t="s">
        <v>60</v>
      </c>
      <c r="E190" s="566">
        <f>SUM(E191:E193)</f>
        <v/>
      </c>
      <c r="F190" s="566">
        <f>SUM(F191:F193)</f>
        <v/>
      </c>
      <c r="G190" s="103">
        <f>(E190-F190)/F190</f>
        <v/>
      </c>
      <c r="H190" s="566">
        <f>SUM(H191:H193)</f>
        <v/>
      </c>
      <c r="I190" s="566">
        <f>SUM(I191:I193)</f>
        <v/>
      </c>
      <c r="J190" s="103">
        <f>(H190-I190)/I190</f>
        <v/>
      </c>
      <c r="K190" s="567">
        <f>E190/H190</f>
        <v/>
      </c>
      <c r="L190" s="566">
        <f>F190/I190</f>
        <v/>
      </c>
      <c r="M190" s="103">
        <f>(K190-L190)/L190</f>
        <v/>
      </c>
      <c r="N190" s="568">
        <f>SUM(N191:N193)</f>
        <v/>
      </c>
      <c r="O190" s="568">
        <f>SUM(O191:O193)</f>
        <v/>
      </c>
      <c r="P190" s="103">
        <f>(N190-O190)/O190</f>
        <v/>
      </c>
      <c r="Q190" s="568">
        <f>SUM(Q191:Q193)</f>
        <v/>
      </c>
      <c r="R190" s="568">
        <f>SUM(R191:R193)</f>
        <v/>
      </c>
      <c r="S190" s="103">
        <f>(Q190-R190)/R190</f>
        <v/>
      </c>
      <c r="T190" s="568">
        <f>E190/Q190</f>
        <v/>
      </c>
      <c r="U190" s="568">
        <f>F190/R190</f>
        <v/>
      </c>
      <c r="V190" s="103">
        <f>(T190-U190)/U190</f>
        <v/>
      </c>
      <c r="W190" s="568">
        <f>SUM(W191:W193)</f>
        <v/>
      </c>
      <c r="X190" s="568">
        <f>SUM(X191:X193)</f>
        <v/>
      </c>
      <c r="Y190" s="103">
        <f>(W190-X190)/X190</f>
        <v/>
      </c>
      <c r="Z190" s="568">
        <f>SUM(Z191:Z193)</f>
        <v/>
      </c>
      <c r="AA190" s="568">
        <f>SUM(AA191:AA193)</f>
        <v/>
      </c>
      <c r="AB190" s="103">
        <f>(Z190-AA190)/AA190</f>
        <v/>
      </c>
      <c r="AC190" s="82">
        <f>W190/Z190</f>
        <v/>
      </c>
      <c r="AD190" s="82">
        <f>X190/AA190</f>
        <v/>
      </c>
      <c r="AE190" s="103">
        <f>(AC190-AD190)/AD190</f>
        <v/>
      </c>
    </row>
    <row customHeight="1" ht="15.75" r="191" s="452" spans="1:32">
      <c r="A191" s="279" t="n"/>
      <c r="B191" s="279" t="n"/>
      <c r="C191" s="280" t="n"/>
      <c r="D191" s="280" t="n"/>
      <c r="E191" s="535" t="n"/>
      <c r="F191" s="535" t="n"/>
      <c r="G191" s="404" t="n"/>
      <c r="H191" s="535" t="n"/>
      <c r="I191" s="535" t="n"/>
      <c r="J191" s="404" t="n"/>
      <c r="K191" s="536" t="n"/>
      <c r="L191" s="535" t="n"/>
      <c r="M191" s="404" t="n"/>
      <c r="N191" s="537" t="n"/>
      <c r="O191" s="537" t="n"/>
      <c r="P191" s="404" t="n"/>
      <c r="Q191" s="537" t="n"/>
      <c r="R191" s="537" t="n"/>
      <c r="S191" s="404" t="n"/>
      <c r="T191" s="535" t="n"/>
      <c r="U191" s="537" t="n"/>
      <c r="V191" s="404" t="n"/>
      <c r="W191" s="537" t="n"/>
      <c r="X191" s="537" t="n"/>
      <c r="Y191" s="404" t="n"/>
      <c r="Z191" s="537" t="n"/>
      <c r="AA191" s="537" t="n"/>
      <c r="AB191" s="404" t="n"/>
      <c r="AC191" s="286" t="n"/>
      <c r="AD191" s="286" t="n"/>
      <c r="AE191" s="404" t="n"/>
    </row>
    <row customHeight="1" ht="15.75" r="192" s="452" spans="1:32">
      <c r="A192" s="279" t="n"/>
      <c r="B192" s="279" t="n"/>
      <c r="C192" s="280" t="n"/>
      <c r="D192" s="280" t="n"/>
      <c r="E192" s="535" t="n"/>
      <c r="F192" s="535" t="n"/>
      <c r="G192" s="404" t="n"/>
      <c r="H192" s="535" t="n"/>
      <c r="I192" s="535" t="n"/>
      <c r="J192" s="404" t="n"/>
      <c r="K192" s="536" t="n"/>
      <c r="L192" s="535" t="n"/>
      <c r="M192" s="404" t="n"/>
      <c r="N192" s="537" t="n"/>
      <c r="O192" s="537" t="n"/>
      <c r="P192" s="404" t="n"/>
      <c r="Q192" s="537" t="n"/>
      <c r="R192" s="537" t="n"/>
      <c r="S192" s="404" t="n"/>
      <c r="T192" s="535" t="n"/>
      <c r="U192" s="537" t="n"/>
      <c r="V192" s="404" t="n"/>
      <c r="W192" s="537" t="n"/>
      <c r="X192" s="537" t="n"/>
      <c r="Y192" s="404" t="n"/>
      <c r="Z192" s="537" t="n"/>
      <c r="AA192" s="537" t="n"/>
      <c r="AB192" s="404" t="n"/>
      <c r="AC192" s="286" t="n"/>
      <c r="AD192" s="286" t="n"/>
      <c r="AE192" s="404" t="n"/>
    </row>
    <row customFormat="1" customHeight="1" ht="15.75" r="193" s="357" spans="1:32">
      <c r="A193" s="347" t="n"/>
      <c r="B193" s="347" t="n"/>
      <c r="C193" s="348" t="n"/>
      <c r="D193" s="349" t="s">
        <v>177</v>
      </c>
      <c r="E193" s="612" t="n"/>
      <c r="F193" s="612" t="n"/>
      <c r="G193" s="405" t="n"/>
      <c r="H193" s="612" t="n"/>
      <c r="I193" s="612" t="n"/>
      <c r="J193" s="405" t="n"/>
      <c r="K193" s="613" t="n"/>
      <c r="L193" s="612" t="n"/>
      <c r="M193" s="405" t="n"/>
      <c r="N193" s="614" t="n"/>
      <c r="O193" s="614" t="n">
        <v>5</v>
      </c>
      <c r="P193" s="405" t="n"/>
      <c r="Q193" s="614" t="n"/>
      <c r="R193" s="614" t="n"/>
      <c r="S193" s="405" t="n"/>
      <c r="T193" s="612" t="n"/>
      <c r="U193" s="614" t="n"/>
      <c r="V193" s="405" t="n"/>
      <c r="W193" s="614" t="n"/>
      <c r="X193" s="614" t="n"/>
      <c r="Y193" s="405" t="n"/>
      <c r="Z193" s="614" t="n"/>
      <c r="AA193" s="614" t="n"/>
      <c r="AB193" s="405" t="n"/>
      <c r="AC193" s="356" t="n"/>
      <c r="AD193" s="356" t="n"/>
      <c r="AE193" s="405" t="n"/>
      <c r="AF193" s="357" t="n"/>
    </row>
    <row customHeight="1" ht="15.75" r="194" s="452" spans="1:32">
      <c r="A194" s="49" t="s">
        <v>52</v>
      </c>
      <c r="B194" s="49" t="s">
        <v>132</v>
      </c>
      <c r="C194" s="50">
        <f>C190+7</f>
        <v/>
      </c>
      <c r="D194" s="403" t="s">
        <v>60</v>
      </c>
      <c r="E194" s="566">
        <f>SUM(E195:E197)</f>
        <v/>
      </c>
      <c r="F194" s="566">
        <f>SUM(F195:F197)</f>
        <v/>
      </c>
      <c r="G194" s="103">
        <f>(E194-F194)/F194</f>
        <v/>
      </c>
      <c r="H194" s="566">
        <f>SUM(H195:H197)</f>
        <v/>
      </c>
      <c r="I194" s="566">
        <f>SUM(I195:I197)</f>
        <v/>
      </c>
      <c r="J194" s="103">
        <f>(H194-I194)/I194</f>
        <v/>
      </c>
      <c r="K194" s="567">
        <f>E194/H194</f>
        <v/>
      </c>
      <c r="L194" s="566">
        <f>F194/I194</f>
        <v/>
      </c>
      <c r="M194" s="103">
        <f>(K194-L194)/L194</f>
        <v/>
      </c>
      <c r="N194" s="568">
        <f>SUM(N195:N197)</f>
        <v/>
      </c>
      <c r="O194" s="568">
        <f>SUM(O195:O197)</f>
        <v/>
      </c>
      <c r="P194" s="103">
        <f>(N194-O194)/O194</f>
        <v/>
      </c>
      <c r="Q194" s="568">
        <f>SUM(Q195:Q197)</f>
        <v/>
      </c>
      <c r="R194" s="568">
        <f>SUM(R195:R197)</f>
        <v/>
      </c>
      <c r="S194" s="103">
        <f>(Q194-R194)/R194</f>
        <v/>
      </c>
      <c r="T194" s="568">
        <f>E194/Q194</f>
        <v/>
      </c>
      <c r="U194" s="568">
        <f>F194/R194</f>
        <v/>
      </c>
      <c r="V194" s="103">
        <f>(T194-U194)/U194</f>
        <v/>
      </c>
      <c r="W194" s="568">
        <f>SUM(W195:W197)</f>
        <v/>
      </c>
      <c r="X194" s="568">
        <f>SUM(X195:X197)</f>
        <v/>
      </c>
      <c r="Y194" s="103">
        <f>(W194-X194)/X194</f>
        <v/>
      </c>
      <c r="Z194" s="568">
        <f>SUM(Z195:Z197)</f>
        <v/>
      </c>
      <c r="AA194" s="568">
        <f>SUM(AA195:AA197)</f>
        <v/>
      </c>
      <c r="AB194" s="103">
        <f>(Z194-AA194)/AA194</f>
        <v/>
      </c>
      <c r="AC194" s="82">
        <f>W194/Z194</f>
        <v/>
      </c>
      <c r="AD194" s="82">
        <f>X194/AA194</f>
        <v/>
      </c>
      <c r="AE194" s="103">
        <f>(AC194-AD194)/AD194</f>
        <v/>
      </c>
    </row>
    <row customHeight="1" ht="15.75" r="195" s="452" spans="1:32">
      <c r="A195" s="279" t="n"/>
      <c r="B195" s="279" t="n"/>
      <c r="C195" s="280" t="n"/>
      <c r="D195" s="280" t="n"/>
      <c r="E195" s="535" t="n"/>
      <c r="F195" s="535" t="n"/>
      <c r="G195" s="404" t="n"/>
      <c r="H195" s="535" t="n"/>
      <c r="I195" s="535" t="n"/>
      <c r="J195" s="404" t="n"/>
      <c r="K195" s="536" t="n"/>
      <c r="L195" s="535" t="n"/>
      <c r="M195" s="404" t="n"/>
      <c r="N195" s="537" t="n"/>
      <c r="O195" s="537" t="n"/>
      <c r="P195" s="404" t="n"/>
      <c r="Q195" s="537" t="n"/>
      <c r="R195" s="537" t="n"/>
      <c r="S195" s="404" t="n"/>
      <c r="T195" s="535" t="n"/>
      <c r="U195" s="537" t="n"/>
      <c r="V195" s="404" t="n"/>
      <c r="W195" s="537" t="n"/>
      <c r="X195" s="537" t="n"/>
      <c r="Y195" s="404" t="n"/>
      <c r="Z195" s="537" t="n"/>
      <c r="AA195" s="537" t="n"/>
      <c r="AB195" s="404" t="n"/>
      <c r="AC195" s="286" t="n"/>
      <c r="AD195" s="286" t="n"/>
      <c r="AE195" s="404" t="n"/>
    </row>
    <row customHeight="1" ht="15.75" r="196" s="452" spans="1:32">
      <c r="A196" s="279" t="n"/>
      <c r="B196" s="279" t="n"/>
      <c r="C196" s="280" t="n"/>
      <c r="D196" s="280" t="n"/>
      <c r="E196" s="535" t="n"/>
      <c r="F196" s="535" t="n"/>
      <c r="G196" s="404" t="n"/>
      <c r="H196" s="535" t="n"/>
      <c r="I196" s="535" t="n"/>
      <c r="J196" s="404" t="n"/>
      <c r="K196" s="536" t="n"/>
      <c r="L196" s="535" t="n"/>
      <c r="M196" s="404" t="n"/>
      <c r="N196" s="537" t="n"/>
      <c r="O196" s="537" t="n"/>
      <c r="P196" s="404" t="n"/>
      <c r="Q196" s="537" t="n"/>
      <c r="R196" s="537" t="n"/>
      <c r="S196" s="404" t="n"/>
      <c r="T196" s="535" t="n"/>
      <c r="U196" s="537" t="n"/>
      <c r="V196" s="404" t="n"/>
      <c r="W196" s="537" t="n"/>
      <c r="X196" s="537" t="n"/>
      <c r="Y196" s="404" t="n"/>
      <c r="Z196" s="537" t="n"/>
      <c r="AA196" s="537" t="n"/>
      <c r="AB196" s="404" t="n"/>
      <c r="AC196" s="286" t="n"/>
      <c r="AD196" s="286" t="n"/>
      <c r="AE196" s="404" t="n"/>
    </row>
    <row customHeight="1" ht="15.75" r="197" s="452" spans="1:32">
      <c r="A197" s="279" t="n"/>
      <c r="B197" s="279" t="n"/>
      <c r="C197" s="280" t="n"/>
      <c r="D197" s="297" t="s">
        <v>177</v>
      </c>
      <c r="E197" s="535" t="n"/>
      <c r="F197" s="535" t="n"/>
      <c r="G197" s="404" t="n"/>
      <c r="H197" s="535" t="n"/>
      <c r="I197" s="535" t="n"/>
      <c r="J197" s="404" t="n"/>
      <c r="K197" s="536" t="n"/>
      <c r="L197" s="535" t="n"/>
      <c r="M197" s="404" t="n"/>
      <c r="N197" s="537" t="n"/>
      <c r="O197" s="537" t="n"/>
      <c r="P197" s="404" t="n"/>
      <c r="Q197" s="537" t="n"/>
      <c r="R197" s="537" t="n"/>
      <c r="S197" s="404" t="n"/>
      <c r="T197" s="535" t="n"/>
      <c r="U197" s="537" t="n"/>
      <c r="V197" s="404" t="n"/>
      <c r="W197" s="537" t="n"/>
      <c r="X197" s="537" t="n"/>
      <c r="Y197" s="404" t="n"/>
      <c r="Z197" s="537" t="n"/>
      <c r="AA197" s="537" t="n"/>
      <c r="AB197" s="404" t="n"/>
      <c r="AC197" s="286" t="n"/>
      <c r="AD197" s="286" t="n"/>
      <c r="AE197" s="404" t="n"/>
    </row>
    <row customHeight="1" ht="15.75" r="198" s="452" spans="1:32">
      <c r="A198" s="49" t="s">
        <v>52</v>
      </c>
      <c r="B198" s="49" t="s">
        <v>133</v>
      </c>
      <c r="C198" s="50">
        <f>C194+7</f>
        <v/>
      </c>
      <c r="D198" s="403" t="s">
        <v>60</v>
      </c>
      <c r="E198" s="566">
        <f>SUM(E199:E201)</f>
        <v/>
      </c>
      <c r="F198" s="566">
        <f>SUM(F199:F201)</f>
        <v/>
      </c>
      <c r="G198" s="103">
        <f>(E198-F198)/F198</f>
        <v/>
      </c>
      <c r="H198" s="566">
        <f>SUM(H199:H201)</f>
        <v/>
      </c>
      <c r="I198" s="566">
        <f>SUM(I199:I201)</f>
        <v/>
      </c>
      <c r="J198" s="103">
        <f>(H198-I198)/I198</f>
        <v/>
      </c>
      <c r="K198" s="567">
        <f>E198/H198</f>
        <v/>
      </c>
      <c r="L198" s="566">
        <f>F198/I198</f>
        <v/>
      </c>
      <c r="M198" s="103">
        <f>(K198-L198)/L198</f>
        <v/>
      </c>
      <c r="N198" s="568">
        <f>SUM(N199:N201)</f>
        <v/>
      </c>
      <c r="O198" s="568">
        <f>SUM(O199:O201)</f>
        <v/>
      </c>
      <c r="P198" s="103">
        <f>(N198-O198)/O198</f>
        <v/>
      </c>
      <c r="Q198" s="568">
        <f>SUM(Q199:Q201)</f>
        <v/>
      </c>
      <c r="R198" s="568">
        <f>SUM(R199:R201)</f>
        <v/>
      </c>
      <c r="S198" s="103">
        <f>(Q198-R198)/R198</f>
        <v/>
      </c>
      <c r="T198" s="568">
        <f>E198/Q198</f>
        <v/>
      </c>
      <c r="U198" s="568">
        <f>F198/R198</f>
        <v/>
      </c>
      <c r="V198" s="103">
        <f>(T198-U198)/U198</f>
        <v/>
      </c>
      <c r="W198" s="568">
        <f>SUM(W199:W201)</f>
        <v/>
      </c>
      <c r="X198" s="568">
        <f>SUM(X199:X201)</f>
        <v/>
      </c>
      <c r="Y198" s="103">
        <f>(W198-X198)/X198</f>
        <v/>
      </c>
      <c r="Z198" s="568">
        <f>SUM(Z199:Z201)</f>
        <v/>
      </c>
      <c r="AA198" s="568">
        <f>SUM(AA199:AA201)</f>
        <v/>
      </c>
      <c r="AB198" s="103">
        <f>(Z198-AA198)/AA198</f>
        <v/>
      </c>
      <c r="AC198" s="82">
        <f>W198/Z198</f>
        <v/>
      </c>
      <c r="AD198" s="82">
        <f>X198/AA198</f>
        <v/>
      </c>
      <c r="AE198" s="103">
        <f>(AC198-AD198)/AD198</f>
        <v/>
      </c>
    </row>
    <row customHeight="1" ht="15.75" r="199" s="452" spans="1:32">
      <c r="A199" s="279" t="n"/>
      <c r="B199" s="279" t="n"/>
      <c r="C199" s="280" t="n"/>
      <c r="D199" s="280" t="n"/>
      <c r="E199" s="535" t="n"/>
      <c r="F199" s="535" t="n"/>
      <c r="G199" s="404" t="n"/>
      <c r="H199" s="535" t="n"/>
      <c r="I199" s="535" t="n"/>
      <c r="J199" s="404" t="n"/>
      <c r="K199" s="536" t="n"/>
      <c r="L199" s="535" t="n"/>
      <c r="M199" s="404" t="n"/>
      <c r="N199" s="537" t="n"/>
      <c r="O199" s="537" t="n"/>
      <c r="P199" s="404" t="n"/>
      <c r="Q199" s="537" t="n"/>
      <c r="R199" s="537" t="n"/>
      <c r="S199" s="404" t="n"/>
      <c r="T199" s="535" t="n"/>
      <c r="U199" s="537" t="n"/>
      <c r="V199" s="404" t="n"/>
      <c r="W199" s="537" t="n"/>
      <c r="X199" s="537" t="n"/>
      <c r="Y199" s="404" t="n"/>
      <c r="Z199" s="537" t="n"/>
      <c r="AA199" s="537" t="n"/>
      <c r="AB199" s="404" t="n"/>
      <c r="AC199" s="286" t="n"/>
      <c r="AD199" s="286" t="n"/>
      <c r="AE199" s="404" t="n"/>
    </row>
    <row customHeight="1" ht="15.75" r="200" s="452" spans="1:32">
      <c r="A200" s="279" t="n"/>
      <c r="B200" s="279" t="n"/>
      <c r="C200" s="280" t="n"/>
      <c r="D200" s="280" t="n"/>
      <c r="E200" s="535" t="n"/>
      <c r="F200" s="535" t="n"/>
      <c r="G200" s="404" t="n"/>
      <c r="H200" s="535" t="n"/>
      <c r="I200" s="535" t="n"/>
      <c r="J200" s="404" t="n"/>
      <c r="K200" s="536" t="n"/>
      <c r="L200" s="535" t="n"/>
      <c r="M200" s="404" t="n"/>
      <c r="N200" s="537" t="n"/>
      <c r="O200" s="537" t="n"/>
      <c r="P200" s="404" t="n"/>
      <c r="Q200" s="537" t="n"/>
      <c r="R200" s="537" t="n"/>
      <c r="S200" s="404" t="n"/>
      <c r="T200" s="535" t="n"/>
      <c r="U200" s="537" t="n"/>
      <c r="V200" s="404" t="n"/>
      <c r="W200" s="537" t="n"/>
      <c r="X200" s="537" t="n"/>
      <c r="Y200" s="404" t="n"/>
      <c r="Z200" s="537" t="n"/>
      <c r="AA200" s="537" t="n"/>
      <c r="AB200" s="404" t="n"/>
      <c r="AC200" s="286" t="n"/>
      <c r="AD200" s="286" t="n"/>
      <c r="AE200" s="404" t="n"/>
    </row>
    <row customHeight="1" ht="15.75" r="201" s="452" spans="1:32">
      <c r="A201" s="279" t="n"/>
      <c r="B201" s="279" t="n"/>
      <c r="C201" s="280" t="n"/>
      <c r="D201" s="297" t="s">
        <v>177</v>
      </c>
      <c r="E201" s="535" t="n"/>
      <c r="F201" s="535" t="n"/>
      <c r="G201" s="404" t="n"/>
      <c r="H201" s="535" t="n"/>
      <c r="I201" s="535" t="n"/>
      <c r="J201" s="404" t="n"/>
      <c r="K201" s="536" t="n"/>
      <c r="L201" s="535" t="n"/>
      <c r="M201" s="404" t="n"/>
      <c r="N201" s="537" t="n"/>
      <c r="O201" s="537" t="n"/>
      <c r="P201" s="404" t="n"/>
      <c r="Q201" s="537" t="n"/>
      <c r="R201" s="537" t="n"/>
      <c r="S201" s="404" t="n"/>
      <c r="T201" s="535" t="n"/>
      <c r="U201" s="537" t="n"/>
      <c r="V201" s="404" t="n"/>
      <c r="W201" s="537" t="n"/>
      <c r="X201" s="537" t="n"/>
      <c r="Y201" s="404" t="n"/>
      <c r="Z201" s="537" t="n"/>
      <c r="AA201" s="537" t="n"/>
      <c r="AB201" s="404" t="n"/>
      <c r="AC201" s="286" t="n"/>
      <c r="AD201" s="286" t="n"/>
      <c r="AE201" s="404" t="n"/>
    </row>
    <row customHeight="1" ht="15.75" r="202" s="452" spans="1:32">
      <c r="A202" s="49" t="s">
        <v>52</v>
      </c>
      <c r="B202" s="49" t="s">
        <v>134</v>
      </c>
      <c r="C202" s="50">
        <f>C198+7</f>
        <v/>
      </c>
      <c r="D202" s="403" t="s">
        <v>60</v>
      </c>
      <c r="E202" s="566">
        <f>SUM(E203:E205)</f>
        <v/>
      </c>
      <c r="F202" s="566">
        <f>SUM(F203:F205)</f>
        <v/>
      </c>
      <c r="G202" s="103">
        <f>(E202-F202)/F202</f>
        <v/>
      </c>
      <c r="H202" s="566">
        <f>SUM(H203:H205)</f>
        <v/>
      </c>
      <c r="I202" s="566">
        <f>SUM(I203:I205)</f>
        <v/>
      </c>
      <c r="J202" s="103">
        <f>(H202-I202)/I202</f>
        <v/>
      </c>
      <c r="K202" s="567">
        <f>E202/H202</f>
        <v/>
      </c>
      <c r="L202" s="566">
        <f>F202/I202</f>
        <v/>
      </c>
      <c r="M202" s="103">
        <f>(K202-L202)/L202</f>
        <v/>
      </c>
      <c r="N202" s="568">
        <f>SUM(N203:N205)</f>
        <v/>
      </c>
      <c r="O202" s="568">
        <f>SUM(O203:O205)</f>
        <v/>
      </c>
      <c r="P202" s="103">
        <f>(N202-O202)/O202</f>
        <v/>
      </c>
      <c r="Q202" s="568">
        <f>SUM(Q203:Q205)</f>
        <v/>
      </c>
      <c r="R202" s="568">
        <f>SUM(R203:R205)</f>
        <v/>
      </c>
      <c r="S202" s="103">
        <f>(Q202-R202)/R202</f>
        <v/>
      </c>
      <c r="T202" s="568">
        <f>E202/Q202</f>
        <v/>
      </c>
      <c r="U202" s="568">
        <f>F202/R202</f>
        <v/>
      </c>
      <c r="V202" s="103">
        <f>(T202-U202)/U202</f>
        <v/>
      </c>
      <c r="W202" s="568">
        <f>SUM(W203:W205)</f>
        <v/>
      </c>
      <c r="X202" s="568">
        <f>SUM(X203:X205)</f>
        <v/>
      </c>
      <c r="Y202" s="103">
        <f>(W202-X202)/X202</f>
        <v/>
      </c>
      <c r="Z202" s="568">
        <f>SUM(Z203:Z205)</f>
        <v/>
      </c>
      <c r="AA202" s="568">
        <f>SUM(AA203:AA205)</f>
        <v/>
      </c>
      <c r="AB202" s="103">
        <f>(Z202-AA202)/AA202</f>
        <v/>
      </c>
      <c r="AC202" s="82">
        <f>W202/Z202</f>
        <v/>
      </c>
      <c r="AD202" s="82">
        <f>X202/AA202</f>
        <v/>
      </c>
      <c r="AE202" s="103">
        <f>(AC202-AD202)/AD202</f>
        <v/>
      </c>
    </row>
    <row customHeight="1" ht="15.75" r="203" s="452" spans="1:32">
      <c r="A203" s="279" t="n"/>
      <c r="B203" s="279" t="n"/>
      <c r="C203" s="280" t="n"/>
      <c r="D203" s="280" t="n"/>
      <c r="E203" s="535" t="n"/>
      <c r="F203" s="535" t="n"/>
      <c r="G203" s="404" t="n"/>
      <c r="H203" s="535" t="n"/>
      <c r="I203" s="535" t="n"/>
      <c r="J203" s="404" t="n"/>
      <c r="K203" s="536" t="n"/>
      <c r="L203" s="535" t="n"/>
      <c r="M203" s="404" t="n"/>
      <c r="N203" s="537" t="n"/>
      <c r="O203" s="537" t="n"/>
      <c r="P203" s="404" t="n"/>
      <c r="Q203" s="537" t="n"/>
      <c r="R203" s="537" t="n"/>
      <c r="S203" s="404" t="n"/>
      <c r="T203" s="535" t="n"/>
      <c r="U203" s="537" t="n"/>
      <c r="V203" s="404" t="n"/>
      <c r="W203" s="537" t="n"/>
      <c r="X203" s="537" t="n"/>
      <c r="Y203" s="404" t="n"/>
      <c r="Z203" s="537" t="n"/>
      <c r="AA203" s="537" t="n"/>
      <c r="AB203" s="404" t="n"/>
      <c r="AC203" s="286" t="n"/>
      <c r="AD203" s="286" t="n"/>
      <c r="AE203" s="404" t="n"/>
    </row>
    <row customHeight="1" ht="15.75" r="204" s="452" spans="1:32">
      <c r="A204" s="279" t="n"/>
      <c r="B204" s="279" t="n"/>
      <c r="C204" s="280" t="n"/>
      <c r="D204" s="280" t="n"/>
      <c r="E204" s="535" t="n"/>
      <c r="F204" s="535" t="n"/>
      <c r="G204" s="404" t="n"/>
      <c r="H204" s="535" t="n"/>
      <c r="I204" s="535" t="n"/>
      <c r="J204" s="404" t="n"/>
      <c r="K204" s="536" t="n"/>
      <c r="L204" s="535" t="n"/>
      <c r="M204" s="404" t="n"/>
      <c r="N204" s="537" t="n"/>
      <c r="O204" s="537" t="n"/>
      <c r="P204" s="404" t="n"/>
      <c r="Q204" s="537" t="n"/>
      <c r="R204" s="537" t="n"/>
      <c r="S204" s="404" t="n"/>
      <c r="T204" s="535" t="n"/>
      <c r="U204" s="537" t="n"/>
      <c r="V204" s="404" t="n"/>
      <c r="W204" s="537" t="n"/>
      <c r="X204" s="537" t="n"/>
      <c r="Y204" s="404" t="n"/>
      <c r="Z204" s="537" t="n"/>
      <c r="AA204" s="537" t="n"/>
      <c r="AB204" s="404" t="n"/>
      <c r="AC204" s="286" t="n"/>
      <c r="AD204" s="286" t="n"/>
      <c r="AE204" s="404" t="n"/>
    </row>
    <row customHeight="1" ht="15.75" r="205" s="452" spans="1:32">
      <c r="A205" s="279" t="n"/>
      <c r="B205" s="279" t="n"/>
      <c r="C205" s="280" t="n"/>
      <c r="D205" s="297" t="s">
        <v>177</v>
      </c>
      <c r="E205" s="535" t="n"/>
      <c r="F205" s="535" t="n"/>
      <c r="G205" s="404" t="n"/>
      <c r="H205" s="535" t="n"/>
      <c r="I205" s="535" t="n"/>
      <c r="J205" s="404" t="n"/>
      <c r="K205" s="536" t="n"/>
      <c r="L205" s="535" t="n"/>
      <c r="M205" s="404" t="n"/>
      <c r="N205" s="537" t="n"/>
      <c r="O205" s="537" t="n"/>
      <c r="P205" s="404" t="n"/>
      <c r="Q205" s="537" t="n"/>
      <c r="R205" s="537" t="n"/>
      <c r="S205" s="404" t="n"/>
      <c r="T205" s="535" t="n"/>
      <c r="U205" s="537" t="n"/>
      <c r="V205" s="404" t="n"/>
      <c r="W205" s="537" t="n"/>
      <c r="X205" s="537" t="n"/>
      <c r="Y205" s="404" t="n"/>
      <c r="Z205" s="537" t="n"/>
      <c r="AA205" s="537" t="n"/>
      <c r="AB205" s="404" t="n"/>
      <c r="AC205" s="286" t="n"/>
      <c r="AD205" s="286" t="n"/>
      <c r="AE205" s="404" t="n"/>
    </row>
    <row customHeight="1" ht="15.75" r="206" s="452" spans="1:32">
      <c r="A206" s="49" t="s">
        <v>52</v>
      </c>
      <c r="B206" s="49" t="s">
        <v>135</v>
      </c>
      <c r="C206" s="50">
        <f>C202+7</f>
        <v/>
      </c>
      <c r="D206" s="403" t="s">
        <v>60</v>
      </c>
      <c r="E206" s="566">
        <f>SUM(E207:E209)</f>
        <v/>
      </c>
      <c r="F206" s="566">
        <f>SUM(F207:F209)</f>
        <v/>
      </c>
      <c r="G206" s="103">
        <f>(E206-F206)/F206</f>
        <v/>
      </c>
      <c r="H206" s="566">
        <f>SUM(H207:H209)</f>
        <v/>
      </c>
      <c r="I206" s="566">
        <f>SUM(I207:I209)</f>
        <v/>
      </c>
      <c r="J206" s="103">
        <f>(H206-I206)/I206</f>
        <v/>
      </c>
      <c r="K206" s="567">
        <f>E206/H206</f>
        <v/>
      </c>
      <c r="L206" s="566">
        <f>F206/I206</f>
        <v/>
      </c>
      <c r="M206" s="103">
        <f>(K206-L206)/L206</f>
        <v/>
      </c>
      <c r="N206" s="568">
        <f>SUM(N207:N209)</f>
        <v/>
      </c>
      <c r="O206" s="568">
        <f>SUM(O207:O209)</f>
        <v/>
      </c>
      <c r="P206" s="103">
        <f>(N206-O206)/O206</f>
        <v/>
      </c>
      <c r="Q206" s="568">
        <f>SUM(Q207:Q209)</f>
        <v/>
      </c>
      <c r="R206" s="568">
        <f>SUM(R207:R209)</f>
        <v/>
      </c>
      <c r="S206" s="103">
        <f>(Q206-R206)/R206</f>
        <v/>
      </c>
      <c r="T206" s="568">
        <f>E206/Q206</f>
        <v/>
      </c>
      <c r="U206" s="568">
        <f>F206/R206</f>
        <v/>
      </c>
      <c r="V206" s="103">
        <f>(T206-U206)/U206</f>
        <v/>
      </c>
      <c r="W206" s="568">
        <f>SUM(W207:W209)</f>
        <v/>
      </c>
      <c r="X206" s="568">
        <f>SUM(X207:X209)</f>
        <v/>
      </c>
      <c r="Y206" s="103">
        <f>(W206-X206)/X206</f>
        <v/>
      </c>
      <c r="Z206" s="568">
        <f>SUM(Z207:Z209)</f>
        <v/>
      </c>
      <c r="AA206" s="568">
        <f>SUM(AA207:AA209)</f>
        <v/>
      </c>
      <c r="AB206" s="103">
        <f>(Z206-AA206)/AA206</f>
        <v/>
      </c>
      <c r="AC206" s="82">
        <f>W206/Z206</f>
        <v/>
      </c>
      <c r="AD206" s="82">
        <f>X206/AA206</f>
        <v/>
      </c>
      <c r="AE206" s="103">
        <f>(AC206-AD206)/AD206</f>
        <v/>
      </c>
    </row>
    <row customHeight="1" ht="15.75" r="207" s="452" spans="1:32">
      <c r="A207" s="279" t="n"/>
      <c r="B207" s="279" t="n"/>
      <c r="C207" s="280" t="n"/>
      <c r="D207" s="280" t="n"/>
      <c r="E207" s="535" t="n"/>
      <c r="F207" s="535" t="n"/>
      <c r="G207" s="404" t="n"/>
      <c r="H207" s="535" t="n"/>
      <c r="I207" s="535" t="n"/>
      <c r="J207" s="404" t="n"/>
      <c r="K207" s="536" t="n"/>
      <c r="L207" s="535" t="n"/>
      <c r="M207" s="404" t="n"/>
      <c r="N207" s="537" t="n"/>
      <c r="O207" s="537" t="n"/>
      <c r="P207" s="404" t="n"/>
      <c r="Q207" s="537" t="n"/>
      <c r="R207" s="537" t="n"/>
      <c r="S207" s="404" t="n"/>
      <c r="T207" s="535" t="n"/>
      <c r="U207" s="537" t="n"/>
      <c r="V207" s="404" t="n"/>
      <c r="W207" s="537" t="n"/>
      <c r="X207" s="537" t="n"/>
      <c r="Y207" s="404" t="n"/>
      <c r="Z207" s="537" t="n"/>
      <c r="AA207" s="537" t="n"/>
      <c r="AB207" s="404" t="n"/>
      <c r="AC207" s="286" t="n"/>
      <c r="AD207" s="286" t="n"/>
      <c r="AE207" s="404" t="n"/>
    </row>
    <row customHeight="1" ht="15.75" r="208" s="452" spans="1:32">
      <c r="A208" s="279" t="n"/>
      <c r="B208" s="279" t="n"/>
      <c r="C208" s="280" t="n"/>
      <c r="D208" s="280" t="n"/>
      <c r="E208" s="535" t="n"/>
      <c r="F208" s="535" t="n"/>
      <c r="G208" s="404" t="n"/>
      <c r="H208" s="535" t="n"/>
      <c r="I208" s="535" t="n"/>
      <c r="J208" s="404" t="n"/>
      <c r="K208" s="536" t="n"/>
      <c r="L208" s="535" t="n"/>
      <c r="M208" s="404" t="n"/>
      <c r="N208" s="537" t="n"/>
      <c r="O208" s="537" t="n"/>
      <c r="P208" s="404" t="n"/>
      <c r="Q208" s="537" t="n"/>
      <c r="R208" s="537" t="n"/>
      <c r="S208" s="404" t="n"/>
      <c r="T208" s="535" t="n"/>
      <c r="U208" s="537" t="n"/>
      <c r="V208" s="404" t="n"/>
      <c r="W208" s="537" t="n"/>
      <c r="X208" s="537" t="n"/>
      <c r="Y208" s="404" t="n"/>
      <c r="Z208" s="537" t="n"/>
      <c r="AA208" s="537" t="n"/>
      <c r="AB208" s="404" t="n"/>
      <c r="AC208" s="286" t="n"/>
      <c r="AD208" s="286" t="n"/>
      <c r="AE208" s="404" t="n"/>
    </row>
    <row customFormat="1" customHeight="1" ht="15.75" r="209" s="415" spans="1:32" thickBot="1">
      <c r="A209" s="406" t="n"/>
      <c r="B209" s="406" t="n"/>
      <c r="C209" s="407" t="n"/>
      <c r="D209" s="408" t="s">
        <v>177</v>
      </c>
      <c r="E209" s="625" t="n"/>
      <c r="F209" s="625" t="n"/>
      <c r="G209" s="410" t="n"/>
      <c r="H209" s="625" t="n"/>
      <c r="I209" s="625" t="n"/>
      <c r="J209" s="410" t="n"/>
      <c r="K209" s="626" t="n"/>
      <c r="L209" s="625" t="n"/>
      <c r="M209" s="410" t="n"/>
      <c r="N209" s="627" t="n"/>
      <c r="O209" s="627" t="n"/>
      <c r="P209" s="410" t="n"/>
      <c r="Q209" s="627" t="n"/>
      <c r="R209" s="627" t="n"/>
      <c r="S209" s="410" t="n"/>
      <c r="T209" s="625" t="n"/>
      <c r="U209" s="627" t="n"/>
      <c r="V209" s="410" t="n"/>
      <c r="W209" s="627" t="n"/>
      <c r="X209" s="627" t="n"/>
      <c r="Y209" s="410" t="n"/>
      <c r="Z209" s="627" t="n"/>
      <c r="AA209" s="627" t="n"/>
      <c r="AB209" s="410" t="n"/>
      <c r="AC209" s="413" t="n"/>
      <c r="AD209" s="413" t="n"/>
      <c r="AE209" s="410" t="n"/>
      <c r="AF209" s="415" t="n"/>
    </row>
    <row customFormat="1" customHeight="1" ht="19.5" r="210" s="182" spans="1:32" thickTop="1">
      <c r="A210" s="172" t="s">
        <v>137</v>
      </c>
      <c r="B210" s="173" t="n"/>
      <c r="C210" s="174" t="n"/>
      <c r="D210" s="174" t="n"/>
      <c r="E210" s="617">
        <f>SUM(E2:E206)</f>
        <v/>
      </c>
      <c r="F210" s="617">
        <f>SUM(F2:F206)</f>
        <v/>
      </c>
      <c r="G210" s="190">
        <f>(E210-F210)/F210</f>
        <v/>
      </c>
      <c r="H210" s="617">
        <f>SUM(H2:H206)</f>
        <v/>
      </c>
      <c r="I210" s="617">
        <f>SUM(I2:I206)</f>
        <v/>
      </c>
      <c r="J210" s="191">
        <f>(H210-I210)/I210</f>
        <v/>
      </c>
      <c r="K210" s="618">
        <f>E210/H210</f>
        <v/>
      </c>
      <c r="L210" s="618">
        <f>F210/I210</f>
        <v/>
      </c>
      <c r="M210" s="190">
        <f>(K210-L210)/L210</f>
        <v/>
      </c>
      <c r="N210" s="619">
        <f>SUM(N2:N206)</f>
        <v/>
      </c>
      <c r="O210" s="619">
        <f>SUM(O2:O206)</f>
        <v/>
      </c>
      <c r="P210" s="190">
        <f>(N210-O210)/O210</f>
        <v/>
      </c>
      <c r="Q210" s="619">
        <f>SUM(Q2:Q206)</f>
        <v/>
      </c>
      <c r="R210" s="619">
        <f>SUM(R2:R206)</f>
        <v/>
      </c>
      <c r="S210" s="190">
        <f>(Q210-R210)/R210</f>
        <v/>
      </c>
      <c r="T210" s="617">
        <f>E210/Q210</f>
        <v/>
      </c>
      <c r="U210" s="617">
        <f>F210/R210</f>
        <v/>
      </c>
      <c r="V210" s="191">
        <f>(T210-U210)/U210</f>
        <v/>
      </c>
      <c r="W210" s="619">
        <f>SUM(W2:W206)</f>
        <v/>
      </c>
      <c r="X210" s="619">
        <f>SUM(X2:X206)</f>
        <v/>
      </c>
      <c r="Y210" s="190">
        <f>(W210-X210)/X210</f>
        <v/>
      </c>
      <c r="Z210" s="619">
        <f>SUM(Z2:Z206)</f>
        <v/>
      </c>
      <c r="AA210" s="619">
        <f>SUM(AA2:AA206)</f>
        <v/>
      </c>
      <c r="AB210" s="190">
        <f>(Z210-AA210)/AA210</f>
        <v/>
      </c>
      <c r="AC210" s="178">
        <f>W210/Z210</f>
        <v/>
      </c>
      <c r="AD210" s="178">
        <f>X210/AA210</f>
        <v/>
      </c>
      <c r="AE210" s="191">
        <f>(AC210-AD210)/AD210</f>
        <v/>
      </c>
      <c r="AF210" s="182" t="n"/>
    </row>
    <row customHeight="1" ht="15.75" r="211" s="452" spans="1:32">
      <c r="A211" s="44" t="n"/>
      <c r="B211" s="221" t="n"/>
      <c r="C211" s="221" t="n"/>
      <c r="D211" s="221" t="n"/>
      <c r="E211" s="535" t="n"/>
      <c r="F211" s="535" t="n"/>
      <c r="G211" s="535" t="n"/>
      <c r="H211" s="535" t="n"/>
      <c r="I211" s="535" t="n"/>
      <c r="J211" s="535" t="n"/>
      <c r="K211" s="536" t="n"/>
      <c r="L211" s="536" t="n"/>
      <c r="M211" s="537" t="n"/>
      <c r="N211" s="537" t="n"/>
      <c r="O211" s="537" t="n"/>
      <c r="P211" s="537" t="n"/>
      <c r="Q211" s="537" t="n"/>
      <c r="R211" s="537" t="n"/>
      <c r="S211" s="537" t="n"/>
      <c r="T211" s="537" t="n"/>
      <c r="U211" s="537" t="n"/>
      <c r="V211" s="537" t="n"/>
      <c r="W211" s="537" t="n"/>
      <c r="X211" s="537" t="n"/>
      <c r="Y211" s="537" t="n"/>
      <c r="Z211" s="537" t="n"/>
      <c r="AA211" s="537" t="n"/>
      <c r="AB211" s="537" t="n"/>
      <c r="AC211" s="537" t="n"/>
      <c r="AD211" s="537" t="n"/>
      <c r="AE211" s="537" t="n"/>
    </row>
    <row customHeight="1" ht="15.75" r="212" s="452" spans="1:32">
      <c r="A212" s="44" t="n"/>
      <c r="E212" s="535" t="n"/>
      <c r="F212" s="535" t="n"/>
      <c r="G212" s="535" t="n"/>
      <c r="H212" s="535" t="n"/>
      <c r="I212" s="535" t="n"/>
      <c r="J212" s="535" t="n"/>
      <c r="K212" s="536" t="n"/>
      <c r="L212" s="536" t="n"/>
      <c r="M212" s="537" t="n"/>
      <c r="N212" s="537" t="n"/>
      <c r="O212" s="537" t="n"/>
      <c r="P212" s="537" t="n"/>
      <c r="Q212" s="537" t="n"/>
      <c r="R212" s="537" t="n"/>
      <c r="S212" s="537" t="n"/>
      <c r="T212" s="537" t="n"/>
      <c r="U212" s="537" t="n"/>
      <c r="V212" s="537" t="n"/>
      <c r="W212" s="537" t="n"/>
      <c r="X212" s="537" t="n"/>
      <c r="Y212" s="537" t="n"/>
      <c r="Z212" s="537" t="n"/>
      <c r="AA212" s="537" t="n"/>
      <c r="AB212" s="537" t="n"/>
      <c r="AC212" s="537" t="n"/>
      <c r="AD212" s="537" t="n"/>
      <c r="AE212" s="537" t="n"/>
    </row>
    <row customHeight="1" ht="15.75" r="213" s="452" spans="1:32">
      <c r="A213" s="44" t="n"/>
      <c r="B213" s="44" t="n"/>
      <c r="C213" s="46" t="n"/>
      <c r="D213" s="46" t="n"/>
      <c r="E213" s="535" t="n"/>
      <c r="F213" s="535" t="n"/>
      <c r="G213" s="535" t="n"/>
      <c r="H213" s="535" t="n"/>
      <c r="I213" s="535" t="n"/>
      <c r="J213" s="535" t="n"/>
      <c r="K213" s="536" t="n"/>
      <c r="L213" s="536" t="n"/>
      <c r="M213" s="537" t="n"/>
      <c r="N213" s="537" t="n"/>
      <c r="O213" s="537" t="n"/>
      <c r="P213" s="537" t="n"/>
      <c r="Q213" s="537" t="n"/>
      <c r="R213" s="537" t="n"/>
      <c r="S213" s="537" t="n"/>
      <c r="T213" s="537" t="n"/>
      <c r="U213" s="537" t="n"/>
      <c r="V213" s="537" t="n"/>
      <c r="W213" s="537" t="n"/>
      <c r="X213" s="537" t="n"/>
      <c r="Y213" s="537" t="n"/>
      <c r="Z213" s="537" t="n"/>
      <c r="AA213" s="537" t="n"/>
      <c r="AB213" s="537" t="n"/>
      <c r="AC213" s="537" t="n"/>
      <c r="AD213" s="537" t="n"/>
      <c r="AE213" s="537" t="n"/>
    </row>
    <row customHeight="1" ht="15.75" r="214" s="452" spans="1:32">
      <c r="A214" s="44" t="n"/>
      <c r="W214" s="537" t="n"/>
      <c r="X214" s="537" t="n"/>
      <c r="Z214" s="537" t="n"/>
      <c r="AA214" s="537" t="n"/>
    </row>
    <row customHeight="1" ht="15.75" r="215" s="452" spans="1:32">
      <c r="A215" s="44" t="n"/>
      <c r="W215" s="537" t="n"/>
      <c r="X215" s="537" t="n"/>
      <c r="Z215" s="537" t="n"/>
      <c r="AA215" s="537" t="n"/>
    </row>
    <row customHeight="1" ht="15.75" r="216" s="452" spans="1:32">
      <c r="A216" s="44" t="n"/>
      <c r="W216" s="537" t="n"/>
      <c r="X216" s="537" t="n"/>
      <c r="Z216" s="537" t="n"/>
      <c r="AA216" s="537" t="n"/>
    </row>
    <row customHeight="1" ht="15.75" r="217" s="452" spans="1:32">
      <c r="A217" s="44" t="n"/>
      <c r="W217" s="537" t="n"/>
      <c r="X217" s="537" t="n"/>
      <c r="Z217" s="537" t="n"/>
      <c r="AA217" s="537" t="n"/>
    </row>
    <row customHeight="1" ht="15.75" r="218" s="452" spans="1:32">
      <c r="A218" s="44" t="n"/>
      <c r="W218" s="537" t="n"/>
      <c r="X218" s="537" t="n"/>
      <c r="Z218" s="537" t="n"/>
      <c r="AA218" s="537" t="n"/>
    </row>
    <row customHeight="1" ht="15.75" r="219" s="452" spans="1:32">
      <c r="A219" s="44" t="n"/>
      <c r="W219" s="537" t="n"/>
      <c r="X219" s="537" t="n"/>
      <c r="Z219" s="537" t="n"/>
      <c r="AA219" s="537" t="n"/>
    </row>
    <row customHeight="1" ht="15.75" r="220" s="452" spans="1:32">
      <c r="A220" s="44" t="n"/>
      <c r="W220" s="537" t="n"/>
      <c r="X220" s="537" t="n"/>
      <c r="Z220" s="537" t="n"/>
      <c r="AA220" s="537" t="n"/>
    </row>
    <row customHeight="1" ht="15.75" r="221" s="452" spans="1:32">
      <c r="A221" s="44" t="n"/>
      <c r="W221" s="537" t="n"/>
      <c r="X221" s="537" t="n"/>
      <c r="Z221" s="537" t="n"/>
      <c r="AA221" s="537" t="n"/>
    </row>
    <row customHeight="1" ht="15.75" r="222" s="452" spans="1:32">
      <c r="A222" s="44" t="n"/>
      <c r="W222" s="537" t="n"/>
      <c r="X222" s="537" t="n"/>
      <c r="Z222" s="537" t="n"/>
      <c r="AA222" s="537" t="n"/>
    </row>
    <row customHeight="1" ht="15.75" r="223" s="452" spans="1:32">
      <c r="A223" s="44" t="n"/>
      <c r="W223" s="537" t="n"/>
      <c r="X223" s="537" t="n"/>
      <c r="Z223" s="537" t="n"/>
      <c r="AA223" s="537" t="n"/>
    </row>
    <row customHeight="1" ht="15.75" r="224" s="452" spans="1:32">
      <c r="A224" s="44" t="n"/>
      <c r="W224" s="537" t="n"/>
      <c r="X224" s="537" t="n"/>
      <c r="Z224" s="537" t="n"/>
      <c r="AA224" s="537" t="n"/>
    </row>
    <row customHeight="1" ht="15.75" r="225" s="452" spans="1:32">
      <c r="A225" s="44" t="n"/>
      <c r="W225" s="537" t="n"/>
      <c r="X225" s="537" t="n"/>
      <c r="Z225" s="537" t="n"/>
      <c r="AA225" s="537" t="n"/>
    </row>
    <row customHeight="1" ht="15.75" r="226" s="452" spans="1:32">
      <c r="A226" s="44" t="n"/>
      <c r="W226" s="537" t="n"/>
      <c r="X226" s="537" t="n"/>
      <c r="Z226" s="537" t="n"/>
      <c r="AA226" s="537" t="n"/>
    </row>
    <row customHeight="1" ht="15.75" r="227" s="452" spans="1:32">
      <c r="A227" s="44" t="n"/>
      <c r="W227" s="537" t="n"/>
      <c r="X227" s="537" t="n"/>
      <c r="Z227" s="537" t="n"/>
      <c r="AA227" s="537" t="n"/>
    </row>
    <row customHeight="1" ht="15.75" r="228" s="452" spans="1:32">
      <c r="A228" s="44" t="n"/>
      <c r="W228" s="537" t="n"/>
      <c r="X228" s="537" t="n"/>
      <c r="Z228" s="537" t="n"/>
      <c r="AA228" s="537" t="n"/>
    </row>
    <row customHeight="1" ht="15.75" r="229" s="452" spans="1:32">
      <c r="A229" s="44" t="n"/>
      <c r="W229" s="537" t="n"/>
      <c r="X229" s="537" t="n"/>
      <c r="Z229" s="537" t="n"/>
      <c r="AA229" s="537" t="n"/>
    </row>
    <row customHeight="1" ht="15.75" r="230" s="452" spans="1:32">
      <c r="A230" s="44" t="n"/>
      <c r="W230" s="537" t="n"/>
      <c r="X230" s="537" t="n"/>
      <c r="Z230" s="537" t="n"/>
      <c r="AA230" s="537" t="n"/>
    </row>
    <row customHeight="1" ht="15.75" r="231" s="452" spans="1:32">
      <c r="A231" s="44" t="n"/>
      <c r="W231" s="537" t="n"/>
      <c r="X231" s="537" t="n"/>
      <c r="Z231" s="537" t="n"/>
      <c r="AA231" s="537" t="n"/>
    </row>
    <row customHeight="1" ht="15.75" r="232" s="452" spans="1:32">
      <c r="A232" s="44" t="n"/>
      <c r="W232" s="537" t="n"/>
      <c r="X232" s="537" t="n"/>
      <c r="Z232" s="537" t="n"/>
      <c r="AA232" s="537" t="n"/>
    </row>
    <row customHeight="1" ht="15.75" r="233" s="452" spans="1:32">
      <c r="A233" s="44" t="n"/>
      <c r="W233" s="537" t="n"/>
      <c r="X233" s="537" t="n"/>
      <c r="Z233" s="537" t="n"/>
      <c r="AA233" s="537" t="n"/>
    </row>
    <row customHeight="1" ht="15.75" r="234" s="452" spans="1:32">
      <c r="A234" s="44" t="n"/>
      <c r="W234" s="537" t="n"/>
      <c r="X234" s="537" t="n"/>
      <c r="Z234" s="537" t="n"/>
      <c r="AA234" s="537" t="n"/>
    </row>
    <row customHeight="1" ht="15.75" r="235" s="452" spans="1:32">
      <c r="A235" s="44" t="n"/>
      <c r="W235" s="537" t="n"/>
      <c r="X235" s="537" t="n"/>
      <c r="Z235" s="537" t="n"/>
      <c r="AA235" s="537" t="n"/>
    </row>
    <row customHeight="1" ht="15.75" r="236" s="452" spans="1:32">
      <c r="A236" s="44" t="n"/>
      <c r="W236" s="537" t="n"/>
      <c r="X236" s="537" t="n"/>
      <c r="Z236" s="537" t="n"/>
      <c r="AA236" s="537" t="n"/>
    </row>
    <row customHeight="1" ht="15.75" r="237" s="452" spans="1:32">
      <c r="A237" s="44" t="n"/>
      <c r="W237" s="537" t="n"/>
      <c r="X237" s="537" t="n"/>
      <c r="Z237" s="537" t="n"/>
      <c r="AA237" s="537" t="n"/>
    </row>
    <row customHeight="1" ht="15.75" r="238" s="452" spans="1:32">
      <c r="A238" s="44" t="n"/>
      <c r="W238" s="537" t="n"/>
      <c r="X238" s="537" t="n"/>
      <c r="Z238" s="537" t="n"/>
      <c r="AA238" s="537" t="n"/>
    </row>
    <row customHeight="1" ht="15.75" r="239" s="452" spans="1:32">
      <c r="A239" s="44" t="n"/>
      <c r="W239" s="537" t="n"/>
      <c r="X239" s="537" t="n"/>
      <c r="Z239" s="537" t="n"/>
      <c r="AA239" s="537" t="n"/>
    </row>
    <row customHeight="1" ht="15.75" r="240" s="452" spans="1:32">
      <c r="A240" s="44" t="n"/>
      <c r="W240" s="537" t="n"/>
      <c r="X240" s="537" t="n"/>
      <c r="Z240" s="537" t="n"/>
      <c r="AA240" s="537" t="n"/>
    </row>
    <row customHeight="1" ht="15.75" r="241" s="452" spans="1:32">
      <c r="A241" s="44" t="n"/>
      <c r="W241" s="537" t="n"/>
      <c r="X241" s="537" t="n"/>
      <c r="Z241" s="537" t="n"/>
      <c r="AA241" s="537" t="n"/>
    </row>
    <row customHeight="1" ht="15.75" r="242" s="452" spans="1:32">
      <c r="A242" s="44" t="n"/>
      <c r="W242" s="537" t="n"/>
      <c r="X242" s="537" t="n"/>
      <c r="Z242" s="537" t="n"/>
      <c r="AA242" s="537" t="n"/>
    </row>
    <row customHeight="1" ht="15.75" r="243" s="452" spans="1:32">
      <c r="A243" s="44" t="n"/>
      <c r="W243" s="537" t="n"/>
      <c r="X243" s="537" t="n"/>
      <c r="Z243" s="537" t="n"/>
      <c r="AA243" s="537" t="n"/>
    </row>
    <row customHeight="1" ht="15.75" r="244" s="452" spans="1:32">
      <c r="A244" s="44" t="n"/>
      <c r="W244" s="537" t="n"/>
      <c r="X244" s="537" t="n"/>
      <c r="Z244" s="537" t="n"/>
      <c r="AA244" s="537" t="n"/>
    </row>
    <row customHeight="1" ht="15.75" r="245" s="452" spans="1:32">
      <c r="A245" s="44" t="n"/>
      <c r="W245" s="537" t="n"/>
      <c r="X245" s="537" t="n"/>
      <c r="Z245" s="537" t="n"/>
      <c r="AA245" s="537" t="n"/>
    </row>
    <row customHeight="1" ht="15.75" r="246" s="452" spans="1:32">
      <c r="A246" s="44" t="n"/>
      <c r="W246" s="537" t="n"/>
      <c r="X246" s="537" t="n"/>
      <c r="Z246" s="537" t="n"/>
      <c r="AA246" s="537" t="n"/>
    </row>
    <row customHeight="1" ht="15.75" r="247" s="452" spans="1:32">
      <c r="A247" s="44" t="n"/>
      <c r="W247" s="537" t="n"/>
      <c r="X247" s="537" t="n"/>
      <c r="Z247" s="537" t="n"/>
      <c r="AA247" s="537" t="n"/>
    </row>
    <row customHeight="1" ht="15.75" r="248" s="452" spans="1:32">
      <c r="A248" s="44" t="n"/>
      <c r="W248" s="537" t="n"/>
      <c r="X248" s="537" t="n"/>
      <c r="Z248" s="537" t="n"/>
      <c r="AA248" s="537" t="n"/>
    </row>
    <row customHeight="1" ht="15.75" r="249" s="452" spans="1:32">
      <c r="A249" s="44" t="n"/>
      <c r="W249" s="537" t="n"/>
      <c r="X249" s="537" t="n"/>
      <c r="Z249" s="537" t="n"/>
      <c r="AA249" s="537" t="n"/>
    </row>
    <row customHeight="1" ht="15.75" r="250" s="452" spans="1:32">
      <c r="A250" s="44" t="n"/>
      <c r="W250" s="537" t="n"/>
      <c r="X250" s="537" t="n"/>
      <c r="Z250" s="537" t="n"/>
      <c r="AA250" s="537" t="n"/>
    </row>
    <row customHeight="1" ht="15.75" r="251" s="452" spans="1:32">
      <c r="A251" s="44" t="n"/>
      <c r="W251" s="537" t="n"/>
      <c r="X251" s="537" t="n"/>
      <c r="Z251" s="537" t="n"/>
      <c r="AA251" s="537" t="n"/>
    </row>
    <row customHeight="1" ht="15.75" r="252" s="452" spans="1:32">
      <c r="A252" s="44" t="n"/>
      <c r="W252" s="537" t="n"/>
      <c r="X252" s="537" t="n"/>
      <c r="Z252" s="537" t="n"/>
      <c r="AA252" s="537" t="n"/>
    </row>
    <row customHeight="1" ht="15.75" r="253" s="452" spans="1:32">
      <c r="A253" s="44" t="n"/>
      <c r="W253" s="537" t="n"/>
      <c r="X253" s="537" t="n"/>
      <c r="Z253" s="537" t="n"/>
      <c r="AA253" s="537" t="n"/>
    </row>
    <row customHeight="1" ht="15.75" r="254" s="452" spans="1:32">
      <c r="A254" s="44" t="n"/>
      <c r="W254" s="537" t="n"/>
      <c r="X254" s="537" t="n"/>
      <c r="Z254" s="537" t="n"/>
      <c r="AA254" s="537" t="n"/>
    </row>
    <row customHeight="1" ht="15.75" r="255" s="452" spans="1:32">
      <c r="A255" s="44" t="n"/>
      <c r="W255" s="537" t="n"/>
      <c r="X255" s="537" t="n"/>
      <c r="Z255" s="537" t="n"/>
      <c r="AA255" s="537" t="n"/>
    </row>
    <row customHeight="1" ht="15.75" r="256" s="452" spans="1:32">
      <c r="A256" s="44" t="n"/>
      <c r="W256" s="537" t="n"/>
      <c r="X256" s="537" t="n"/>
      <c r="Z256" s="537" t="n"/>
      <c r="AA256" s="537" t="n"/>
    </row>
    <row customHeight="1" ht="15.75" r="257" s="452" spans="1:32">
      <c r="A257" s="44" t="n"/>
      <c r="W257" s="537" t="n"/>
      <c r="X257" s="537" t="n"/>
      <c r="Z257" s="537" t="n"/>
      <c r="AA257" s="537" t="n"/>
    </row>
    <row customHeight="1" ht="15.75" r="258" s="452" spans="1:32">
      <c r="A258" s="44" t="n"/>
      <c r="W258" s="537" t="n"/>
      <c r="X258" s="537" t="n"/>
      <c r="Z258" s="537" t="n"/>
      <c r="AA258" s="537" t="n"/>
    </row>
    <row customHeight="1" ht="15.75" r="259" s="452" spans="1:32">
      <c r="A259" s="44" t="n"/>
      <c r="W259" s="537" t="n"/>
      <c r="X259" s="537" t="n"/>
      <c r="Z259" s="537" t="n"/>
      <c r="AA259" s="537" t="n"/>
    </row>
    <row customHeight="1" ht="15.75" r="260" s="452" spans="1:32">
      <c r="A260" s="44" t="n"/>
      <c r="W260" s="537" t="n"/>
      <c r="X260" s="537" t="n"/>
      <c r="Z260" s="537" t="n"/>
      <c r="AA260" s="537" t="n"/>
    </row>
    <row customHeight="1" ht="15.75" r="261" s="452" spans="1:32">
      <c r="A261" s="44" t="n"/>
      <c r="W261" s="537" t="n"/>
      <c r="X261" s="537" t="n"/>
      <c r="Z261" s="537" t="n"/>
      <c r="AA261" s="537" t="n"/>
    </row>
    <row customHeight="1" ht="15.75" r="262" s="452" spans="1:32">
      <c r="A262" s="44" t="n"/>
      <c r="W262" s="537" t="n"/>
      <c r="X262" s="537" t="n"/>
      <c r="Z262" s="537" t="n"/>
      <c r="AA262" s="537" t="n"/>
    </row>
    <row customHeight="1" ht="15.75" r="263" s="452" spans="1:32">
      <c r="A263" s="44" t="n"/>
      <c r="W263" s="537" t="n"/>
      <c r="X263" s="537" t="n"/>
      <c r="Z263" s="537" t="n"/>
      <c r="AA263" s="537" t="n"/>
    </row>
    <row customHeight="1" ht="15.75" r="264" s="452" spans="1:32">
      <c r="A264" s="44" t="n"/>
      <c r="W264" s="537" t="n"/>
      <c r="X264" s="537" t="n"/>
      <c r="Z264" s="537" t="n"/>
      <c r="AA264" s="537" t="n"/>
    </row>
    <row customHeight="1" ht="15.75" r="265" s="452" spans="1:32">
      <c r="A265" s="44" t="n"/>
      <c r="W265" s="537" t="n"/>
      <c r="X265" s="537" t="n"/>
      <c r="Z265" s="537" t="n"/>
      <c r="AA265" s="537" t="n"/>
    </row>
    <row customHeight="1" ht="15.75" r="266" s="452" spans="1:32">
      <c r="A266" s="44" t="n"/>
      <c r="W266" s="537" t="n"/>
      <c r="X266" s="537" t="n"/>
      <c r="Z266" s="537" t="n"/>
      <c r="AA266" s="537" t="n"/>
    </row>
    <row customHeight="1" ht="15.75" r="267" s="452" spans="1:32">
      <c r="A267" s="44" t="n"/>
      <c r="W267" s="537" t="n"/>
      <c r="X267" s="537" t="n"/>
      <c r="Z267" s="537" t="n"/>
      <c r="AA267" s="537" t="n"/>
    </row>
    <row customHeight="1" ht="15.75" r="268" s="452" spans="1:32">
      <c r="A268" s="44" t="n"/>
      <c r="W268" s="537" t="n"/>
      <c r="X268" s="537" t="n"/>
      <c r="Z268" s="537" t="n"/>
      <c r="AA268" s="537" t="n"/>
    </row>
    <row customHeight="1" ht="15.75" r="269" s="452" spans="1:32">
      <c r="A269" s="44" t="n"/>
      <c r="W269" s="537" t="n"/>
      <c r="X269" s="537" t="n"/>
      <c r="Z269" s="537" t="n"/>
      <c r="AA269" s="537" t="n"/>
    </row>
    <row customHeight="1" ht="15.75" r="270" s="452" spans="1:32">
      <c r="A270" s="44" t="n"/>
      <c r="W270" s="537" t="n"/>
      <c r="X270" s="537" t="n"/>
      <c r="Z270" s="537" t="n"/>
      <c r="AA270" s="537" t="n"/>
    </row>
    <row customHeight="1" ht="15.75" r="271" s="452" spans="1:32">
      <c r="A271" s="44" t="n"/>
      <c r="W271" s="537" t="n"/>
      <c r="X271" s="537" t="n"/>
      <c r="Z271" s="537" t="n"/>
      <c r="AA271" s="537" t="n"/>
    </row>
    <row customHeight="1" ht="15.75" r="272" s="452" spans="1:32">
      <c r="A272" s="44" t="n"/>
      <c r="W272" s="537" t="n"/>
      <c r="X272" s="537" t="n"/>
      <c r="Z272" s="537" t="n"/>
      <c r="AA272" s="537" t="n"/>
    </row>
    <row customHeight="1" ht="15.75" r="273" s="452" spans="1:32">
      <c r="A273" s="44" t="n"/>
      <c r="W273" s="537" t="n"/>
      <c r="X273" s="537" t="n"/>
      <c r="Z273" s="537" t="n"/>
      <c r="AA273" s="537" t="n"/>
    </row>
    <row customHeight="1" ht="15.75" r="274" s="452" spans="1:32">
      <c r="A274" s="44" t="n"/>
      <c r="W274" s="537" t="n"/>
      <c r="X274" s="537" t="n"/>
      <c r="Z274" s="537" t="n"/>
      <c r="AA274" s="537" t="n"/>
    </row>
    <row customHeight="1" ht="15.75" r="275" s="452" spans="1:32">
      <c r="A275" s="44" t="n"/>
      <c r="W275" s="537" t="n"/>
      <c r="X275" s="537" t="n"/>
      <c r="Z275" s="537" t="n"/>
      <c r="AA275" s="537" t="n"/>
    </row>
    <row customHeight="1" ht="15.75" r="276" s="452" spans="1:32">
      <c r="A276" s="44" t="n"/>
      <c r="W276" s="537" t="n"/>
      <c r="X276" s="537" t="n"/>
      <c r="Z276" s="537" t="n"/>
      <c r="AA276" s="537" t="n"/>
    </row>
    <row customHeight="1" ht="15.75" r="277" s="452" spans="1:32">
      <c r="A277" s="44" t="n"/>
      <c r="W277" s="537" t="n"/>
      <c r="X277" s="537" t="n"/>
      <c r="Z277" s="537" t="n"/>
      <c r="AA277" s="537" t="n"/>
    </row>
    <row customHeight="1" ht="15.75" r="278" s="452" spans="1:32">
      <c r="A278" s="44" t="n"/>
      <c r="W278" s="537" t="n"/>
      <c r="X278" s="537" t="n"/>
      <c r="Z278" s="537" t="n"/>
      <c r="AA278" s="537" t="n"/>
    </row>
    <row customHeight="1" ht="15.75" r="279" s="452" spans="1:32">
      <c r="A279" s="44" t="n"/>
      <c r="W279" s="537" t="n"/>
      <c r="X279" s="537" t="n"/>
      <c r="Z279" s="537" t="n"/>
      <c r="AA279" s="537" t="n"/>
    </row>
    <row customHeight="1" ht="15.75" r="280" s="452" spans="1:32">
      <c r="A280" s="44" t="n"/>
      <c r="W280" s="537" t="n"/>
      <c r="X280" s="537" t="n"/>
      <c r="Z280" s="537" t="n"/>
      <c r="AA280" s="537" t="n"/>
    </row>
    <row customHeight="1" ht="15.75" r="281" s="452" spans="1:32">
      <c r="A281" s="44" t="n"/>
      <c r="W281" s="537" t="n"/>
      <c r="X281" s="537" t="n"/>
      <c r="Z281" s="537" t="n"/>
      <c r="AA281" s="537" t="n"/>
    </row>
    <row customHeight="1" ht="15.75" r="282" s="452" spans="1:32">
      <c r="A282" s="44" t="n"/>
      <c r="W282" s="537" t="n"/>
      <c r="X282" s="537" t="n"/>
      <c r="Z282" s="537" t="n"/>
      <c r="AA282" s="537" t="n"/>
    </row>
    <row customHeight="1" ht="15.75" r="283" s="452" spans="1:32">
      <c r="A283" s="44" t="n"/>
      <c r="W283" s="537" t="n"/>
      <c r="X283" s="537" t="n"/>
      <c r="Z283" s="537" t="n"/>
      <c r="AA283" s="537" t="n"/>
    </row>
    <row customHeight="1" ht="15.75" r="284" s="452" spans="1:32">
      <c r="A284" s="44" t="n"/>
      <c r="W284" s="537" t="n"/>
      <c r="X284" s="537" t="n"/>
      <c r="Z284" s="537" t="n"/>
      <c r="AA284" s="537" t="n"/>
    </row>
    <row customHeight="1" ht="15.75" r="285" s="452" spans="1:32">
      <c r="A285" s="44" t="n"/>
      <c r="W285" s="537" t="n"/>
      <c r="X285" s="537" t="n"/>
      <c r="Z285" s="537" t="n"/>
      <c r="AA285" s="537" t="n"/>
    </row>
    <row customHeight="1" ht="15.75" r="286" s="452" spans="1:32">
      <c r="A286" s="44" t="n"/>
      <c r="W286" s="537" t="n"/>
      <c r="X286" s="537" t="n"/>
      <c r="Z286" s="537" t="n"/>
      <c r="AA286" s="537" t="n"/>
    </row>
    <row customHeight="1" ht="15.75" r="287" s="452" spans="1:32">
      <c r="A287" s="44" t="n"/>
      <c r="W287" s="537" t="n"/>
      <c r="X287" s="537" t="n"/>
      <c r="Z287" s="537" t="n"/>
      <c r="AA287" s="537" t="n"/>
    </row>
    <row customHeight="1" ht="15.75" r="288" s="452" spans="1:32">
      <c r="A288" s="44" t="n"/>
      <c r="W288" s="537" t="n"/>
      <c r="X288" s="537" t="n"/>
      <c r="Z288" s="537" t="n"/>
      <c r="AA288" s="537" t="n"/>
    </row>
    <row customHeight="1" ht="15.75" r="289" s="452" spans="1:32">
      <c r="A289" s="44" t="n"/>
      <c r="W289" s="537" t="n"/>
      <c r="X289" s="537" t="n"/>
      <c r="Z289" s="537" t="n"/>
      <c r="AA289" s="537" t="n"/>
    </row>
    <row customHeight="1" ht="15.75" r="290" s="452" spans="1:32">
      <c r="A290" s="44" t="n"/>
      <c r="W290" s="537" t="n"/>
      <c r="X290" s="537" t="n"/>
      <c r="Z290" s="537" t="n"/>
      <c r="AA290" s="537" t="n"/>
    </row>
    <row customHeight="1" ht="15.75" r="291" s="452" spans="1:32">
      <c r="A291" s="44" t="n"/>
      <c r="W291" s="537" t="n"/>
      <c r="X291" s="537" t="n"/>
      <c r="Z291" s="537" t="n"/>
      <c r="AA291" s="537" t="n"/>
    </row>
    <row customHeight="1" ht="15.75" r="292" s="452" spans="1:32">
      <c r="A292" s="44" t="n"/>
      <c r="W292" s="537" t="n"/>
      <c r="X292" s="537" t="n"/>
      <c r="Z292" s="537" t="n"/>
      <c r="AA292" s="537" t="n"/>
    </row>
    <row customHeight="1" ht="15.75" r="293" s="452" spans="1:32">
      <c r="A293" s="44" t="n"/>
      <c r="W293" s="537" t="n"/>
      <c r="X293" s="537" t="n"/>
      <c r="Z293" s="537" t="n"/>
      <c r="AA293" s="537" t="n"/>
    </row>
    <row customHeight="1" ht="15.75" r="294" s="452" spans="1:32">
      <c r="A294" s="44" t="n"/>
      <c r="W294" s="537" t="n"/>
      <c r="X294" s="537" t="n"/>
      <c r="Z294" s="537" t="n"/>
      <c r="AA294" s="537" t="n"/>
    </row>
    <row customHeight="1" ht="15.75" r="295" s="452" spans="1:32">
      <c r="A295" s="44" t="n"/>
      <c r="W295" s="537" t="n"/>
      <c r="X295" s="537" t="n"/>
      <c r="Z295" s="537" t="n"/>
      <c r="AA295" s="537" t="n"/>
    </row>
    <row customHeight="1" ht="15.75" r="296" s="452" spans="1:32">
      <c r="A296" s="44" t="n"/>
      <c r="W296" s="537" t="n"/>
      <c r="X296" s="537" t="n"/>
      <c r="Z296" s="537" t="n"/>
      <c r="AA296" s="537" t="n"/>
    </row>
    <row customHeight="1" ht="15.75" r="297" s="452" spans="1:32">
      <c r="A297" s="44" t="n"/>
      <c r="W297" s="537" t="n"/>
      <c r="X297" s="537" t="n"/>
      <c r="Z297" s="537" t="n"/>
      <c r="AA297" s="537" t="n"/>
    </row>
    <row customHeight="1" ht="15.75" r="298" s="452" spans="1:32">
      <c r="A298" s="44" t="n"/>
      <c r="W298" s="537" t="n"/>
      <c r="X298" s="537" t="n"/>
      <c r="Z298" s="537" t="n"/>
      <c r="AA298" s="537" t="n"/>
    </row>
    <row customHeight="1" ht="15.75" r="299" s="452" spans="1:32">
      <c r="A299" s="44" t="n"/>
      <c r="W299" s="537" t="n"/>
      <c r="X299" s="537" t="n"/>
      <c r="Z299" s="537" t="n"/>
      <c r="AA299" s="537" t="n"/>
    </row>
    <row customHeight="1" ht="15.75" r="300" s="452" spans="1:32">
      <c r="A300" s="44" t="n"/>
      <c r="W300" s="537" t="n"/>
      <c r="X300" s="537" t="n"/>
      <c r="Z300" s="537" t="n"/>
      <c r="AA300" s="537" t="n"/>
    </row>
    <row customHeight="1" ht="15.75" r="301" s="452" spans="1:32">
      <c r="A301" s="44" t="n"/>
      <c r="W301" s="537" t="n"/>
      <c r="X301" s="537" t="n"/>
      <c r="Z301" s="537" t="n"/>
      <c r="AA301" s="537" t="n"/>
    </row>
    <row customHeight="1" ht="15.75" r="302" s="452" spans="1:32">
      <c r="A302" s="44" t="n"/>
      <c r="W302" s="537" t="n"/>
      <c r="X302" s="537" t="n"/>
      <c r="Z302" s="537" t="n"/>
      <c r="AA302" s="537" t="n"/>
    </row>
    <row customHeight="1" ht="15.75" r="303" s="452" spans="1:32">
      <c r="A303" s="44" t="n"/>
      <c r="W303" s="537" t="n"/>
      <c r="X303" s="537" t="n"/>
      <c r="Z303" s="537" t="n"/>
      <c r="AA303" s="537" t="n"/>
    </row>
    <row customHeight="1" ht="15.75" r="304" s="452" spans="1:32">
      <c r="A304" s="44" t="n"/>
      <c r="W304" s="537" t="n"/>
      <c r="X304" s="537" t="n"/>
      <c r="Z304" s="537" t="n"/>
      <c r="AA304" s="537" t="n"/>
    </row>
    <row customHeight="1" ht="15.75" r="305" s="452" spans="1:32">
      <c r="A305" s="44" t="n"/>
      <c r="W305" s="537" t="n"/>
      <c r="X305" s="537" t="n"/>
      <c r="Z305" s="537" t="n"/>
      <c r="AA305" s="537" t="n"/>
    </row>
    <row customHeight="1" ht="15.75" r="306" s="452" spans="1:32">
      <c r="A306" s="44" t="n"/>
      <c r="W306" s="537" t="n"/>
      <c r="X306" s="537" t="n"/>
      <c r="Z306" s="537" t="n"/>
      <c r="AA306" s="537" t="n"/>
    </row>
    <row customHeight="1" ht="15.75" r="307" s="452" spans="1:32">
      <c r="A307" s="44" t="n"/>
      <c r="W307" s="537" t="n"/>
      <c r="X307" s="537" t="n"/>
      <c r="Z307" s="537" t="n"/>
      <c r="AA307" s="537" t="n"/>
    </row>
    <row customHeight="1" ht="15.75" r="308" s="452" spans="1:32">
      <c r="A308" s="44" t="n"/>
      <c r="W308" s="537" t="n"/>
      <c r="X308" s="537" t="n"/>
      <c r="Z308" s="537" t="n"/>
      <c r="AA308" s="537" t="n"/>
    </row>
    <row customHeight="1" ht="15.75" r="309" s="452" spans="1:32">
      <c r="A309" s="44" t="n"/>
      <c r="W309" s="537" t="n"/>
      <c r="X309" s="537" t="n"/>
      <c r="Z309" s="537" t="n"/>
      <c r="AA309" s="537" t="n"/>
    </row>
    <row customHeight="1" ht="15.75" r="310" s="452" spans="1:32">
      <c r="A310" s="44" t="n"/>
      <c r="W310" s="537" t="n"/>
      <c r="X310" s="537" t="n"/>
      <c r="Z310" s="537" t="n"/>
      <c r="AA310" s="537" t="n"/>
    </row>
    <row customHeight="1" ht="15.75" r="311" s="452" spans="1:32">
      <c r="A311" s="44" t="n"/>
      <c r="W311" s="537" t="n"/>
      <c r="X311" s="537" t="n"/>
      <c r="Z311" s="537" t="n"/>
      <c r="AA311" s="537" t="n"/>
    </row>
    <row customHeight="1" ht="15.75" r="312" s="452" spans="1:32">
      <c r="A312" s="44" t="n"/>
      <c r="W312" s="537" t="n"/>
      <c r="X312" s="537" t="n"/>
      <c r="Z312" s="537" t="n"/>
      <c r="AA312" s="537" t="n"/>
    </row>
    <row customHeight="1" ht="15.75" r="313" s="452" spans="1:32">
      <c r="A313" s="44" t="n"/>
      <c r="W313" s="537" t="n"/>
      <c r="X313" s="537" t="n"/>
      <c r="Z313" s="537" t="n"/>
      <c r="AA313" s="537" t="n"/>
    </row>
    <row customHeight="1" ht="15.75" r="314" s="452" spans="1:32">
      <c r="A314" s="44" t="n"/>
      <c r="W314" s="537" t="n"/>
      <c r="X314" s="537" t="n"/>
      <c r="Z314" s="537" t="n"/>
      <c r="AA314" s="537" t="n"/>
    </row>
    <row customHeight="1" ht="15.75" r="315" s="452" spans="1:32">
      <c r="A315" s="44" t="n"/>
      <c r="W315" s="537" t="n"/>
      <c r="X315" s="537" t="n"/>
      <c r="Z315" s="537" t="n"/>
      <c r="AA315" s="537" t="n"/>
    </row>
    <row customHeight="1" ht="15.75" r="316" s="452" spans="1:32">
      <c r="A316" s="44" t="n"/>
      <c r="W316" s="537" t="n"/>
      <c r="X316" s="537" t="n"/>
      <c r="Z316" s="537" t="n"/>
      <c r="AA316" s="537" t="n"/>
    </row>
    <row customHeight="1" ht="15.75" r="317" s="452" spans="1:32">
      <c r="A317" s="44" t="n"/>
      <c r="W317" s="537" t="n"/>
      <c r="X317" s="537" t="n"/>
      <c r="Z317" s="537" t="n"/>
      <c r="AA317" s="537" t="n"/>
    </row>
    <row customHeight="1" ht="15.75" r="318" s="452" spans="1:32">
      <c r="A318" s="44" t="n"/>
      <c r="W318" s="537" t="n"/>
      <c r="X318" s="537" t="n"/>
      <c r="Z318" s="537" t="n"/>
      <c r="AA318" s="537" t="n"/>
    </row>
    <row customHeight="1" ht="15.75" r="319" s="452" spans="1:32">
      <c r="A319" s="44" t="n"/>
      <c r="W319" s="537" t="n"/>
      <c r="X319" s="537" t="n"/>
      <c r="Z319" s="537" t="n"/>
      <c r="AA319" s="537" t="n"/>
    </row>
    <row customHeight="1" ht="15.75" r="320" s="452" spans="1:32">
      <c r="A320" s="44" t="n"/>
      <c r="W320" s="537" t="n"/>
      <c r="X320" s="537" t="n"/>
      <c r="Z320" s="537" t="n"/>
      <c r="AA320" s="537" t="n"/>
    </row>
    <row customHeight="1" ht="15.75" r="321" s="452" spans="1:32">
      <c r="A321" s="44" t="n"/>
      <c r="W321" s="537" t="n"/>
      <c r="X321" s="537" t="n"/>
      <c r="Z321" s="537" t="n"/>
      <c r="AA321" s="537" t="n"/>
    </row>
    <row customHeight="1" ht="15.75" r="322" s="452" spans="1:32">
      <c r="A322" s="44" t="n"/>
      <c r="W322" s="537" t="n"/>
      <c r="X322" s="537" t="n"/>
      <c r="Z322" s="537" t="n"/>
      <c r="AA322" s="537" t="n"/>
    </row>
    <row customHeight="1" ht="15.75" r="323" s="452" spans="1:32">
      <c r="A323" s="44" t="n"/>
      <c r="W323" s="537" t="n"/>
      <c r="X323" s="537" t="n"/>
      <c r="Z323" s="537" t="n"/>
      <c r="AA323" s="537" t="n"/>
    </row>
    <row customHeight="1" ht="15.75" r="324" s="452" spans="1:32">
      <c r="A324" s="44" t="n"/>
      <c r="W324" s="537" t="n"/>
      <c r="X324" s="537" t="n"/>
      <c r="Z324" s="537" t="n"/>
      <c r="AA324" s="537" t="n"/>
    </row>
    <row customHeight="1" ht="15.75" r="325" s="452" spans="1:32">
      <c r="A325" s="44" t="n"/>
      <c r="W325" s="537" t="n"/>
      <c r="X325" s="537" t="n"/>
      <c r="Z325" s="537" t="n"/>
      <c r="AA325" s="537" t="n"/>
    </row>
    <row customHeight="1" ht="15.75" r="326" s="452" spans="1:32">
      <c r="A326" s="44" t="n"/>
      <c r="W326" s="537" t="n"/>
      <c r="X326" s="537" t="n"/>
      <c r="Z326" s="537" t="n"/>
      <c r="AA326" s="537" t="n"/>
    </row>
    <row customHeight="1" ht="15.75" r="327" s="452" spans="1:32">
      <c r="A327" s="44" t="n"/>
      <c r="W327" s="537" t="n"/>
      <c r="X327" s="537" t="n"/>
      <c r="Z327" s="537" t="n"/>
      <c r="AA327" s="537" t="n"/>
    </row>
    <row customHeight="1" ht="15.75" r="328" s="452" spans="1:32">
      <c r="A328" s="44" t="n"/>
      <c r="W328" s="537" t="n"/>
      <c r="X328" s="537" t="n"/>
      <c r="Z328" s="537" t="n"/>
      <c r="AA328" s="537" t="n"/>
    </row>
    <row customHeight="1" ht="15.75" r="329" s="452" spans="1:32">
      <c r="A329" s="44" t="n"/>
      <c r="W329" s="537" t="n"/>
      <c r="X329" s="537" t="n"/>
      <c r="Z329" s="537" t="n"/>
      <c r="AA329" s="537" t="n"/>
    </row>
    <row customHeight="1" ht="15.75" r="330" s="452" spans="1:32">
      <c r="A330" s="44" t="n"/>
      <c r="W330" s="537" t="n"/>
      <c r="X330" s="537" t="n"/>
      <c r="Z330" s="537" t="n"/>
      <c r="AA330" s="537" t="n"/>
    </row>
    <row customHeight="1" ht="15.75" r="331" s="452" spans="1:32">
      <c r="A331" s="44" t="n"/>
      <c r="W331" s="537" t="n"/>
      <c r="X331" s="537" t="n"/>
      <c r="Z331" s="537" t="n"/>
      <c r="AA331" s="537" t="n"/>
    </row>
    <row customHeight="1" ht="15.75" r="332" s="452" spans="1:32">
      <c r="A332" s="44" t="n"/>
      <c r="W332" s="537" t="n"/>
      <c r="X332" s="537" t="n"/>
      <c r="Z332" s="537" t="n"/>
      <c r="AA332" s="537" t="n"/>
    </row>
    <row customHeight="1" ht="15.75" r="333" s="452" spans="1:32">
      <c r="A333" s="44" t="n"/>
      <c r="W333" s="537" t="n"/>
      <c r="X333" s="537" t="n"/>
      <c r="Z333" s="537" t="n"/>
      <c r="AA333" s="537" t="n"/>
    </row>
    <row customHeight="1" ht="15.75" r="334" s="452" spans="1:32">
      <c r="A334" s="44" t="n"/>
      <c r="W334" s="537" t="n"/>
      <c r="X334" s="537" t="n"/>
      <c r="Z334" s="537" t="n"/>
      <c r="AA334" s="537" t="n"/>
    </row>
    <row customHeight="1" ht="15.75" r="335" s="452" spans="1:32">
      <c r="A335" s="44" t="n"/>
      <c r="W335" s="537" t="n"/>
      <c r="X335" s="537" t="n"/>
      <c r="Z335" s="537" t="n"/>
      <c r="AA335" s="537" t="n"/>
    </row>
    <row customHeight="1" ht="15.75" r="336" s="452" spans="1:32">
      <c r="A336" s="44" t="n"/>
      <c r="W336" s="537" t="n"/>
      <c r="X336" s="537" t="n"/>
      <c r="Z336" s="537" t="n"/>
      <c r="AA336" s="537" t="n"/>
    </row>
    <row customHeight="1" ht="15.75" r="337" s="452" spans="1:32">
      <c r="A337" s="44" t="n"/>
      <c r="W337" s="537" t="n"/>
      <c r="X337" s="537" t="n"/>
      <c r="Z337" s="537" t="n"/>
      <c r="AA337" s="537" t="n"/>
    </row>
    <row customHeight="1" ht="15.75" r="338" s="452" spans="1:32">
      <c r="A338" s="44" t="n"/>
      <c r="W338" s="537" t="n"/>
      <c r="X338" s="537" t="n"/>
      <c r="Z338" s="537" t="n"/>
      <c r="AA338" s="537" t="n"/>
    </row>
    <row customHeight="1" ht="15.75" r="339" s="452" spans="1:32">
      <c r="A339" s="44" t="n"/>
      <c r="W339" s="537" t="n"/>
      <c r="X339" s="537" t="n"/>
      <c r="Z339" s="537" t="n"/>
      <c r="AA339" s="537" t="n"/>
    </row>
    <row customHeight="1" ht="15.75" r="340" s="452" spans="1:32">
      <c r="A340" s="44" t="n"/>
      <c r="W340" s="537" t="n"/>
      <c r="X340" s="537" t="n"/>
      <c r="Z340" s="537" t="n"/>
      <c r="AA340" s="537" t="n"/>
    </row>
    <row customHeight="1" ht="15.75" r="341" s="452" spans="1:32">
      <c r="A341" s="44" t="n"/>
      <c r="W341" s="537" t="n"/>
      <c r="X341" s="537" t="n"/>
      <c r="Z341" s="537" t="n"/>
      <c r="AA341" s="537" t="n"/>
    </row>
    <row customHeight="1" ht="15.75" r="342" s="452" spans="1:32">
      <c r="A342" s="44" t="n"/>
      <c r="W342" s="537" t="n"/>
      <c r="X342" s="537" t="n"/>
      <c r="Z342" s="537" t="n"/>
      <c r="AA342" s="537" t="n"/>
    </row>
    <row customHeight="1" ht="15.75" r="343" s="452" spans="1:32">
      <c r="A343" s="44" t="n"/>
      <c r="W343" s="537" t="n"/>
      <c r="X343" s="537" t="n"/>
      <c r="Z343" s="537" t="n"/>
      <c r="AA343" s="537" t="n"/>
    </row>
    <row customHeight="1" ht="15.75" r="344" s="452" spans="1:32">
      <c r="A344" s="44" t="n"/>
      <c r="W344" s="537" t="n"/>
      <c r="X344" s="537" t="n"/>
      <c r="Z344" s="537" t="n"/>
      <c r="AA344" s="537" t="n"/>
    </row>
    <row customHeight="1" ht="15.75" r="345" s="452" spans="1:32">
      <c r="A345" s="44" t="n"/>
      <c r="W345" s="537" t="n"/>
      <c r="X345" s="537" t="n"/>
      <c r="Z345" s="537" t="n"/>
      <c r="AA345" s="537" t="n"/>
    </row>
    <row customHeight="1" ht="15.75" r="346" s="452" spans="1:32">
      <c r="A346" s="44" t="n"/>
      <c r="W346" s="537" t="n"/>
      <c r="X346" s="537" t="n"/>
      <c r="Z346" s="537" t="n"/>
      <c r="AA346" s="537" t="n"/>
    </row>
    <row customHeight="1" ht="15.75" r="347" s="452" spans="1:32">
      <c r="A347" s="44" t="n"/>
      <c r="W347" s="537" t="n"/>
      <c r="X347" s="537" t="n"/>
      <c r="Z347" s="537" t="n"/>
      <c r="AA347" s="537" t="n"/>
    </row>
    <row customHeight="1" ht="15.75" r="348" s="452" spans="1:32">
      <c r="A348" s="44" t="n"/>
      <c r="W348" s="537" t="n"/>
      <c r="X348" s="537" t="n"/>
      <c r="Z348" s="537" t="n"/>
      <c r="AA348" s="537" t="n"/>
    </row>
    <row customHeight="1" ht="15.75" r="349" s="452" spans="1:32">
      <c r="A349" s="44" t="n"/>
      <c r="W349" s="537" t="n"/>
      <c r="X349" s="537" t="n"/>
      <c r="Z349" s="537" t="n"/>
      <c r="AA349" s="537" t="n"/>
    </row>
    <row customHeight="1" ht="15.75" r="350" s="452" spans="1:32">
      <c r="A350" s="44" t="n"/>
      <c r="W350" s="537" t="n"/>
      <c r="X350" s="537" t="n"/>
      <c r="Z350" s="537" t="n"/>
      <c r="AA350" s="537" t="n"/>
    </row>
    <row customHeight="1" ht="15.75" r="351" s="452" spans="1:32">
      <c r="A351" s="44" t="n"/>
      <c r="W351" s="537" t="n"/>
      <c r="X351" s="537" t="n"/>
      <c r="Z351" s="537" t="n"/>
      <c r="AA351" s="537" t="n"/>
    </row>
    <row customHeight="1" ht="15.75" r="352" s="452" spans="1:32">
      <c r="A352" s="44" t="n"/>
      <c r="W352" s="537" t="n"/>
      <c r="X352" s="537" t="n"/>
      <c r="Z352" s="537" t="n"/>
      <c r="AA352" s="537" t="n"/>
    </row>
    <row customHeight="1" ht="15.75" r="353" s="452" spans="1:32">
      <c r="A353" s="44" t="n"/>
      <c r="W353" s="537" t="n"/>
      <c r="X353" s="537" t="n"/>
      <c r="Z353" s="537" t="n"/>
      <c r="AA353" s="537" t="n"/>
    </row>
    <row customHeight="1" ht="15.75" r="354" s="452" spans="1:32">
      <c r="A354" s="44" t="n"/>
      <c r="W354" s="537" t="n"/>
      <c r="X354" s="537" t="n"/>
      <c r="Z354" s="537" t="n"/>
      <c r="AA354" s="537" t="n"/>
    </row>
    <row customHeight="1" ht="15.75" r="355" s="452" spans="1:32">
      <c r="A355" s="44" t="n"/>
      <c r="W355" s="537" t="n"/>
      <c r="X355" s="537" t="n"/>
      <c r="Z355" s="537" t="n"/>
      <c r="AA355" s="537" t="n"/>
    </row>
    <row customHeight="1" ht="15.75" r="356" s="452" spans="1:32">
      <c r="A356" s="44" t="n"/>
      <c r="W356" s="537" t="n"/>
      <c r="X356" s="537" t="n"/>
      <c r="Z356" s="537" t="n"/>
      <c r="AA356" s="537" t="n"/>
    </row>
    <row customHeight="1" ht="15.75" r="357" s="452" spans="1:32">
      <c r="A357" s="44" t="n"/>
      <c r="W357" s="537" t="n"/>
      <c r="X357" s="537" t="n"/>
      <c r="Z357" s="537" t="n"/>
      <c r="AA357" s="537" t="n"/>
    </row>
    <row customHeight="1" ht="15.75" r="358" s="452" spans="1:32">
      <c r="A358" s="44" t="n"/>
      <c r="W358" s="537" t="n"/>
      <c r="X358" s="537" t="n"/>
      <c r="Z358" s="537" t="n"/>
      <c r="AA358" s="537" t="n"/>
    </row>
    <row customHeight="1" ht="15.75" r="359" s="452" spans="1:32">
      <c r="A359" s="44" t="n"/>
      <c r="W359" s="537" t="n"/>
      <c r="X359" s="537" t="n"/>
      <c r="Z359" s="537" t="n"/>
      <c r="AA359" s="537" t="n"/>
    </row>
    <row customHeight="1" ht="15.75" r="360" s="452" spans="1:32">
      <c r="A360" s="44" t="n"/>
      <c r="W360" s="537" t="n"/>
      <c r="X360" s="537" t="n"/>
      <c r="Z360" s="537" t="n"/>
      <c r="AA360" s="537" t="n"/>
    </row>
    <row customHeight="1" ht="15.75" r="361" s="452" spans="1:32">
      <c r="A361" s="44" t="n"/>
      <c r="W361" s="537" t="n"/>
      <c r="X361" s="537" t="n"/>
      <c r="Z361" s="537" t="n"/>
      <c r="AA361" s="537" t="n"/>
    </row>
    <row customHeight="1" ht="15.75" r="362" s="452" spans="1:32">
      <c r="A362" s="44" t="n"/>
      <c r="W362" s="537" t="n"/>
      <c r="X362" s="537" t="n"/>
      <c r="Z362" s="537" t="n"/>
      <c r="AA362" s="537" t="n"/>
    </row>
    <row customHeight="1" ht="15.75" r="363" s="452" spans="1:32">
      <c r="A363" s="44" t="n"/>
      <c r="W363" s="537" t="n"/>
      <c r="X363" s="537" t="n"/>
      <c r="Z363" s="537" t="n"/>
      <c r="AA363" s="537" t="n"/>
    </row>
    <row customHeight="1" ht="15.75" r="364" s="452" spans="1:32">
      <c r="A364" s="44" t="n"/>
      <c r="W364" s="537" t="n"/>
      <c r="X364" s="537" t="n"/>
      <c r="Z364" s="537" t="n"/>
      <c r="AA364" s="537" t="n"/>
    </row>
    <row customHeight="1" ht="15.75" r="365" s="452" spans="1:32">
      <c r="A365" s="44" t="n"/>
      <c r="W365" s="537" t="n"/>
      <c r="X365" s="537" t="n"/>
      <c r="Z365" s="537" t="n"/>
      <c r="AA365" s="537" t="n"/>
    </row>
    <row customHeight="1" ht="15.75" r="366" s="452" spans="1:32">
      <c r="A366" s="44" t="n"/>
      <c r="W366" s="537" t="n"/>
      <c r="X366" s="537" t="n"/>
      <c r="Z366" s="537" t="n"/>
      <c r="AA366" s="537" t="n"/>
    </row>
    <row customHeight="1" ht="15.75" r="367" s="452" spans="1:32">
      <c r="A367" s="44" t="n"/>
      <c r="W367" s="537" t="n"/>
      <c r="X367" s="537" t="n"/>
      <c r="Z367" s="537" t="n"/>
      <c r="AA367" s="537" t="n"/>
    </row>
    <row customHeight="1" ht="15.75" r="368" s="452" spans="1:32">
      <c r="A368" s="44" t="n"/>
      <c r="W368" s="537" t="n"/>
      <c r="X368" s="537" t="n"/>
      <c r="Z368" s="537" t="n"/>
      <c r="AA368" s="537" t="n"/>
    </row>
    <row customHeight="1" ht="15.75" r="369" s="452" spans="1:32">
      <c r="A369" s="44" t="n"/>
      <c r="W369" s="537" t="n"/>
      <c r="X369" s="537" t="n"/>
      <c r="Z369" s="537" t="n"/>
      <c r="AA369" s="537" t="n"/>
    </row>
    <row customHeight="1" ht="15.75" r="370" s="452" spans="1:32">
      <c r="A370" s="44" t="n"/>
      <c r="W370" s="537" t="n"/>
      <c r="X370" s="537" t="n"/>
      <c r="Z370" s="537" t="n"/>
      <c r="AA370" s="537" t="n"/>
    </row>
    <row customHeight="1" ht="15.75" r="371" s="452" spans="1:32">
      <c r="A371" s="44" t="n"/>
      <c r="W371" s="537" t="n"/>
      <c r="X371" s="537" t="n"/>
      <c r="Z371" s="537" t="n"/>
      <c r="AA371" s="537" t="n"/>
    </row>
    <row customHeight="1" ht="15.75" r="372" s="452" spans="1:32">
      <c r="A372" s="44" t="n"/>
      <c r="W372" s="537" t="n"/>
      <c r="X372" s="537" t="n"/>
      <c r="Z372" s="537" t="n"/>
      <c r="AA372" s="537" t="n"/>
    </row>
    <row customHeight="1" ht="15.75" r="373" s="452" spans="1:32">
      <c r="A373" s="44" t="n"/>
      <c r="W373" s="537" t="n"/>
      <c r="X373" s="537" t="n"/>
      <c r="Z373" s="537" t="n"/>
      <c r="AA373" s="537" t="n"/>
    </row>
    <row customHeight="1" ht="15.75" r="374" s="452" spans="1:32">
      <c r="A374" s="44" t="n"/>
      <c r="W374" s="537" t="n"/>
      <c r="X374" s="537" t="n"/>
      <c r="Z374" s="537" t="n"/>
      <c r="AA374" s="537" t="n"/>
    </row>
    <row customHeight="1" ht="15.75" r="375" s="452" spans="1:32">
      <c r="A375" s="44" t="n"/>
      <c r="W375" s="537" t="n"/>
      <c r="X375" s="537" t="n"/>
      <c r="Z375" s="537" t="n"/>
      <c r="AA375" s="537" t="n"/>
    </row>
    <row customHeight="1" ht="15.75" r="376" s="452" spans="1:32">
      <c r="A376" s="44" t="n"/>
      <c r="W376" s="537" t="n"/>
      <c r="X376" s="537" t="n"/>
      <c r="Z376" s="537" t="n"/>
      <c r="AA376" s="537" t="n"/>
    </row>
    <row customHeight="1" ht="15.75" r="377" s="452" spans="1:32">
      <c r="A377" s="44" t="n"/>
      <c r="W377" s="537" t="n"/>
      <c r="X377" s="537" t="n"/>
      <c r="Z377" s="537" t="n"/>
      <c r="AA377" s="537" t="n"/>
    </row>
    <row customHeight="1" ht="15.75" r="378" s="452" spans="1:32">
      <c r="A378" s="44" t="n"/>
      <c r="W378" s="537" t="n"/>
      <c r="X378" s="537" t="n"/>
      <c r="Z378" s="537" t="n"/>
      <c r="AA378" s="537" t="n"/>
    </row>
    <row customHeight="1" ht="15.75" r="379" s="452" spans="1:32">
      <c r="A379" s="44" t="n"/>
      <c r="W379" s="537" t="n"/>
      <c r="X379" s="537" t="n"/>
      <c r="Z379" s="537" t="n"/>
      <c r="AA379" s="537" t="n"/>
    </row>
    <row customHeight="1" ht="15.75" r="380" s="452" spans="1:32">
      <c r="A380" s="44" t="n"/>
      <c r="W380" s="537" t="n"/>
      <c r="X380" s="537" t="n"/>
      <c r="Z380" s="537" t="n"/>
      <c r="AA380" s="537" t="n"/>
    </row>
    <row customHeight="1" ht="15.75" r="381" s="452" spans="1:32">
      <c r="A381" s="44" t="n"/>
      <c r="W381" s="537" t="n"/>
      <c r="X381" s="537" t="n"/>
      <c r="Z381" s="537" t="n"/>
      <c r="AA381" s="537" t="n"/>
    </row>
    <row customHeight="1" ht="15.75" r="382" s="452" spans="1:32">
      <c r="A382" s="44" t="n"/>
      <c r="W382" s="537" t="n"/>
      <c r="X382" s="537" t="n"/>
      <c r="Z382" s="537" t="n"/>
      <c r="AA382" s="537" t="n"/>
    </row>
    <row customHeight="1" ht="15.75" r="383" s="452" spans="1:32">
      <c r="A383" s="44" t="n"/>
      <c r="W383" s="537" t="n"/>
      <c r="X383" s="537" t="n"/>
      <c r="Z383" s="537" t="n"/>
      <c r="AA383" s="537" t="n"/>
    </row>
    <row customHeight="1" ht="15.75" r="384" s="452" spans="1:32">
      <c r="A384" s="44" t="n"/>
      <c r="W384" s="537" t="n"/>
      <c r="X384" s="537" t="n"/>
      <c r="Z384" s="537" t="n"/>
      <c r="AA384" s="537" t="n"/>
    </row>
    <row customHeight="1" ht="15.75" r="385" s="452" spans="1:32">
      <c r="A385" s="44" t="n"/>
      <c r="W385" s="537" t="n"/>
      <c r="X385" s="537" t="n"/>
      <c r="Z385" s="537" t="n"/>
      <c r="AA385" s="537" t="n"/>
    </row>
    <row customHeight="1" ht="15.75" r="386" s="452" spans="1:32">
      <c r="A386" s="44" t="n"/>
      <c r="W386" s="537" t="n"/>
      <c r="X386" s="537" t="n"/>
      <c r="Z386" s="537" t="n"/>
      <c r="AA386" s="537" t="n"/>
    </row>
    <row customHeight="1" ht="15.75" r="387" s="452" spans="1:32">
      <c r="A387" s="44" t="n"/>
      <c r="W387" s="537" t="n"/>
      <c r="X387" s="537" t="n"/>
      <c r="Z387" s="537" t="n"/>
      <c r="AA387" s="537" t="n"/>
    </row>
    <row customHeight="1" ht="15.75" r="388" s="452" spans="1:32">
      <c r="A388" s="44" t="n"/>
      <c r="W388" s="537" t="n"/>
      <c r="X388" s="537" t="n"/>
      <c r="Z388" s="537" t="n"/>
      <c r="AA388" s="537" t="n"/>
    </row>
    <row customHeight="1" ht="15.75" r="389" s="452" spans="1:32">
      <c r="A389" s="44" t="n"/>
      <c r="W389" s="537" t="n"/>
      <c r="X389" s="537" t="n"/>
      <c r="Z389" s="537" t="n"/>
      <c r="AA389" s="537" t="n"/>
    </row>
    <row customHeight="1" ht="15.75" r="390" s="452" spans="1:32">
      <c r="A390" s="44" t="n"/>
      <c r="W390" s="537" t="n"/>
      <c r="X390" s="537" t="n"/>
      <c r="Z390" s="537" t="n"/>
      <c r="AA390" s="537" t="n"/>
    </row>
    <row customHeight="1" ht="15.75" r="391" s="452" spans="1:32">
      <c r="A391" s="44" t="n"/>
      <c r="W391" s="537" t="n"/>
      <c r="X391" s="537" t="n"/>
      <c r="Z391" s="537" t="n"/>
      <c r="AA391" s="537" t="n"/>
    </row>
    <row customHeight="1" ht="15.75" r="392" s="452" spans="1:32">
      <c r="A392" s="44" t="n"/>
      <c r="W392" s="537" t="n"/>
      <c r="X392" s="537" t="n"/>
      <c r="Z392" s="537" t="n"/>
      <c r="AA392" s="537" t="n"/>
    </row>
    <row customHeight="1" ht="15.75" r="393" s="452" spans="1:32">
      <c r="A393" s="44" t="n"/>
      <c r="W393" s="537" t="n"/>
      <c r="X393" s="537" t="n"/>
      <c r="Z393" s="537" t="n"/>
      <c r="AA393" s="537" t="n"/>
    </row>
    <row customHeight="1" ht="15.75" r="394" s="452" spans="1:32">
      <c r="A394" s="44" t="n"/>
      <c r="W394" s="537" t="n"/>
      <c r="X394" s="537" t="n"/>
      <c r="Z394" s="537" t="n"/>
      <c r="AA394" s="537" t="n"/>
    </row>
    <row customHeight="1" ht="15.75" r="395" s="452" spans="1:32">
      <c r="A395" s="44" t="n"/>
      <c r="W395" s="537" t="n"/>
      <c r="X395" s="537" t="n"/>
      <c r="Z395" s="537" t="n"/>
      <c r="AA395" s="537" t="n"/>
    </row>
    <row customHeight="1" ht="15.75" r="396" s="452" spans="1:32">
      <c r="A396" s="44" t="n"/>
      <c r="W396" s="537" t="n"/>
      <c r="X396" s="537" t="n"/>
      <c r="Z396" s="537" t="n"/>
      <c r="AA396" s="537" t="n"/>
    </row>
    <row customHeight="1" ht="15.75" r="397" s="452" spans="1:32">
      <c r="A397" s="44" t="n"/>
      <c r="W397" s="537" t="n"/>
      <c r="X397" s="537" t="n"/>
      <c r="Z397" s="537" t="n"/>
      <c r="AA397" s="537" t="n"/>
    </row>
    <row customHeight="1" ht="15.75" r="398" s="452" spans="1:32">
      <c r="A398" s="44" t="n"/>
      <c r="W398" s="537" t="n"/>
      <c r="X398" s="537" t="n"/>
      <c r="Z398" s="537" t="n"/>
      <c r="AA398" s="537" t="n"/>
    </row>
    <row customHeight="1" ht="15.75" r="399" s="452" spans="1:32">
      <c r="A399" s="44" t="n"/>
      <c r="W399" s="537" t="n"/>
      <c r="X399" s="537" t="n"/>
      <c r="Z399" s="537" t="n"/>
      <c r="AA399" s="537" t="n"/>
    </row>
    <row customHeight="1" ht="15.75" r="400" s="452" spans="1:32">
      <c r="A400" s="44" t="n"/>
      <c r="W400" s="537" t="n"/>
      <c r="X400" s="537" t="n"/>
      <c r="Z400" s="537" t="n"/>
      <c r="AA400" s="537" t="n"/>
    </row>
    <row customHeight="1" ht="15.75" r="401" s="452" spans="1:32">
      <c r="A401" s="44" t="n"/>
      <c r="W401" s="537" t="n"/>
      <c r="X401" s="537" t="n"/>
      <c r="Z401" s="537" t="n"/>
      <c r="AA401" s="537" t="n"/>
    </row>
    <row customHeight="1" ht="15.75" r="402" s="452" spans="1:32">
      <c r="A402" s="44" t="n"/>
      <c r="W402" s="537" t="n"/>
      <c r="X402" s="537" t="n"/>
      <c r="Z402" s="537" t="n"/>
      <c r="AA402" s="537" t="n"/>
    </row>
    <row customHeight="1" ht="15.75" r="403" s="452" spans="1:32">
      <c r="A403" s="44" t="n"/>
      <c r="W403" s="537" t="n"/>
      <c r="X403" s="537" t="n"/>
      <c r="Z403" s="537" t="n"/>
      <c r="AA403" s="537" t="n"/>
    </row>
    <row customHeight="1" ht="15.75" r="404" s="452" spans="1:32">
      <c r="A404" s="44" t="n"/>
      <c r="W404" s="537" t="n"/>
      <c r="X404" s="537" t="n"/>
      <c r="Z404" s="537" t="n"/>
      <c r="AA404" s="537" t="n"/>
    </row>
    <row customHeight="1" ht="15.75" r="405" s="452" spans="1:32">
      <c r="A405" s="44" t="n"/>
      <c r="W405" s="537" t="n"/>
      <c r="X405" s="537" t="n"/>
      <c r="Z405" s="537" t="n"/>
      <c r="AA405" s="537" t="n"/>
    </row>
    <row customHeight="1" ht="15.75" r="406" s="452" spans="1:32">
      <c r="A406" s="44" t="n"/>
      <c r="W406" s="537" t="n"/>
      <c r="X406" s="537" t="n"/>
      <c r="Z406" s="537" t="n"/>
      <c r="AA406" s="537" t="n"/>
    </row>
    <row customHeight="1" ht="15.75" r="407" s="452" spans="1:32">
      <c r="A407" s="44" t="n"/>
      <c r="W407" s="537" t="n"/>
      <c r="X407" s="537" t="n"/>
      <c r="Z407" s="537" t="n"/>
      <c r="AA407" s="537" t="n"/>
    </row>
    <row customHeight="1" ht="15.75" r="408" s="452" spans="1:32">
      <c r="A408" s="44" t="n"/>
      <c r="W408" s="537" t="n"/>
      <c r="X408" s="537" t="n"/>
      <c r="Z408" s="537" t="n"/>
      <c r="AA408" s="537" t="n"/>
    </row>
    <row customHeight="1" ht="15.75" r="409" s="452" spans="1:32">
      <c r="A409" s="44" t="n"/>
      <c r="W409" s="537" t="n"/>
      <c r="X409" s="537" t="n"/>
      <c r="Z409" s="537" t="n"/>
      <c r="AA409" s="537" t="n"/>
    </row>
    <row customHeight="1" ht="15.75" r="410" s="452" spans="1:32">
      <c r="A410" s="44" t="n"/>
      <c r="W410" s="537" t="n"/>
      <c r="X410" s="537" t="n"/>
      <c r="Z410" s="537" t="n"/>
      <c r="AA410" s="537" t="n"/>
    </row>
    <row customHeight="1" ht="15.75" r="411" s="452" spans="1:32">
      <c r="A411" s="44" t="n"/>
      <c r="W411" s="537" t="n"/>
      <c r="X411" s="537" t="n"/>
      <c r="Z411" s="537" t="n"/>
      <c r="AA411" s="537" t="n"/>
    </row>
    <row customHeight="1" ht="15.75" r="412" s="452" spans="1:32">
      <c r="A412" s="44" t="n"/>
      <c r="W412" s="537" t="n"/>
      <c r="X412" s="537" t="n"/>
      <c r="Z412" s="537" t="n"/>
      <c r="AA412" s="537" t="n"/>
    </row>
    <row customHeight="1" ht="15.75" r="413" s="452" spans="1:32">
      <c r="A413" s="44" t="n"/>
      <c r="W413" s="537" t="n"/>
      <c r="X413" s="537" t="n"/>
      <c r="Z413" s="537" t="n"/>
      <c r="AA413" s="537" t="n"/>
    </row>
    <row customHeight="1" ht="15.75" r="414" s="452" spans="1:32">
      <c r="A414" s="44" t="n"/>
      <c r="W414" s="537" t="n"/>
      <c r="X414" s="537" t="n"/>
      <c r="Z414" s="537" t="n"/>
      <c r="AA414" s="537" t="n"/>
    </row>
    <row customHeight="1" ht="15.75" r="415" s="452" spans="1:32">
      <c r="A415" s="44" t="n"/>
      <c r="W415" s="537" t="n"/>
      <c r="X415" s="537" t="n"/>
      <c r="Z415" s="537" t="n"/>
      <c r="AA415" s="537" t="n"/>
    </row>
    <row customHeight="1" ht="15.75" r="416" s="452" spans="1:32">
      <c r="A416" s="44" t="n"/>
      <c r="W416" s="537" t="n"/>
      <c r="X416" s="537" t="n"/>
      <c r="Z416" s="537" t="n"/>
      <c r="AA416" s="537" t="n"/>
    </row>
    <row customHeight="1" ht="15.75" r="417" s="452" spans="1:32">
      <c r="A417" s="44" t="n"/>
      <c r="W417" s="537" t="n"/>
      <c r="X417" s="537" t="n"/>
      <c r="Z417" s="537" t="n"/>
      <c r="AA417" s="537" t="n"/>
    </row>
    <row customHeight="1" ht="15.75" r="418" s="452" spans="1:32">
      <c r="A418" s="44" t="n"/>
      <c r="W418" s="537" t="n"/>
      <c r="X418" s="537" t="n"/>
      <c r="Z418" s="537" t="n"/>
      <c r="AA418" s="537" t="n"/>
    </row>
    <row customHeight="1" ht="15.75" r="419" s="452" spans="1:32">
      <c r="A419" s="44" t="n"/>
      <c r="W419" s="537" t="n"/>
      <c r="X419" s="537" t="n"/>
      <c r="Z419" s="537" t="n"/>
      <c r="AA419" s="537" t="n"/>
    </row>
    <row customHeight="1" ht="15.75" r="420" s="452" spans="1:32">
      <c r="A420" s="44" t="n"/>
      <c r="W420" s="537" t="n"/>
      <c r="X420" s="537" t="n"/>
      <c r="Z420" s="537" t="n"/>
      <c r="AA420" s="537" t="n"/>
    </row>
    <row customHeight="1" ht="15.75" r="421" s="452" spans="1:32">
      <c r="A421" s="44" t="n"/>
      <c r="W421" s="537" t="n"/>
      <c r="X421" s="537" t="n"/>
      <c r="Z421" s="537" t="n"/>
      <c r="AA421" s="537" t="n"/>
    </row>
    <row customHeight="1" ht="15.75" r="422" s="452" spans="1:32">
      <c r="A422" s="44" t="n"/>
      <c r="W422" s="537" t="n"/>
      <c r="X422" s="537" t="n"/>
      <c r="Z422" s="537" t="n"/>
      <c r="AA422" s="537" t="n"/>
    </row>
    <row customHeight="1" ht="15.75" r="423" s="452" spans="1:32">
      <c r="A423" s="44" t="n"/>
      <c r="W423" s="537" t="n"/>
      <c r="X423" s="537" t="n"/>
      <c r="Z423" s="537" t="n"/>
      <c r="AA423" s="537" t="n"/>
    </row>
    <row customHeight="1" ht="15.75" r="424" s="452" spans="1:32">
      <c r="A424" s="44" t="n"/>
      <c r="W424" s="537" t="n"/>
      <c r="X424" s="537" t="n"/>
      <c r="Z424" s="537" t="n"/>
      <c r="AA424" s="537" t="n"/>
    </row>
    <row customHeight="1" ht="15.75" r="425" s="452" spans="1:32">
      <c r="A425" s="44" t="n"/>
      <c r="W425" s="537" t="n"/>
      <c r="X425" s="537" t="n"/>
      <c r="Z425" s="537" t="n"/>
      <c r="AA425" s="537" t="n"/>
    </row>
    <row customHeight="1" ht="15.75" r="426" s="452" spans="1:32">
      <c r="A426" s="44" t="n"/>
      <c r="W426" s="537" t="n"/>
      <c r="X426" s="537" t="n"/>
      <c r="Z426" s="537" t="n"/>
      <c r="AA426" s="537" t="n"/>
    </row>
    <row customHeight="1" ht="15.75" r="427" s="452" spans="1:32">
      <c r="A427" s="44" t="n"/>
      <c r="W427" s="537" t="n"/>
      <c r="X427" s="537" t="n"/>
      <c r="Z427" s="537" t="n"/>
      <c r="AA427" s="537" t="n"/>
    </row>
    <row customHeight="1" ht="15.75" r="428" s="452" spans="1:32">
      <c r="A428" s="44" t="n"/>
      <c r="W428" s="537" t="n"/>
      <c r="X428" s="537" t="n"/>
      <c r="Z428" s="537" t="n"/>
      <c r="AA428" s="537" t="n"/>
    </row>
    <row customHeight="1" ht="15.75" r="429" s="452" spans="1:32">
      <c r="A429" s="44" t="n"/>
      <c r="W429" s="537" t="n"/>
      <c r="X429" s="537" t="n"/>
      <c r="Z429" s="537" t="n"/>
      <c r="AA429" s="537" t="n"/>
    </row>
    <row customHeight="1" ht="15.75" r="430" s="452" spans="1:32">
      <c r="A430" s="44" t="n"/>
      <c r="W430" s="537" t="n"/>
      <c r="X430" s="537" t="n"/>
      <c r="Z430" s="537" t="n"/>
      <c r="AA430" s="537" t="n"/>
    </row>
    <row customHeight="1" ht="15.75" r="431" s="452" spans="1:32">
      <c r="A431" s="44" t="n"/>
      <c r="W431" s="537" t="n"/>
      <c r="X431" s="537" t="n"/>
      <c r="Z431" s="537" t="n"/>
      <c r="AA431" s="537" t="n"/>
    </row>
    <row customHeight="1" ht="15.75" r="432" s="452" spans="1:32">
      <c r="A432" s="44" t="n"/>
      <c r="W432" s="537" t="n"/>
      <c r="X432" s="537" t="n"/>
      <c r="Z432" s="537" t="n"/>
      <c r="AA432" s="537" t="n"/>
    </row>
    <row customHeight="1" ht="15.75" r="433" s="452" spans="1:32">
      <c r="A433" s="44" t="n"/>
      <c r="W433" s="537" t="n"/>
      <c r="X433" s="537" t="n"/>
      <c r="Z433" s="537" t="n"/>
      <c r="AA433" s="537" t="n"/>
    </row>
    <row customHeight="1" ht="15.75" r="434" s="452" spans="1:32">
      <c r="A434" s="44" t="n"/>
      <c r="W434" s="537" t="n"/>
      <c r="X434" s="537" t="n"/>
      <c r="Z434" s="537" t="n"/>
      <c r="AA434" s="537" t="n"/>
    </row>
    <row customHeight="1" ht="15.75" r="435" s="452" spans="1:32">
      <c r="A435" s="44" t="n"/>
      <c r="W435" s="537" t="n"/>
      <c r="X435" s="537" t="n"/>
      <c r="Z435" s="537" t="n"/>
      <c r="AA435" s="537" t="n"/>
    </row>
    <row customHeight="1" ht="15.75" r="436" s="452" spans="1:32">
      <c r="A436" s="44" t="n"/>
      <c r="W436" s="537" t="n"/>
      <c r="X436" s="537" t="n"/>
      <c r="Z436" s="537" t="n"/>
      <c r="AA436" s="537" t="n"/>
    </row>
    <row customHeight="1" ht="15.75" r="437" s="452" spans="1:32">
      <c r="A437" s="44" t="n"/>
      <c r="W437" s="537" t="n"/>
      <c r="X437" s="537" t="n"/>
      <c r="Z437" s="537" t="n"/>
      <c r="AA437" s="537" t="n"/>
    </row>
    <row customHeight="1" ht="15.75" r="438" s="452" spans="1:32">
      <c r="A438" s="44" t="n"/>
      <c r="W438" s="537" t="n"/>
      <c r="X438" s="537" t="n"/>
      <c r="Z438" s="537" t="n"/>
      <c r="AA438" s="537" t="n"/>
    </row>
    <row customHeight="1" ht="15.75" r="439" s="452" spans="1:32">
      <c r="A439" s="44" t="n"/>
      <c r="W439" s="537" t="n"/>
      <c r="X439" s="537" t="n"/>
      <c r="Z439" s="537" t="n"/>
      <c r="AA439" s="537" t="n"/>
    </row>
    <row customHeight="1" ht="15.75" r="440" s="452" spans="1:32">
      <c r="A440" s="44" t="n"/>
      <c r="W440" s="537" t="n"/>
      <c r="X440" s="537" t="n"/>
      <c r="Z440" s="537" t="n"/>
      <c r="AA440" s="537" t="n"/>
    </row>
    <row customHeight="1" ht="15.75" r="441" s="452" spans="1:32">
      <c r="A441" s="44" t="n"/>
      <c r="W441" s="537" t="n"/>
      <c r="X441" s="537" t="n"/>
      <c r="Z441" s="537" t="n"/>
      <c r="AA441" s="537" t="n"/>
    </row>
    <row customHeight="1" ht="15.75" r="442" s="452" spans="1:32">
      <c r="A442" s="44" t="n"/>
      <c r="W442" s="537" t="n"/>
      <c r="X442" s="537" t="n"/>
      <c r="Z442" s="537" t="n"/>
      <c r="AA442" s="537" t="n"/>
    </row>
    <row customHeight="1" ht="15.75" r="443" s="452" spans="1:32">
      <c r="A443" s="44" t="n"/>
      <c r="W443" s="537" t="n"/>
      <c r="X443" s="537" t="n"/>
      <c r="Z443" s="537" t="n"/>
      <c r="AA443" s="537" t="n"/>
    </row>
    <row customHeight="1" ht="15.75" r="444" s="452" spans="1:32">
      <c r="A444" s="44" t="n"/>
      <c r="W444" s="537" t="n"/>
      <c r="X444" s="537" t="n"/>
      <c r="Z444" s="537" t="n"/>
      <c r="AA444" s="537" t="n"/>
    </row>
    <row customHeight="1" ht="15.75" r="445" s="452" spans="1:32">
      <c r="A445" s="44" t="n"/>
      <c r="W445" s="537" t="n"/>
      <c r="X445" s="537" t="n"/>
      <c r="Z445" s="537" t="n"/>
      <c r="AA445" s="537" t="n"/>
    </row>
    <row customHeight="1" ht="15.75" r="446" s="452" spans="1:32">
      <c r="A446" s="44" t="n"/>
      <c r="W446" s="537" t="n"/>
      <c r="X446" s="537" t="n"/>
      <c r="Z446" s="537" t="n"/>
      <c r="AA446" s="537" t="n"/>
    </row>
    <row customHeight="1" ht="15.75" r="447" s="452" spans="1:32">
      <c r="A447" s="44" t="n"/>
      <c r="W447" s="537" t="n"/>
      <c r="X447" s="537" t="n"/>
      <c r="Z447" s="537" t="n"/>
      <c r="AA447" s="537" t="n"/>
    </row>
    <row customHeight="1" ht="15.75" r="448" s="452" spans="1:32">
      <c r="A448" s="44" t="n"/>
      <c r="W448" s="537" t="n"/>
      <c r="X448" s="537" t="n"/>
      <c r="Z448" s="537" t="n"/>
      <c r="AA448" s="537" t="n"/>
    </row>
    <row customHeight="1" ht="15.75" r="449" s="452" spans="1:32">
      <c r="A449" s="44" t="n"/>
      <c r="W449" s="537" t="n"/>
      <c r="X449" s="537" t="n"/>
      <c r="Z449" s="537" t="n"/>
      <c r="AA449" s="537" t="n"/>
    </row>
    <row customHeight="1" ht="15.75" r="450" s="452" spans="1:32">
      <c r="A450" s="44" t="n"/>
      <c r="W450" s="537" t="n"/>
      <c r="X450" s="537" t="n"/>
      <c r="Z450" s="537" t="n"/>
      <c r="AA450" s="537" t="n"/>
    </row>
    <row customHeight="1" ht="15.75" r="451" s="452" spans="1:32">
      <c r="A451" s="44" t="n"/>
      <c r="W451" s="537" t="n"/>
      <c r="X451" s="537" t="n"/>
      <c r="Z451" s="537" t="n"/>
      <c r="AA451" s="537" t="n"/>
    </row>
    <row customHeight="1" ht="15.75" r="452" s="452" spans="1:32">
      <c r="A452" s="44" t="n"/>
      <c r="W452" s="537" t="n"/>
      <c r="X452" s="537" t="n"/>
      <c r="Z452" s="537" t="n"/>
      <c r="AA452" s="537" t="n"/>
    </row>
    <row customHeight="1" ht="15.75" r="453" s="452" spans="1:32">
      <c r="A453" s="44" t="n"/>
      <c r="W453" s="537" t="n"/>
      <c r="X453" s="537" t="n"/>
      <c r="Z453" s="537" t="n"/>
      <c r="AA453" s="537" t="n"/>
    </row>
    <row customHeight="1" ht="15.75" r="454" s="452" spans="1:32">
      <c r="A454" s="44" t="n"/>
      <c r="W454" s="537" t="n"/>
      <c r="X454" s="537" t="n"/>
      <c r="Z454" s="537" t="n"/>
      <c r="AA454" s="537" t="n"/>
    </row>
    <row customHeight="1" ht="15.75" r="455" s="452" spans="1:32">
      <c r="A455" s="44" t="n"/>
      <c r="W455" s="537" t="n"/>
      <c r="X455" s="537" t="n"/>
      <c r="Z455" s="537" t="n"/>
      <c r="AA455" s="537" t="n"/>
    </row>
    <row customHeight="1" ht="15.75" r="456" s="452" spans="1:32">
      <c r="A456" s="44" t="n"/>
      <c r="W456" s="537" t="n"/>
      <c r="X456" s="537" t="n"/>
      <c r="Z456" s="537" t="n"/>
      <c r="AA456" s="537" t="n"/>
    </row>
    <row customHeight="1" ht="15.75" r="457" s="452" spans="1:32">
      <c r="A457" s="44" t="n"/>
      <c r="W457" s="537" t="n"/>
      <c r="X457" s="537" t="n"/>
      <c r="Z457" s="537" t="n"/>
      <c r="AA457" s="537" t="n"/>
    </row>
    <row customHeight="1" ht="15.75" r="458" s="452" spans="1:32">
      <c r="A458" s="44" t="n"/>
      <c r="W458" s="537" t="n"/>
      <c r="X458" s="537" t="n"/>
      <c r="Z458" s="537" t="n"/>
      <c r="AA458" s="537" t="n"/>
    </row>
    <row customHeight="1" ht="15.75" r="459" s="452" spans="1:32">
      <c r="A459" s="44" t="n"/>
      <c r="W459" s="537" t="n"/>
      <c r="X459" s="537" t="n"/>
      <c r="Z459" s="537" t="n"/>
      <c r="AA459" s="537" t="n"/>
    </row>
    <row customHeight="1" ht="15.75" r="460" s="452" spans="1:32">
      <c r="A460" s="44" t="n"/>
      <c r="W460" s="537" t="n"/>
      <c r="X460" s="537" t="n"/>
      <c r="Z460" s="537" t="n"/>
      <c r="AA460" s="537" t="n"/>
    </row>
    <row customHeight="1" ht="15.75" r="461" s="452" spans="1:32">
      <c r="A461" s="44" t="n"/>
      <c r="W461" s="537" t="n"/>
      <c r="X461" s="537" t="n"/>
      <c r="Z461" s="537" t="n"/>
      <c r="AA461" s="537" t="n"/>
    </row>
    <row customHeight="1" ht="15.75" r="462" s="452" spans="1:32">
      <c r="A462" s="44" t="n"/>
      <c r="W462" s="537" t="n"/>
      <c r="X462" s="537" t="n"/>
      <c r="Z462" s="537" t="n"/>
      <c r="AA462" s="537" t="n"/>
    </row>
    <row customHeight="1" ht="15.75" r="463" s="452" spans="1:32">
      <c r="A463" s="44" t="n"/>
      <c r="W463" s="537" t="n"/>
      <c r="X463" s="537" t="n"/>
      <c r="Z463" s="537" t="n"/>
      <c r="AA463" s="537" t="n"/>
    </row>
    <row customHeight="1" ht="15.75" r="464" s="452" spans="1:32">
      <c r="A464" s="44" t="n"/>
      <c r="W464" s="537" t="n"/>
      <c r="X464" s="537" t="n"/>
      <c r="Z464" s="537" t="n"/>
      <c r="AA464" s="537" t="n"/>
    </row>
    <row customHeight="1" ht="15.75" r="465" s="452" spans="1:32">
      <c r="A465" s="44" t="n"/>
      <c r="W465" s="537" t="n"/>
      <c r="X465" s="537" t="n"/>
      <c r="Z465" s="537" t="n"/>
      <c r="AA465" s="537" t="n"/>
    </row>
    <row customHeight="1" ht="15.75" r="466" s="452" spans="1:32">
      <c r="A466" s="44" t="n"/>
      <c r="W466" s="537" t="n"/>
      <c r="X466" s="537" t="n"/>
      <c r="Z466" s="537" t="n"/>
      <c r="AA466" s="537" t="n"/>
    </row>
    <row customHeight="1" ht="15.75" r="467" s="452" spans="1:32">
      <c r="A467" s="44" t="n"/>
      <c r="W467" s="537" t="n"/>
      <c r="X467" s="537" t="n"/>
      <c r="Z467" s="537" t="n"/>
      <c r="AA467" s="537" t="n"/>
    </row>
    <row customHeight="1" ht="15.75" r="468" s="452" spans="1:32">
      <c r="A468" s="44" t="n"/>
      <c r="W468" s="537" t="n"/>
      <c r="X468" s="537" t="n"/>
      <c r="Z468" s="537" t="n"/>
      <c r="AA468" s="537" t="n"/>
    </row>
    <row customHeight="1" ht="15.75" r="469" s="452" spans="1:32">
      <c r="A469" s="44" t="n"/>
      <c r="W469" s="537" t="n"/>
      <c r="X469" s="537" t="n"/>
      <c r="Z469" s="537" t="n"/>
      <c r="AA469" s="537" t="n"/>
    </row>
    <row customHeight="1" ht="15.75" r="470" s="452" spans="1:32">
      <c r="A470" s="44" t="n"/>
      <c r="W470" s="537" t="n"/>
      <c r="X470" s="537" t="n"/>
      <c r="Z470" s="537" t="n"/>
      <c r="AA470" s="537" t="n"/>
    </row>
    <row customHeight="1" ht="15.75" r="471" s="452" spans="1:32">
      <c r="A471" s="44" t="n"/>
      <c r="W471" s="537" t="n"/>
      <c r="X471" s="537" t="n"/>
      <c r="Z471" s="537" t="n"/>
      <c r="AA471" s="537" t="n"/>
    </row>
    <row customHeight="1" ht="15.75" r="472" s="452" spans="1:32">
      <c r="A472" s="44" t="n"/>
      <c r="W472" s="537" t="n"/>
      <c r="X472" s="537" t="n"/>
      <c r="Z472" s="537" t="n"/>
      <c r="AA472" s="537" t="n"/>
    </row>
    <row customHeight="1" ht="15.75" r="473" s="452" spans="1:32">
      <c r="A473" s="44" t="n"/>
      <c r="W473" s="537" t="n"/>
      <c r="X473" s="537" t="n"/>
      <c r="Z473" s="537" t="n"/>
      <c r="AA473" s="537" t="n"/>
    </row>
    <row customHeight="1" ht="15.75" r="474" s="452" spans="1:32">
      <c r="A474" s="44" t="n"/>
      <c r="W474" s="537" t="n"/>
      <c r="X474" s="537" t="n"/>
      <c r="Z474" s="537" t="n"/>
      <c r="AA474" s="537" t="n"/>
    </row>
    <row customHeight="1" ht="15.75" r="475" s="452" spans="1:32">
      <c r="A475" s="44" t="n"/>
      <c r="W475" s="537" t="n"/>
      <c r="X475" s="537" t="n"/>
      <c r="Z475" s="537" t="n"/>
      <c r="AA475" s="537" t="n"/>
    </row>
    <row customHeight="1" ht="15.75" r="476" s="452" spans="1:32">
      <c r="A476" s="44" t="n"/>
      <c r="W476" s="537" t="n"/>
      <c r="X476" s="537" t="n"/>
      <c r="Z476" s="537" t="n"/>
      <c r="AA476" s="537" t="n"/>
    </row>
    <row customHeight="1" ht="15.75" r="477" s="452" spans="1:32">
      <c r="A477" s="44" t="n"/>
      <c r="W477" s="537" t="n"/>
      <c r="X477" s="537" t="n"/>
      <c r="Z477" s="537" t="n"/>
      <c r="AA477" s="537" t="n"/>
    </row>
    <row customHeight="1" ht="15.75" r="478" s="452" spans="1:32">
      <c r="A478" s="44" t="n"/>
      <c r="W478" s="537" t="n"/>
      <c r="X478" s="537" t="n"/>
      <c r="Z478" s="537" t="n"/>
      <c r="AA478" s="537" t="n"/>
    </row>
    <row customHeight="1" ht="15.75" r="479" s="452" spans="1:32">
      <c r="A479" s="44" t="n"/>
      <c r="W479" s="537" t="n"/>
      <c r="X479" s="537" t="n"/>
      <c r="Z479" s="537" t="n"/>
      <c r="AA479" s="537" t="n"/>
    </row>
    <row customHeight="1" ht="15.75" r="480" s="452" spans="1:32">
      <c r="A480" s="44" t="n"/>
      <c r="W480" s="537" t="n"/>
      <c r="X480" s="537" t="n"/>
      <c r="Z480" s="537" t="n"/>
      <c r="AA480" s="537" t="n"/>
    </row>
    <row customHeight="1" ht="15.75" r="481" s="452" spans="1:32">
      <c r="A481" s="44" t="n"/>
      <c r="W481" s="537" t="n"/>
      <c r="X481" s="537" t="n"/>
      <c r="Z481" s="537" t="n"/>
      <c r="AA481" s="537" t="n"/>
    </row>
    <row customHeight="1" ht="15.75" r="482" s="452" spans="1:32">
      <c r="A482" s="44" t="n"/>
      <c r="W482" s="537" t="n"/>
      <c r="X482" s="537" t="n"/>
      <c r="Z482" s="537" t="n"/>
      <c r="AA482" s="537" t="n"/>
    </row>
    <row customHeight="1" ht="15.75" r="483" s="452" spans="1:32">
      <c r="A483" s="44" t="n"/>
      <c r="W483" s="537" t="n"/>
      <c r="X483" s="537" t="n"/>
      <c r="Z483" s="537" t="n"/>
      <c r="AA483" s="537" t="n"/>
    </row>
    <row customHeight="1" ht="15.75" r="484" s="452" spans="1:32">
      <c r="A484" s="44" t="n"/>
      <c r="W484" s="537" t="n"/>
      <c r="X484" s="537" t="n"/>
      <c r="Z484" s="537" t="n"/>
      <c r="AA484" s="537" t="n"/>
    </row>
    <row customHeight="1" ht="15.75" r="485" s="452" spans="1:32">
      <c r="A485" s="44" t="n"/>
      <c r="W485" s="537" t="n"/>
      <c r="X485" s="537" t="n"/>
      <c r="Z485" s="537" t="n"/>
      <c r="AA485" s="537" t="n"/>
    </row>
    <row customHeight="1" ht="15.75" r="486" s="452" spans="1:32">
      <c r="A486" s="44" t="n"/>
      <c r="W486" s="537" t="n"/>
      <c r="X486" s="537" t="n"/>
      <c r="Z486" s="537" t="n"/>
      <c r="AA486" s="537" t="n"/>
    </row>
    <row customHeight="1" ht="15.75" r="487" s="452" spans="1:32">
      <c r="A487" s="44" t="n"/>
      <c r="W487" s="537" t="n"/>
      <c r="X487" s="537" t="n"/>
      <c r="Z487" s="537" t="n"/>
      <c r="AA487" s="537" t="n"/>
    </row>
    <row customHeight="1" ht="15.75" r="488" s="452" spans="1:32">
      <c r="A488" s="44" t="n"/>
      <c r="W488" s="537" t="n"/>
      <c r="X488" s="537" t="n"/>
      <c r="Z488" s="537" t="n"/>
      <c r="AA488" s="537" t="n"/>
    </row>
    <row customHeight="1" ht="15.75" r="489" s="452" spans="1:32">
      <c r="A489" s="44" t="n"/>
      <c r="W489" s="537" t="n"/>
      <c r="X489" s="537" t="n"/>
      <c r="Z489" s="537" t="n"/>
      <c r="AA489" s="537" t="n"/>
    </row>
    <row customHeight="1" ht="15.75" r="490" s="452" spans="1:32">
      <c r="A490" s="44" t="n"/>
      <c r="W490" s="537" t="n"/>
      <c r="X490" s="537" t="n"/>
      <c r="Z490" s="537" t="n"/>
      <c r="AA490" s="537" t="n"/>
    </row>
    <row customHeight="1" ht="15.75" r="491" s="452" spans="1:32">
      <c r="A491" s="44" t="n"/>
      <c r="W491" s="537" t="n"/>
      <c r="X491" s="537" t="n"/>
      <c r="Z491" s="537" t="n"/>
      <c r="AA491" s="537" t="n"/>
    </row>
    <row customHeight="1" ht="15.75" r="492" s="452" spans="1:32">
      <c r="A492" s="44" t="n"/>
      <c r="W492" s="537" t="n"/>
      <c r="X492" s="537" t="n"/>
      <c r="Z492" s="537" t="n"/>
      <c r="AA492" s="537" t="n"/>
    </row>
    <row customHeight="1" ht="15.75" r="493" s="452" spans="1:32">
      <c r="A493" s="44" t="n"/>
      <c r="W493" s="537" t="n"/>
      <c r="X493" s="537" t="n"/>
      <c r="Z493" s="537" t="n"/>
      <c r="AA493" s="537" t="n"/>
    </row>
    <row customHeight="1" ht="15.75" r="494" s="452" spans="1:32">
      <c r="A494" s="44" t="n"/>
      <c r="W494" s="537" t="n"/>
      <c r="X494" s="537" t="n"/>
      <c r="Z494" s="537" t="n"/>
      <c r="AA494" s="537" t="n"/>
    </row>
    <row customHeight="1" ht="15.75" r="495" s="452" spans="1:32">
      <c r="A495" s="44" t="n"/>
      <c r="W495" s="537" t="n"/>
      <c r="X495" s="537" t="n"/>
      <c r="Z495" s="537" t="n"/>
      <c r="AA495" s="537" t="n"/>
    </row>
    <row customHeight="1" ht="15.75" r="496" s="452" spans="1:32">
      <c r="A496" s="44" t="n"/>
      <c r="W496" s="537" t="n"/>
      <c r="X496" s="537" t="n"/>
      <c r="Z496" s="537" t="n"/>
      <c r="AA496" s="537" t="n"/>
    </row>
    <row customHeight="1" ht="15.75" r="497" s="452" spans="1:32">
      <c r="A497" s="44" t="n"/>
      <c r="W497" s="537" t="n"/>
      <c r="X497" s="537" t="n"/>
      <c r="Z497" s="537" t="n"/>
      <c r="AA497" s="537" t="n"/>
    </row>
    <row customHeight="1" ht="15.75" r="498" s="452" spans="1:32">
      <c r="A498" s="44" t="n"/>
      <c r="W498" s="537" t="n"/>
      <c r="X498" s="537" t="n"/>
      <c r="Z498" s="537" t="n"/>
      <c r="AA498" s="537" t="n"/>
    </row>
    <row customHeight="1" ht="15.75" r="499" s="452" spans="1:32">
      <c r="A499" s="44" t="n"/>
      <c r="W499" s="537" t="n"/>
      <c r="X499" s="537" t="n"/>
      <c r="Z499" s="537" t="n"/>
      <c r="AA499" s="537" t="n"/>
    </row>
    <row customHeight="1" ht="15.75" r="500" s="452" spans="1:32">
      <c r="A500" s="44" t="n"/>
      <c r="W500" s="537" t="n"/>
      <c r="X500" s="537" t="n"/>
      <c r="Z500" s="537" t="n"/>
      <c r="AA500" s="537" t="n"/>
    </row>
    <row customHeight="1" ht="15.75" r="501" s="452" spans="1:32">
      <c r="A501" s="44" t="n"/>
      <c r="W501" s="537" t="n"/>
      <c r="X501" s="537" t="n"/>
      <c r="Z501" s="537" t="n"/>
      <c r="AA501" s="537" t="n"/>
    </row>
    <row customHeight="1" ht="15.75" r="502" s="452" spans="1:32">
      <c r="A502" s="44" t="n"/>
      <c r="W502" s="537" t="n"/>
      <c r="X502" s="537" t="n"/>
      <c r="Z502" s="537" t="n"/>
      <c r="AA502" s="537" t="n"/>
    </row>
    <row customHeight="1" ht="15.75" r="503" s="452" spans="1:32">
      <c r="A503" s="44" t="n"/>
      <c r="W503" s="537" t="n"/>
      <c r="X503" s="537" t="n"/>
      <c r="Z503" s="537" t="n"/>
      <c r="AA503" s="537" t="n"/>
    </row>
    <row customHeight="1" ht="15.75" r="504" s="452" spans="1:32">
      <c r="A504" s="44" t="n"/>
      <c r="W504" s="537" t="n"/>
      <c r="X504" s="537" t="n"/>
      <c r="Z504" s="537" t="n"/>
      <c r="AA504" s="537" t="n"/>
    </row>
    <row customHeight="1" ht="15.75" r="505" s="452" spans="1:32">
      <c r="A505" s="44" t="n"/>
      <c r="W505" s="537" t="n"/>
      <c r="X505" s="537" t="n"/>
      <c r="Z505" s="537" t="n"/>
      <c r="AA505" s="537" t="n"/>
    </row>
    <row customHeight="1" ht="15.75" r="506" s="452" spans="1:32">
      <c r="A506" s="44" t="n"/>
      <c r="W506" s="537" t="n"/>
      <c r="X506" s="537" t="n"/>
      <c r="Z506" s="537" t="n"/>
      <c r="AA506" s="537" t="n"/>
    </row>
    <row customHeight="1" ht="15.75" r="507" s="452" spans="1:32">
      <c r="A507" s="44" t="n"/>
      <c r="W507" s="537" t="n"/>
      <c r="X507" s="537" t="n"/>
      <c r="Z507" s="537" t="n"/>
      <c r="AA507" s="537" t="n"/>
    </row>
    <row customHeight="1" ht="15.75" r="508" s="452" spans="1:32">
      <c r="A508" s="44" t="n"/>
      <c r="W508" s="537" t="n"/>
      <c r="X508" s="537" t="n"/>
      <c r="Z508" s="537" t="n"/>
      <c r="AA508" s="537" t="n"/>
    </row>
    <row customHeight="1" ht="15.75" r="509" s="452" spans="1:32">
      <c r="A509" s="44" t="n"/>
      <c r="W509" s="537" t="n"/>
      <c r="X509" s="537" t="n"/>
      <c r="Z509" s="537" t="n"/>
      <c r="AA509" s="537" t="n"/>
    </row>
    <row customHeight="1" ht="15.75" r="510" s="452" spans="1:32">
      <c r="A510" s="44" t="n"/>
      <c r="W510" s="537" t="n"/>
      <c r="X510" s="537" t="n"/>
      <c r="Z510" s="537" t="n"/>
      <c r="AA510" s="537" t="n"/>
    </row>
    <row customHeight="1" ht="15.75" r="511" s="452" spans="1:32">
      <c r="A511" s="44" t="n"/>
      <c r="W511" s="537" t="n"/>
      <c r="X511" s="537" t="n"/>
      <c r="Z511" s="537" t="n"/>
      <c r="AA511" s="537" t="n"/>
    </row>
    <row customHeight="1" ht="15.75" r="512" s="452" spans="1:32">
      <c r="A512" s="44" t="n"/>
      <c r="W512" s="537" t="n"/>
      <c r="X512" s="537" t="n"/>
      <c r="Z512" s="537" t="n"/>
      <c r="AA512" s="537" t="n"/>
    </row>
    <row customHeight="1" ht="15.75" r="513" s="452" spans="1:32">
      <c r="A513" s="44" t="n"/>
      <c r="W513" s="537" t="n"/>
      <c r="X513" s="537" t="n"/>
      <c r="Z513" s="537" t="n"/>
      <c r="AA513" s="537" t="n"/>
    </row>
    <row customHeight="1" ht="15.75" r="514" s="452" spans="1:32">
      <c r="A514" s="44" t="n"/>
      <c r="W514" s="537" t="n"/>
      <c r="X514" s="537" t="n"/>
      <c r="Z514" s="537" t="n"/>
      <c r="AA514" s="537" t="n"/>
    </row>
    <row customHeight="1" ht="15.75" r="515" s="452" spans="1:32">
      <c r="A515" s="44" t="n"/>
      <c r="W515" s="537" t="n"/>
      <c r="X515" s="537" t="n"/>
      <c r="Z515" s="537" t="n"/>
      <c r="AA515" s="537" t="n"/>
    </row>
    <row customHeight="1" ht="15.75" r="516" s="452" spans="1:32">
      <c r="A516" s="44" t="n"/>
      <c r="W516" s="537" t="n"/>
      <c r="X516" s="537" t="n"/>
      <c r="Z516" s="537" t="n"/>
      <c r="AA516" s="537" t="n"/>
    </row>
    <row customHeight="1" ht="15.75" r="517" s="452" spans="1:32">
      <c r="A517" s="44" t="n"/>
      <c r="W517" s="537" t="n"/>
      <c r="X517" s="537" t="n"/>
      <c r="Z517" s="537" t="n"/>
      <c r="AA517" s="537" t="n"/>
    </row>
    <row customHeight="1" ht="15.75" r="518" s="452" spans="1:32">
      <c r="A518" s="44" t="n"/>
      <c r="W518" s="537" t="n"/>
      <c r="X518" s="537" t="n"/>
      <c r="Z518" s="537" t="n"/>
      <c r="AA518" s="537" t="n"/>
    </row>
    <row customHeight="1" ht="15.75" r="519" s="452" spans="1:32">
      <c r="A519" s="44" t="n"/>
      <c r="W519" s="537" t="n"/>
      <c r="X519" s="537" t="n"/>
      <c r="Z519" s="537" t="n"/>
      <c r="AA519" s="537" t="n"/>
    </row>
    <row customHeight="1" ht="15.75" r="520" s="452" spans="1:32">
      <c r="A520" s="44" t="n"/>
      <c r="W520" s="537" t="n"/>
      <c r="X520" s="537" t="n"/>
      <c r="Z520" s="537" t="n"/>
      <c r="AA520" s="537" t="n"/>
    </row>
    <row customHeight="1" ht="15.75" r="521" s="452" spans="1:32">
      <c r="A521" s="44" t="n"/>
      <c r="W521" s="537" t="n"/>
      <c r="X521" s="537" t="n"/>
      <c r="Z521" s="537" t="n"/>
      <c r="AA521" s="537" t="n"/>
    </row>
    <row customHeight="1" ht="15.75" r="522" s="452" spans="1:32">
      <c r="A522" s="44" t="n"/>
      <c r="W522" s="537" t="n"/>
      <c r="X522" s="537" t="n"/>
      <c r="Z522" s="537" t="n"/>
      <c r="AA522" s="537" t="n"/>
    </row>
    <row customHeight="1" ht="15.75" r="523" s="452" spans="1:32">
      <c r="A523" s="44" t="n"/>
      <c r="W523" s="537" t="n"/>
      <c r="X523" s="537" t="n"/>
      <c r="Z523" s="537" t="n"/>
      <c r="AA523" s="537" t="n"/>
    </row>
    <row customHeight="1" ht="15.75" r="524" s="452" spans="1:32">
      <c r="A524" s="44" t="n"/>
      <c r="W524" s="537" t="n"/>
      <c r="X524" s="537" t="n"/>
      <c r="Z524" s="537" t="n"/>
      <c r="AA524" s="537" t="n"/>
    </row>
    <row customHeight="1" ht="15.75" r="525" s="452" spans="1:32">
      <c r="A525" s="44" t="n"/>
      <c r="W525" s="537" t="n"/>
      <c r="X525" s="537" t="n"/>
      <c r="Z525" s="537" t="n"/>
      <c r="AA525" s="537" t="n"/>
    </row>
    <row customHeight="1" ht="15.75" r="526" s="452" spans="1:32">
      <c r="A526" s="44" t="n"/>
      <c r="W526" s="537" t="n"/>
      <c r="X526" s="537" t="n"/>
      <c r="Z526" s="537" t="n"/>
      <c r="AA526" s="537" t="n"/>
    </row>
    <row customHeight="1" ht="15.75" r="527" s="452" spans="1:32">
      <c r="A527" s="44" t="n"/>
      <c r="W527" s="537" t="n"/>
      <c r="X527" s="537" t="n"/>
      <c r="Z527" s="537" t="n"/>
      <c r="AA527" s="537" t="n"/>
    </row>
    <row customHeight="1" ht="15.75" r="528" s="452" spans="1:32">
      <c r="A528" s="44" t="n"/>
      <c r="W528" s="537" t="n"/>
      <c r="X528" s="537" t="n"/>
      <c r="Z528" s="537" t="n"/>
      <c r="AA528" s="537" t="n"/>
    </row>
    <row customHeight="1" ht="15.75" r="529" s="452" spans="1:32">
      <c r="A529" s="44" t="n"/>
      <c r="W529" s="537" t="n"/>
      <c r="X529" s="537" t="n"/>
      <c r="Z529" s="537" t="n"/>
      <c r="AA529" s="537" t="n"/>
    </row>
    <row customHeight="1" ht="15.75" r="530" s="452" spans="1:32">
      <c r="A530" s="44" t="n"/>
      <c r="W530" s="537" t="n"/>
      <c r="X530" s="537" t="n"/>
      <c r="Z530" s="537" t="n"/>
      <c r="AA530" s="537" t="n"/>
    </row>
    <row customHeight="1" ht="15.75" r="531" s="452" spans="1:32">
      <c r="A531" s="44" t="n"/>
      <c r="W531" s="537" t="n"/>
      <c r="X531" s="537" t="n"/>
      <c r="Z531" s="537" t="n"/>
      <c r="AA531" s="537" t="n"/>
    </row>
    <row customHeight="1" ht="15.75" r="532" s="452" spans="1:32">
      <c r="A532" s="44" t="n"/>
      <c r="W532" s="537" t="n"/>
      <c r="X532" s="537" t="n"/>
      <c r="Z532" s="537" t="n"/>
      <c r="AA532" s="537" t="n"/>
    </row>
    <row customHeight="1" ht="15.75" r="533" s="452" spans="1:32">
      <c r="A533" s="44" t="n"/>
      <c r="W533" s="537" t="n"/>
      <c r="X533" s="537" t="n"/>
      <c r="Z533" s="537" t="n"/>
      <c r="AA533" s="537" t="n"/>
    </row>
    <row customHeight="1" ht="15.75" r="534" s="452" spans="1:32">
      <c r="A534" s="44" t="n"/>
      <c r="W534" s="537" t="n"/>
      <c r="X534" s="537" t="n"/>
      <c r="Z534" s="537" t="n"/>
      <c r="AA534" s="537" t="n"/>
    </row>
    <row customHeight="1" ht="15.75" r="535" s="452" spans="1:32">
      <c r="A535" s="44" t="n"/>
      <c r="W535" s="537" t="n"/>
      <c r="X535" s="537" t="n"/>
      <c r="Z535" s="537" t="n"/>
      <c r="AA535" s="537" t="n"/>
    </row>
    <row customHeight="1" ht="15.75" r="536" s="452" spans="1:32">
      <c r="A536" s="44" t="n"/>
      <c r="W536" s="537" t="n"/>
      <c r="X536" s="537" t="n"/>
      <c r="Z536" s="537" t="n"/>
      <c r="AA536" s="537" t="n"/>
    </row>
    <row customHeight="1" ht="15.75" r="537" s="452" spans="1:32">
      <c r="A537" s="44" t="n"/>
      <c r="W537" s="537" t="n"/>
      <c r="X537" s="537" t="n"/>
      <c r="Z537" s="537" t="n"/>
      <c r="AA537" s="537" t="n"/>
    </row>
    <row customHeight="1" ht="15.75" r="538" s="452" spans="1:32">
      <c r="A538" s="44" t="n"/>
      <c r="W538" s="537" t="n"/>
      <c r="X538" s="537" t="n"/>
      <c r="Z538" s="537" t="n"/>
      <c r="AA538" s="537" t="n"/>
    </row>
    <row customHeight="1" ht="15.75" r="539" s="452" spans="1:32">
      <c r="A539" s="44" t="n"/>
      <c r="W539" s="537" t="n"/>
      <c r="X539" s="537" t="n"/>
      <c r="Z539" s="537" t="n"/>
      <c r="AA539" s="537" t="n"/>
    </row>
    <row customHeight="1" ht="15.75" r="540" s="452" spans="1:32">
      <c r="A540" s="44" t="n"/>
      <c r="W540" s="537" t="n"/>
      <c r="X540" s="537" t="n"/>
      <c r="Z540" s="537" t="n"/>
      <c r="AA540" s="537" t="n"/>
    </row>
    <row customHeight="1" ht="15.75" r="541" s="452" spans="1:32">
      <c r="A541" s="44" t="n"/>
      <c r="W541" s="537" t="n"/>
      <c r="X541" s="537" t="n"/>
      <c r="Z541" s="537" t="n"/>
      <c r="AA541" s="537" t="n"/>
    </row>
    <row customHeight="1" ht="15.75" r="542" s="452" spans="1:32">
      <c r="A542" s="44" t="n"/>
      <c r="W542" s="537" t="n"/>
      <c r="X542" s="537" t="n"/>
      <c r="Z542" s="537" t="n"/>
      <c r="AA542" s="537" t="n"/>
    </row>
    <row customHeight="1" ht="15.75" r="543" s="452" spans="1:32">
      <c r="A543" s="44" t="n"/>
      <c r="W543" s="537" t="n"/>
      <c r="X543" s="537" t="n"/>
      <c r="Z543" s="537" t="n"/>
      <c r="AA543" s="537" t="n"/>
    </row>
    <row customHeight="1" ht="15.75" r="544" s="452" spans="1:32">
      <c r="A544" s="44" t="n"/>
      <c r="W544" s="537" t="n"/>
      <c r="X544" s="537" t="n"/>
      <c r="Z544" s="537" t="n"/>
      <c r="AA544" s="537" t="n"/>
    </row>
    <row customHeight="1" ht="15.75" r="545" s="452" spans="1:32">
      <c r="A545" s="44" t="n"/>
      <c r="W545" s="537" t="n"/>
      <c r="X545" s="537" t="n"/>
      <c r="Z545" s="537" t="n"/>
      <c r="AA545" s="537" t="n"/>
    </row>
    <row customHeight="1" ht="15.75" r="546" s="452" spans="1:32">
      <c r="A546" s="44" t="n"/>
      <c r="W546" s="537" t="n"/>
      <c r="X546" s="537" t="n"/>
      <c r="Z546" s="537" t="n"/>
      <c r="AA546" s="537" t="n"/>
    </row>
    <row customHeight="1" ht="15.75" r="547" s="452" spans="1:32">
      <c r="A547" s="44" t="n"/>
      <c r="W547" s="537" t="n"/>
      <c r="X547" s="537" t="n"/>
      <c r="Z547" s="537" t="n"/>
      <c r="AA547" s="537" t="n"/>
    </row>
    <row customHeight="1" ht="15.75" r="548" s="452" spans="1:32">
      <c r="A548" s="44" t="n"/>
      <c r="W548" s="537" t="n"/>
      <c r="X548" s="537" t="n"/>
      <c r="Z548" s="537" t="n"/>
      <c r="AA548" s="537" t="n"/>
    </row>
    <row customHeight="1" ht="15.75" r="549" s="452" spans="1:32">
      <c r="A549" s="44" t="n"/>
      <c r="W549" s="537" t="n"/>
      <c r="X549" s="537" t="n"/>
      <c r="Z549" s="537" t="n"/>
      <c r="AA549" s="537" t="n"/>
    </row>
    <row customHeight="1" ht="15.75" r="550" s="452" spans="1:32">
      <c r="A550" s="44" t="n"/>
      <c r="W550" s="537" t="n"/>
      <c r="X550" s="537" t="n"/>
      <c r="Z550" s="537" t="n"/>
      <c r="AA550" s="537" t="n"/>
    </row>
    <row customHeight="1" ht="15.75" r="551" s="452" spans="1:32">
      <c r="A551" s="44" t="n"/>
      <c r="W551" s="537" t="n"/>
      <c r="X551" s="537" t="n"/>
      <c r="Z551" s="537" t="n"/>
      <c r="AA551" s="537" t="n"/>
    </row>
    <row customHeight="1" ht="15.75" r="552" s="452" spans="1:32">
      <c r="A552" s="44" t="n"/>
      <c r="W552" s="537" t="n"/>
      <c r="X552" s="537" t="n"/>
      <c r="Z552" s="537" t="n"/>
      <c r="AA552" s="537" t="n"/>
    </row>
    <row customHeight="1" ht="15.75" r="553" s="452" spans="1:32">
      <c r="A553" s="44" t="n"/>
      <c r="W553" s="537" t="n"/>
      <c r="X553" s="537" t="n"/>
      <c r="Z553" s="537" t="n"/>
      <c r="AA553" s="537" t="n"/>
    </row>
    <row customHeight="1" ht="15.75" r="554" s="452" spans="1:32">
      <c r="A554" s="44" t="n"/>
      <c r="W554" s="537" t="n"/>
      <c r="X554" s="537" t="n"/>
      <c r="Z554" s="537" t="n"/>
      <c r="AA554" s="537" t="n"/>
    </row>
    <row customHeight="1" ht="15.75" r="555" s="452" spans="1:32">
      <c r="A555" s="44" t="n"/>
      <c r="W555" s="537" t="n"/>
      <c r="X555" s="537" t="n"/>
      <c r="Z555" s="537" t="n"/>
      <c r="AA555" s="537" t="n"/>
    </row>
    <row customHeight="1" ht="15.75" r="556" s="452" spans="1:32">
      <c r="A556" s="44" t="n"/>
      <c r="W556" s="537" t="n"/>
      <c r="X556" s="537" t="n"/>
      <c r="Z556" s="537" t="n"/>
      <c r="AA556" s="537" t="n"/>
    </row>
    <row customHeight="1" ht="15.75" r="557" s="452" spans="1:32">
      <c r="A557" s="44" t="n"/>
      <c r="W557" s="537" t="n"/>
      <c r="X557" s="537" t="n"/>
      <c r="Z557" s="537" t="n"/>
      <c r="AA557" s="537" t="n"/>
    </row>
    <row customHeight="1" ht="15.75" r="558" s="452" spans="1:32">
      <c r="A558" s="44" t="n"/>
      <c r="W558" s="537" t="n"/>
      <c r="X558" s="537" t="n"/>
      <c r="Z558" s="537" t="n"/>
      <c r="AA558" s="537" t="n"/>
    </row>
    <row customHeight="1" ht="15.75" r="559" s="452" spans="1:32">
      <c r="A559" s="44" t="n"/>
      <c r="W559" s="537" t="n"/>
      <c r="X559" s="537" t="n"/>
      <c r="Z559" s="537" t="n"/>
      <c r="AA559" s="537" t="n"/>
    </row>
    <row customHeight="1" ht="15.75" r="560" s="452" spans="1:32">
      <c r="A560" s="44" t="n"/>
      <c r="W560" s="537" t="n"/>
      <c r="X560" s="537" t="n"/>
      <c r="Z560" s="537" t="n"/>
      <c r="AA560" s="537" t="n"/>
    </row>
    <row customHeight="1" ht="15.75" r="561" s="452" spans="1:32">
      <c r="A561" s="44" t="n"/>
      <c r="W561" s="537" t="n"/>
      <c r="X561" s="537" t="n"/>
      <c r="Z561" s="537" t="n"/>
      <c r="AA561" s="537" t="n"/>
    </row>
    <row customHeight="1" ht="15.75" r="562" s="452" spans="1:32">
      <c r="A562" s="44" t="n"/>
      <c r="W562" s="537" t="n"/>
      <c r="X562" s="537" t="n"/>
      <c r="Z562" s="537" t="n"/>
      <c r="AA562" s="537" t="n"/>
    </row>
    <row customHeight="1" ht="15.75" r="563" s="452" spans="1:32">
      <c r="A563" s="44" t="n"/>
      <c r="W563" s="537" t="n"/>
      <c r="X563" s="537" t="n"/>
      <c r="Z563" s="537" t="n"/>
      <c r="AA563" s="537" t="n"/>
    </row>
    <row customHeight="1" ht="15.75" r="564" s="452" spans="1:32">
      <c r="A564" s="44" t="n"/>
      <c r="W564" s="537" t="n"/>
      <c r="X564" s="537" t="n"/>
      <c r="Z564" s="537" t="n"/>
      <c r="AA564" s="537" t="n"/>
    </row>
    <row customHeight="1" ht="15.75" r="565" s="452" spans="1:32">
      <c r="A565" s="44" t="n"/>
      <c r="W565" s="537" t="n"/>
      <c r="X565" s="537" t="n"/>
      <c r="Z565" s="537" t="n"/>
      <c r="AA565" s="537" t="n"/>
    </row>
    <row customHeight="1" ht="15.75" r="566" s="452" spans="1:32">
      <c r="A566" s="44" t="n"/>
      <c r="W566" s="537" t="n"/>
      <c r="X566" s="537" t="n"/>
      <c r="Z566" s="537" t="n"/>
      <c r="AA566" s="537" t="n"/>
    </row>
    <row customHeight="1" ht="15.75" r="567" s="452" spans="1:32">
      <c r="A567" s="44" t="n"/>
      <c r="W567" s="537" t="n"/>
      <c r="X567" s="537" t="n"/>
      <c r="Z567" s="537" t="n"/>
      <c r="AA567" s="537" t="n"/>
    </row>
    <row customHeight="1" ht="15.75" r="568" s="452" spans="1:32">
      <c r="A568" s="44" t="n"/>
      <c r="W568" s="537" t="n"/>
      <c r="X568" s="537" t="n"/>
      <c r="Z568" s="537" t="n"/>
      <c r="AA568" s="537" t="n"/>
    </row>
    <row customHeight="1" ht="15.75" r="569" s="452" spans="1:32">
      <c r="A569" s="44" t="n"/>
      <c r="W569" s="537" t="n"/>
      <c r="X569" s="537" t="n"/>
      <c r="Z569" s="537" t="n"/>
      <c r="AA569" s="537" t="n"/>
    </row>
    <row customHeight="1" ht="15.75" r="570" s="452" spans="1:32">
      <c r="A570" s="44" t="n"/>
      <c r="W570" s="537" t="n"/>
      <c r="X570" s="537" t="n"/>
      <c r="Z570" s="537" t="n"/>
      <c r="AA570" s="537" t="n"/>
    </row>
    <row customHeight="1" ht="15.75" r="571" s="452" spans="1:32">
      <c r="A571" s="44" t="n"/>
      <c r="W571" s="537" t="n"/>
      <c r="X571" s="537" t="n"/>
      <c r="Z571" s="537" t="n"/>
      <c r="AA571" s="537" t="n"/>
    </row>
    <row customHeight="1" ht="15.75" r="572" s="452" spans="1:32">
      <c r="A572" s="44" t="n"/>
      <c r="W572" s="537" t="n"/>
      <c r="X572" s="537" t="n"/>
      <c r="Z572" s="537" t="n"/>
      <c r="AA572" s="537" t="n"/>
    </row>
    <row customHeight="1" ht="15.75" r="573" s="452" spans="1:32">
      <c r="A573" s="44" t="n"/>
      <c r="W573" s="537" t="n"/>
      <c r="X573" s="537" t="n"/>
      <c r="Z573" s="537" t="n"/>
      <c r="AA573" s="537" t="n"/>
    </row>
    <row customHeight="1" ht="15.75" r="574" s="452" spans="1:32">
      <c r="A574" s="44" t="n"/>
      <c r="W574" s="537" t="n"/>
      <c r="X574" s="537" t="n"/>
      <c r="Z574" s="537" t="n"/>
      <c r="AA574" s="537" t="n"/>
    </row>
    <row customHeight="1" ht="15.75" r="575" s="452" spans="1:32">
      <c r="A575" s="44" t="n"/>
      <c r="W575" s="537" t="n"/>
      <c r="X575" s="537" t="n"/>
      <c r="Z575" s="537" t="n"/>
      <c r="AA575" s="537" t="n"/>
    </row>
    <row customHeight="1" ht="15.75" r="576" s="452" spans="1:32">
      <c r="A576" s="44" t="n"/>
      <c r="W576" s="537" t="n"/>
      <c r="X576" s="537" t="n"/>
      <c r="Z576" s="537" t="n"/>
      <c r="AA576" s="537" t="n"/>
    </row>
    <row customHeight="1" ht="15.75" r="577" s="452" spans="1:32">
      <c r="A577" s="44" t="n"/>
      <c r="W577" s="537" t="n"/>
      <c r="X577" s="537" t="n"/>
      <c r="Z577" s="537" t="n"/>
      <c r="AA577" s="537" t="n"/>
    </row>
    <row customHeight="1" ht="15.75" r="578" s="452" spans="1:32">
      <c r="A578" s="44" t="n"/>
      <c r="W578" s="537" t="n"/>
      <c r="X578" s="537" t="n"/>
      <c r="Z578" s="537" t="n"/>
      <c r="AA578" s="537" t="n"/>
    </row>
    <row customHeight="1" ht="15.75" r="579" s="452" spans="1:32">
      <c r="A579" s="44" t="n"/>
      <c r="W579" s="537" t="n"/>
      <c r="X579" s="537" t="n"/>
      <c r="Z579" s="537" t="n"/>
      <c r="AA579" s="537" t="n"/>
    </row>
    <row customHeight="1" ht="15.75" r="580" s="452" spans="1:32">
      <c r="A580" s="44" t="n"/>
      <c r="W580" s="537" t="n"/>
      <c r="X580" s="537" t="n"/>
      <c r="Z580" s="537" t="n"/>
      <c r="AA580" s="537" t="n"/>
    </row>
    <row customHeight="1" ht="15.75" r="581" s="452" spans="1:32">
      <c r="A581" s="44" t="n"/>
      <c r="W581" s="537" t="n"/>
      <c r="X581" s="537" t="n"/>
      <c r="Z581" s="537" t="n"/>
      <c r="AA581" s="537" t="n"/>
    </row>
    <row customHeight="1" ht="15.75" r="582" s="452" spans="1:32">
      <c r="A582" s="44" t="n"/>
      <c r="W582" s="537" t="n"/>
      <c r="X582" s="537" t="n"/>
      <c r="Z582" s="537" t="n"/>
      <c r="AA582" s="537" t="n"/>
    </row>
    <row customHeight="1" ht="15.75" r="583" s="452" spans="1:32">
      <c r="A583" s="44" t="n"/>
      <c r="W583" s="537" t="n"/>
      <c r="X583" s="537" t="n"/>
      <c r="Z583" s="537" t="n"/>
      <c r="AA583" s="537" t="n"/>
    </row>
    <row customHeight="1" ht="15.75" r="584" s="452" spans="1:32">
      <c r="A584" s="44" t="n"/>
      <c r="W584" s="537" t="n"/>
      <c r="X584" s="537" t="n"/>
      <c r="Z584" s="537" t="n"/>
      <c r="AA584" s="537" t="n"/>
    </row>
    <row customHeight="1" ht="15.75" r="585" s="452" spans="1:32">
      <c r="A585" s="44" t="n"/>
      <c r="W585" s="537" t="n"/>
      <c r="X585" s="537" t="n"/>
      <c r="Z585" s="537" t="n"/>
      <c r="AA585" s="537" t="n"/>
    </row>
    <row customHeight="1" ht="15.75" r="586" s="452" spans="1:32">
      <c r="A586" s="44" t="n"/>
      <c r="W586" s="537" t="n"/>
      <c r="X586" s="537" t="n"/>
      <c r="Z586" s="537" t="n"/>
      <c r="AA586" s="537" t="n"/>
    </row>
    <row customHeight="1" ht="15.75" r="587" s="452" spans="1:32">
      <c r="A587" s="44" t="n"/>
      <c r="W587" s="537" t="n"/>
      <c r="X587" s="537" t="n"/>
      <c r="Z587" s="537" t="n"/>
      <c r="AA587" s="537" t="n"/>
    </row>
    <row customHeight="1" ht="15.75" r="588" s="452" spans="1:32">
      <c r="A588" s="44" t="n"/>
      <c r="W588" s="537" t="n"/>
      <c r="X588" s="537" t="n"/>
      <c r="Z588" s="537" t="n"/>
      <c r="AA588" s="537" t="n"/>
    </row>
    <row customHeight="1" ht="15.75" r="589" s="452" spans="1:32">
      <c r="A589" s="44" t="n"/>
      <c r="W589" s="537" t="n"/>
      <c r="X589" s="537" t="n"/>
      <c r="Z589" s="537" t="n"/>
      <c r="AA589" s="537" t="n"/>
    </row>
    <row customHeight="1" ht="15.75" r="590" s="452" spans="1:32">
      <c r="A590" s="44" t="n"/>
      <c r="W590" s="537" t="n"/>
      <c r="X590" s="537" t="n"/>
      <c r="Z590" s="537" t="n"/>
      <c r="AA590" s="537" t="n"/>
    </row>
    <row customHeight="1" ht="15.75" r="591" s="452" spans="1:32">
      <c r="A591" s="44" t="n"/>
      <c r="W591" s="537" t="n"/>
      <c r="X591" s="537" t="n"/>
      <c r="Z591" s="537" t="n"/>
      <c r="AA591" s="537" t="n"/>
    </row>
    <row customHeight="1" ht="15.75" r="592" s="452" spans="1:32">
      <c r="A592" s="44" t="n"/>
      <c r="W592" s="537" t="n"/>
      <c r="X592" s="537" t="n"/>
      <c r="Z592" s="537" t="n"/>
      <c r="AA592" s="537" t="n"/>
    </row>
    <row customHeight="1" ht="15.75" r="593" s="452" spans="1:32">
      <c r="A593" s="44" t="n"/>
      <c r="W593" s="537" t="n"/>
      <c r="X593" s="537" t="n"/>
      <c r="Z593" s="537" t="n"/>
      <c r="AA593" s="537" t="n"/>
    </row>
    <row customHeight="1" ht="15.75" r="594" s="452" spans="1:32">
      <c r="A594" s="44" t="n"/>
      <c r="W594" s="537" t="n"/>
      <c r="X594" s="537" t="n"/>
      <c r="Z594" s="537" t="n"/>
      <c r="AA594" s="537" t="n"/>
    </row>
    <row customHeight="1" ht="15.75" r="595" s="452" spans="1:32">
      <c r="A595" s="44" t="n"/>
      <c r="W595" s="537" t="n"/>
      <c r="X595" s="537" t="n"/>
      <c r="Z595" s="537" t="n"/>
      <c r="AA595" s="537" t="n"/>
    </row>
    <row customHeight="1" ht="15.75" r="596" s="452" spans="1:32">
      <c r="A596" s="44" t="n"/>
      <c r="W596" s="537" t="n"/>
      <c r="X596" s="537" t="n"/>
      <c r="Z596" s="537" t="n"/>
      <c r="AA596" s="537" t="n"/>
    </row>
    <row customHeight="1" ht="15.75" r="597" s="452" spans="1:32">
      <c r="A597" s="44" t="n"/>
      <c r="W597" s="537" t="n"/>
      <c r="X597" s="537" t="n"/>
      <c r="Z597" s="537" t="n"/>
      <c r="AA597" s="537" t="n"/>
    </row>
    <row customHeight="1" ht="15.75" r="598" s="452" spans="1:32">
      <c r="A598" s="44" t="n"/>
      <c r="W598" s="537" t="n"/>
      <c r="X598" s="537" t="n"/>
      <c r="Z598" s="537" t="n"/>
      <c r="AA598" s="537" t="n"/>
    </row>
    <row customHeight="1" ht="15.75" r="599" s="452" spans="1:32">
      <c r="A599" s="44" t="n"/>
      <c r="W599" s="537" t="n"/>
      <c r="X599" s="537" t="n"/>
      <c r="Z599" s="537" t="n"/>
      <c r="AA599" s="537" t="n"/>
    </row>
    <row customHeight="1" ht="15.75" r="600" s="452" spans="1:32">
      <c r="A600" s="44" t="n"/>
      <c r="W600" s="537" t="n"/>
      <c r="X600" s="537" t="n"/>
      <c r="Z600" s="537" t="n"/>
      <c r="AA600" s="537" t="n"/>
    </row>
    <row customHeight="1" ht="15.75" r="601" s="452" spans="1:32">
      <c r="A601" s="44" t="n"/>
      <c r="W601" s="537" t="n"/>
      <c r="X601" s="537" t="n"/>
      <c r="Z601" s="537" t="n"/>
      <c r="AA601" s="537" t="n"/>
    </row>
    <row customHeight="1" ht="15.75" r="602" s="452" spans="1:32">
      <c r="A602" s="44" t="n"/>
      <c r="W602" s="537" t="n"/>
      <c r="X602" s="537" t="n"/>
      <c r="Z602" s="537" t="n"/>
      <c r="AA602" s="537" t="n"/>
    </row>
    <row customHeight="1" ht="15.75" r="603" s="452" spans="1:32">
      <c r="A603" s="44" t="n"/>
      <c r="W603" s="537" t="n"/>
      <c r="X603" s="537" t="n"/>
      <c r="Z603" s="537" t="n"/>
      <c r="AA603" s="537" t="n"/>
    </row>
    <row customHeight="1" ht="15.75" r="604" s="452" spans="1:32">
      <c r="A604" s="44" t="n"/>
      <c r="W604" s="537" t="n"/>
      <c r="X604" s="537" t="n"/>
      <c r="Z604" s="537" t="n"/>
      <c r="AA604" s="537" t="n"/>
    </row>
    <row customHeight="1" ht="15.75" r="605" s="452" spans="1:32">
      <c r="A605" s="44" t="n"/>
      <c r="W605" s="537" t="n"/>
      <c r="X605" s="537" t="n"/>
      <c r="Z605" s="537" t="n"/>
      <c r="AA605" s="537" t="n"/>
    </row>
    <row customHeight="1" ht="15.75" r="606" s="452" spans="1:32">
      <c r="A606" s="44" t="n"/>
      <c r="W606" s="537" t="n"/>
      <c r="X606" s="537" t="n"/>
      <c r="Z606" s="537" t="n"/>
      <c r="AA606" s="537" t="n"/>
    </row>
    <row customHeight="1" ht="15.75" r="607" s="452" spans="1:32">
      <c r="A607" s="44" t="n"/>
      <c r="W607" s="537" t="n"/>
      <c r="X607" s="537" t="n"/>
      <c r="Z607" s="537" t="n"/>
      <c r="AA607" s="537" t="n"/>
    </row>
    <row customHeight="1" ht="15.75" r="608" s="452" spans="1:32">
      <c r="A608" s="44" t="n"/>
      <c r="W608" s="537" t="n"/>
      <c r="X608" s="537" t="n"/>
      <c r="Z608" s="537" t="n"/>
      <c r="AA608" s="537" t="n"/>
    </row>
    <row customHeight="1" ht="15.75" r="609" s="452" spans="1:32">
      <c r="A609" s="44" t="n"/>
      <c r="W609" s="537" t="n"/>
      <c r="X609" s="537" t="n"/>
      <c r="Z609" s="537" t="n"/>
      <c r="AA609" s="537" t="n"/>
    </row>
    <row customHeight="1" ht="15.75" r="610" s="452" spans="1:32">
      <c r="A610" s="44" t="n"/>
      <c r="W610" s="537" t="n"/>
      <c r="X610" s="537" t="n"/>
      <c r="Z610" s="537" t="n"/>
      <c r="AA610" s="537" t="n"/>
    </row>
    <row customHeight="1" ht="15.75" r="611" s="452" spans="1:32">
      <c r="A611" s="44" t="n"/>
      <c r="W611" s="537" t="n"/>
      <c r="X611" s="537" t="n"/>
      <c r="Z611" s="537" t="n"/>
      <c r="AA611" s="537" t="n"/>
    </row>
    <row customHeight="1" ht="15.75" r="612" s="452" spans="1:32">
      <c r="A612" s="44" t="n"/>
      <c r="W612" s="537" t="n"/>
      <c r="X612" s="537" t="n"/>
      <c r="Z612" s="537" t="n"/>
      <c r="AA612" s="537" t="n"/>
    </row>
    <row customHeight="1" ht="15.75" r="613" s="452" spans="1:32">
      <c r="A613" s="44" t="n"/>
      <c r="W613" s="537" t="n"/>
      <c r="X613" s="537" t="n"/>
      <c r="Z613" s="537" t="n"/>
      <c r="AA613" s="537" t="n"/>
    </row>
    <row customHeight="1" ht="15.75" r="614" s="452" spans="1:32">
      <c r="A614" s="44" t="n"/>
      <c r="W614" s="537" t="n"/>
      <c r="X614" s="537" t="n"/>
      <c r="Z614" s="537" t="n"/>
      <c r="AA614" s="537" t="n"/>
    </row>
    <row customHeight="1" ht="15.75" r="615" s="452" spans="1:32">
      <c r="A615" s="44" t="n"/>
      <c r="W615" s="537" t="n"/>
      <c r="X615" s="537" t="n"/>
      <c r="Z615" s="537" t="n"/>
      <c r="AA615" s="537" t="n"/>
    </row>
    <row customHeight="1" ht="15.75" r="616" s="452" spans="1:32">
      <c r="A616" s="44" t="n"/>
      <c r="W616" s="537" t="n"/>
      <c r="X616" s="537" t="n"/>
      <c r="Z616" s="537" t="n"/>
      <c r="AA616" s="537" t="n"/>
    </row>
    <row customHeight="1" ht="15.75" r="617" s="452" spans="1:32">
      <c r="A617" s="44" t="n"/>
      <c r="W617" s="537" t="n"/>
      <c r="X617" s="537" t="n"/>
      <c r="Z617" s="537" t="n"/>
      <c r="AA617" s="537" t="n"/>
    </row>
    <row customHeight="1" ht="15.75" r="618" s="452" spans="1:32">
      <c r="A618" s="44" t="n"/>
      <c r="W618" s="537" t="n"/>
      <c r="X618" s="537" t="n"/>
      <c r="Z618" s="537" t="n"/>
      <c r="AA618" s="537" t="n"/>
    </row>
    <row customHeight="1" ht="15.75" r="619" s="452" spans="1:32">
      <c r="A619" s="44" t="n"/>
      <c r="W619" s="537" t="n"/>
      <c r="X619" s="537" t="n"/>
      <c r="Z619" s="537" t="n"/>
      <c r="AA619" s="537" t="n"/>
    </row>
    <row customHeight="1" ht="15.75" r="620" s="452" spans="1:32">
      <c r="A620" s="44" t="n"/>
      <c r="W620" s="537" t="n"/>
      <c r="X620" s="537" t="n"/>
      <c r="Z620" s="537" t="n"/>
      <c r="AA620" s="537" t="n"/>
    </row>
    <row customHeight="1" ht="15.75" r="621" s="452" spans="1:32">
      <c r="A621" s="44" t="n"/>
      <c r="W621" s="537" t="n"/>
      <c r="X621" s="537" t="n"/>
      <c r="Z621" s="537" t="n"/>
      <c r="AA621" s="537" t="n"/>
    </row>
    <row customHeight="1" ht="15.75" r="622" s="452" spans="1:32">
      <c r="A622" s="44" t="n"/>
      <c r="W622" s="537" t="n"/>
      <c r="X622" s="537" t="n"/>
      <c r="Z622" s="537" t="n"/>
      <c r="AA622" s="537" t="n"/>
    </row>
    <row customHeight="1" ht="15.75" r="623" s="452" spans="1:32">
      <c r="A623" s="44" t="n"/>
      <c r="W623" s="537" t="n"/>
      <c r="X623" s="537" t="n"/>
      <c r="Z623" s="537" t="n"/>
      <c r="AA623" s="537" t="n"/>
    </row>
    <row customHeight="1" ht="15.75" r="624" s="452" spans="1:32">
      <c r="A624" s="44" t="n"/>
      <c r="W624" s="537" t="n"/>
      <c r="X624" s="537" t="n"/>
      <c r="Z624" s="537" t="n"/>
      <c r="AA624" s="537" t="n"/>
    </row>
    <row customHeight="1" ht="15.75" r="625" s="452" spans="1:32">
      <c r="A625" s="44" t="n"/>
      <c r="W625" s="537" t="n"/>
      <c r="X625" s="537" t="n"/>
      <c r="Z625" s="537" t="n"/>
      <c r="AA625" s="537" t="n"/>
    </row>
    <row customHeight="1" ht="15.75" r="626" s="452" spans="1:32">
      <c r="A626" s="44" t="n"/>
      <c r="W626" s="537" t="n"/>
      <c r="X626" s="537" t="n"/>
      <c r="Z626" s="537" t="n"/>
      <c r="AA626" s="537" t="n"/>
    </row>
    <row customHeight="1" ht="15.75" r="627" s="452" spans="1:32">
      <c r="A627" s="44" t="n"/>
      <c r="W627" s="537" t="n"/>
      <c r="X627" s="537" t="n"/>
      <c r="Z627" s="537" t="n"/>
      <c r="AA627" s="537" t="n"/>
    </row>
    <row customHeight="1" ht="15.75" r="628" s="452" spans="1:32">
      <c r="A628" s="44" t="n"/>
      <c r="W628" s="537" t="n"/>
      <c r="X628" s="537" t="n"/>
      <c r="Z628" s="537" t="n"/>
      <c r="AA628" s="537" t="n"/>
    </row>
    <row customHeight="1" ht="15.75" r="629" s="452" spans="1:32">
      <c r="A629" s="44" t="n"/>
      <c r="W629" s="537" t="n"/>
      <c r="X629" s="537" t="n"/>
      <c r="Z629" s="537" t="n"/>
      <c r="AA629" s="537" t="n"/>
    </row>
    <row customHeight="1" ht="15.75" r="630" s="452" spans="1:32">
      <c r="A630" s="44" t="n"/>
      <c r="W630" s="537" t="n"/>
      <c r="X630" s="537" t="n"/>
      <c r="Z630" s="537" t="n"/>
      <c r="AA630" s="537" t="n"/>
    </row>
    <row customHeight="1" ht="15.75" r="631" s="452" spans="1:32">
      <c r="A631" s="44" t="n"/>
      <c r="W631" s="537" t="n"/>
      <c r="X631" s="537" t="n"/>
      <c r="Z631" s="537" t="n"/>
      <c r="AA631" s="537" t="n"/>
    </row>
    <row customHeight="1" ht="15.75" r="632" s="452" spans="1:32">
      <c r="A632" s="44" t="n"/>
      <c r="W632" s="537" t="n"/>
      <c r="X632" s="537" t="n"/>
      <c r="Z632" s="537" t="n"/>
      <c r="AA632" s="537" t="n"/>
    </row>
    <row customHeight="1" ht="15.75" r="633" s="452" spans="1:32">
      <c r="A633" s="44" t="n"/>
      <c r="W633" s="537" t="n"/>
      <c r="X633" s="537" t="n"/>
      <c r="Z633" s="537" t="n"/>
      <c r="AA633" s="537" t="n"/>
    </row>
    <row customHeight="1" ht="15.75" r="634" s="452" spans="1:32">
      <c r="A634" s="44" t="n"/>
      <c r="W634" s="537" t="n"/>
      <c r="X634" s="537" t="n"/>
      <c r="Z634" s="537" t="n"/>
      <c r="AA634" s="537" t="n"/>
    </row>
    <row customHeight="1" ht="15.75" r="635" s="452" spans="1:32">
      <c r="A635" s="44" t="n"/>
      <c r="W635" s="537" t="n"/>
      <c r="X635" s="537" t="n"/>
      <c r="Z635" s="537" t="n"/>
      <c r="AA635" s="537" t="n"/>
    </row>
    <row customHeight="1" ht="15.75" r="636" s="452" spans="1:32">
      <c r="A636" s="44" t="n"/>
      <c r="W636" s="537" t="n"/>
      <c r="X636" s="537" t="n"/>
      <c r="Z636" s="537" t="n"/>
      <c r="AA636" s="537" t="n"/>
    </row>
    <row customHeight="1" ht="15.75" r="637" s="452" spans="1:32">
      <c r="A637" s="44" t="n"/>
      <c r="W637" s="537" t="n"/>
      <c r="X637" s="537" t="n"/>
      <c r="Z637" s="537" t="n"/>
      <c r="AA637" s="537" t="n"/>
    </row>
    <row customHeight="1" ht="15.75" r="638" s="452" spans="1:32">
      <c r="A638" s="44" t="n"/>
      <c r="W638" s="537" t="n"/>
      <c r="X638" s="537" t="n"/>
      <c r="Z638" s="537" t="n"/>
      <c r="AA638" s="537" t="n"/>
    </row>
    <row customHeight="1" ht="15.75" r="639" s="452" spans="1:32">
      <c r="A639" s="44" t="n"/>
      <c r="W639" s="537" t="n"/>
      <c r="X639" s="537" t="n"/>
      <c r="Z639" s="537" t="n"/>
      <c r="AA639" s="537" t="n"/>
    </row>
    <row customHeight="1" ht="15.75" r="640" s="452" spans="1:32">
      <c r="A640" s="44" t="n"/>
      <c r="W640" s="537" t="n"/>
      <c r="X640" s="537" t="n"/>
      <c r="Z640" s="537" t="n"/>
      <c r="AA640" s="537" t="n"/>
    </row>
    <row customHeight="1" ht="15.75" r="641" s="452" spans="1:32">
      <c r="A641" s="44" t="n"/>
      <c r="W641" s="537" t="n"/>
      <c r="X641" s="537" t="n"/>
      <c r="Z641" s="537" t="n"/>
      <c r="AA641" s="537" t="n"/>
    </row>
    <row customHeight="1" ht="15.75" r="642" s="452" spans="1:32">
      <c r="A642" s="44" t="n"/>
      <c r="W642" s="537" t="n"/>
      <c r="X642" s="537" t="n"/>
      <c r="Z642" s="537" t="n"/>
      <c r="AA642" s="537" t="n"/>
    </row>
    <row customHeight="1" ht="15.75" r="643" s="452" spans="1:32">
      <c r="A643" s="44" t="n"/>
      <c r="W643" s="537" t="n"/>
      <c r="X643" s="537" t="n"/>
      <c r="Z643" s="537" t="n"/>
      <c r="AA643" s="537" t="n"/>
    </row>
    <row customHeight="1" ht="15.75" r="644" s="452" spans="1:32">
      <c r="A644" s="44" t="n"/>
      <c r="W644" s="537" t="n"/>
      <c r="X644" s="537" t="n"/>
      <c r="Z644" s="537" t="n"/>
      <c r="AA644" s="537" t="n"/>
    </row>
    <row customHeight="1" ht="15.75" r="645" s="452" spans="1:32">
      <c r="A645" s="44" t="n"/>
      <c r="W645" s="537" t="n"/>
      <c r="X645" s="537" t="n"/>
      <c r="Z645" s="537" t="n"/>
      <c r="AA645" s="537" t="n"/>
    </row>
    <row customHeight="1" ht="15.75" r="646" s="452" spans="1:32">
      <c r="A646" s="44" t="n"/>
      <c r="W646" s="537" t="n"/>
      <c r="X646" s="537" t="n"/>
      <c r="Z646" s="537" t="n"/>
      <c r="AA646" s="537" t="n"/>
    </row>
    <row customHeight="1" ht="15.75" r="647" s="452" spans="1:32">
      <c r="A647" s="44" t="n"/>
      <c r="W647" s="537" t="n"/>
      <c r="X647" s="537" t="n"/>
      <c r="Z647" s="537" t="n"/>
      <c r="AA647" s="537" t="n"/>
    </row>
    <row customHeight="1" ht="15.75" r="648" s="452" spans="1:32">
      <c r="A648" s="44" t="n"/>
      <c r="W648" s="537" t="n"/>
      <c r="X648" s="537" t="n"/>
      <c r="Z648" s="537" t="n"/>
      <c r="AA648" s="537" t="n"/>
    </row>
    <row customHeight="1" ht="15.75" r="649" s="452" spans="1:32">
      <c r="A649" s="44" t="n"/>
      <c r="W649" s="537" t="n"/>
      <c r="X649" s="537" t="n"/>
      <c r="Z649" s="537" t="n"/>
      <c r="AA649" s="537" t="n"/>
    </row>
    <row customHeight="1" ht="15.75" r="650" s="452" spans="1:32">
      <c r="A650" s="44" t="n"/>
      <c r="W650" s="537" t="n"/>
      <c r="X650" s="537" t="n"/>
      <c r="Z650" s="537" t="n"/>
      <c r="AA650" s="537" t="n"/>
    </row>
    <row customHeight="1" ht="15.75" r="651" s="452" spans="1:32">
      <c r="A651" s="44" t="n"/>
      <c r="W651" s="537" t="n"/>
      <c r="X651" s="537" t="n"/>
      <c r="Z651" s="537" t="n"/>
      <c r="AA651" s="537" t="n"/>
    </row>
    <row customHeight="1" ht="15.75" r="652" s="452" spans="1:32">
      <c r="A652" s="44" t="n"/>
      <c r="W652" s="537" t="n"/>
      <c r="X652" s="537" t="n"/>
      <c r="Z652" s="537" t="n"/>
      <c r="AA652" s="537" t="n"/>
    </row>
    <row customHeight="1" ht="15.75" r="653" s="452" spans="1:32">
      <c r="A653" s="44" t="n"/>
      <c r="W653" s="537" t="n"/>
      <c r="X653" s="537" t="n"/>
      <c r="Z653" s="537" t="n"/>
      <c r="AA653" s="537" t="n"/>
    </row>
    <row customHeight="1" ht="15.75" r="654" s="452" spans="1:32">
      <c r="A654" s="44" t="n"/>
      <c r="W654" s="537" t="n"/>
      <c r="X654" s="537" t="n"/>
      <c r="Z654" s="537" t="n"/>
      <c r="AA654" s="537" t="n"/>
    </row>
    <row customHeight="1" ht="15.75" r="655" s="452" spans="1:32">
      <c r="A655" s="44" t="n"/>
      <c r="W655" s="537" t="n"/>
      <c r="X655" s="537" t="n"/>
      <c r="Z655" s="537" t="n"/>
      <c r="AA655" s="537" t="n"/>
    </row>
    <row customHeight="1" ht="15.75" r="656" s="452" spans="1:32">
      <c r="A656" s="44" t="n"/>
      <c r="W656" s="537" t="n"/>
      <c r="X656" s="537" t="n"/>
      <c r="Z656" s="537" t="n"/>
      <c r="AA656" s="537" t="n"/>
    </row>
    <row customHeight="1" ht="15.75" r="657" s="452" spans="1:32">
      <c r="A657" s="44" t="n"/>
      <c r="W657" s="537" t="n"/>
      <c r="X657" s="537" t="n"/>
      <c r="Z657" s="537" t="n"/>
      <c r="AA657" s="537" t="n"/>
    </row>
    <row customHeight="1" ht="15.75" r="658" s="452" spans="1:32">
      <c r="A658" s="44" t="n"/>
      <c r="W658" s="537" t="n"/>
      <c r="X658" s="537" t="n"/>
      <c r="Z658" s="537" t="n"/>
      <c r="AA658" s="537" t="n"/>
    </row>
    <row customHeight="1" ht="15.75" r="659" s="452" spans="1:32">
      <c r="A659" s="44" t="n"/>
      <c r="W659" s="537" t="n"/>
      <c r="X659" s="537" t="n"/>
      <c r="Z659" s="537" t="n"/>
      <c r="AA659" s="537" t="n"/>
    </row>
    <row customHeight="1" ht="15.75" r="660" s="452" spans="1:32">
      <c r="A660" s="44" t="n"/>
      <c r="W660" s="537" t="n"/>
      <c r="X660" s="537" t="n"/>
      <c r="Z660" s="537" t="n"/>
      <c r="AA660" s="537" t="n"/>
    </row>
    <row customHeight="1" ht="15.75" r="661" s="452" spans="1:32">
      <c r="A661" s="44" t="n"/>
      <c r="W661" s="537" t="n"/>
      <c r="X661" s="537" t="n"/>
      <c r="Z661" s="537" t="n"/>
      <c r="AA661" s="537" t="n"/>
    </row>
    <row customHeight="1" ht="15.75" r="662" s="452" spans="1:32">
      <c r="A662" s="44" t="n"/>
      <c r="W662" s="537" t="n"/>
      <c r="X662" s="537" t="n"/>
      <c r="Z662" s="537" t="n"/>
      <c r="AA662" s="537" t="n"/>
    </row>
    <row customHeight="1" ht="15.75" r="663" s="452" spans="1:32">
      <c r="A663" s="44" t="n"/>
      <c r="W663" s="537" t="n"/>
      <c r="X663" s="537" t="n"/>
      <c r="Z663" s="537" t="n"/>
      <c r="AA663" s="537" t="n"/>
    </row>
    <row customHeight="1" ht="15.75" r="664" s="452" spans="1:32">
      <c r="A664" s="44" t="n"/>
      <c r="W664" s="537" t="n"/>
      <c r="X664" s="537" t="n"/>
      <c r="Z664" s="537" t="n"/>
      <c r="AA664" s="537" t="n"/>
    </row>
    <row customHeight="1" ht="15.75" r="665" s="452" spans="1:32">
      <c r="A665" s="44" t="n"/>
      <c r="W665" s="537" t="n"/>
      <c r="X665" s="537" t="n"/>
      <c r="Z665" s="537" t="n"/>
      <c r="AA665" s="537" t="n"/>
    </row>
    <row customHeight="1" ht="15.75" r="666" s="452" spans="1:32">
      <c r="A666" s="44" t="n"/>
      <c r="W666" s="537" t="n"/>
      <c r="X666" s="537" t="n"/>
      <c r="Z666" s="537" t="n"/>
      <c r="AA666" s="537" t="n"/>
    </row>
    <row customHeight="1" ht="15.75" r="667" s="452" spans="1:32">
      <c r="A667" s="44" t="n"/>
      <c r="W667" s="537" t="n"/>
      <c r="X667" s="537" t="n"/>
      <c r="Z667" s="537" t="n"/>
      <c r="AA667" s="537" t="n"/>
    </row>
    <row customHeight="1" ht="15.75" r="668" s="452" spans="1:32">
      <c r="A668" s="44" t="n"/>
      <c r="W668" s="537" t="n"/>
      <c r="X668" s="537" t="n"/>
      <c r="Z668" s="537" t="n"/>
      <c r="AA668" s="537" t="n"/>
    </row>
    <row customHeight="1" ht="15.75" r="669" s="452" spans="1:32">
      <c r="A669" s="44" t="n"/>
      <c r="W669" s="537" t="n"/>
      <c r="X669" s="537" t="n"/>
      <c r="Z669" s="537" t="n"/>
      <c r="AA669" s="537" t="n"/>
    </row>
    <row customHeight="1" ht="15.75" r="670" s="452" spans="1:32">
      <c r="A670" s="44" t="n"/>
      <c r="W670" s="537" t="n"/>
      <c r="X670" s="537" t="n"/>
      <c r="Z670" s="537" t="n"/>
      <c r="AA670" s="537" t="n"/>
    </row>
    <row customHeight="1" ht="15.75" r="671" s="452" spans="1:32">
      <c r="A671" s="44" t="n"/>
      <c r="W671" s="537" t="n"/>
      <c r="X671" s="537" t="n"/>
      <c r="Z671" s="537" t="n"/>
      <c r="AA671" s="537" t="n"/>
    </row>
    <row customHeight="1" ht="15.75" r="672" s="452" spans="1:32">
      <c r="A672" s="44" t="n"/>
      <c r="W672" s="537" t="n"/>
      <c r="X672" s="537" t="n"/>
      <c r="Z672" s="537" t="n"/>
      <c r="AA672" s="537" t="n"/>
    </row>
    <row customHeight="1" ht="15.75" r="673" s="452" spans="1:32">
      <c r="A673" s="44" t="n"/>
      <c r="W673" s="537" t="n"/>
      <c r="X673" s="537" t="n"/>
      <c r="Z673" s="537" t="n"/>
      <c r="AA673" s="537" t="n"/>
    </row>
    <row customHeight="1" ht="15.75" r="674" s="452" spans="1:32">
      <c r="A674" s="44" t="n"/>
      <c r="W674" s="537" t="n"/>
      <c r="X674" s="537" t="n"/>
      <c r="Z674" s="537" t="n"/>
      <c r="AA674" s="537" t="n"/>
    </row>
    <row customHeight="1" ht="15.75" r="675" s="452" spans="1:32">
      <c r="A675" s="44" t="n"/>
      <c r="W675" s="537" t="n"/>
      <c r="X675" s="537" t="n"/>
      <c r="Z675" s="537" t="n"/>
      <c r="AA675" s="537" t="n"/>
    </row>
    <row customHeight="1" ht="15.75" r="676" s="452" spans="1:32">
      <c r="A676" s="44" t="n"/>
      <c r="W676" s="537" t="n"/>
      <c r="X676" s="537" t="n"/>
      <c r="Z676" s="537" t="n"/>
      <c r="AA676" s="537" t="n"/>
    </row>
    <row customHeight="1" ht="15.75" r="677" s="452" spans="1:32">
      <c r="A677" s="44" t="n"/>
      <c r="W677" s="537" t="n"/>
      <c r="X677" s="537" t="n"/>
      <c r="Z677" s="537" t="n"/>
      <c r="AA677" s="537" t="n"/>
    </row>
    <row customHeight="1" ht="15.75" r="678" s="452" spans="1:32">
      <c r="A678" s="44" t="n"/>
      <c r="W678" s="537" t="n"/>
      <c r="X678" s="537" t="n"/>
      <c r="Z678" s="537" t="n"/>
      <c r="AA678" s="537" t="n"/>
    </row>
    <row customHeight="1" ht="15.75" r="679" s="452" spans="1:32">
      <c r="A679" s="44" t="n"/>
      <c r="W679" s="537" t="n"/>
      <c r="X679" s="537" t="n"/>
      <c r="Z679" s="537" t="n"/>
      <c r="AA679" s="537" t="n"/>
    </row>
    <row customHeight="1" ht="15.75" r="680" s="452" spans="1:32">
      <c r="A680" s="44" t="n"/>
      <c r="W680" s="537" t="n"/>
      <c r="X680" s="537" t="n"/>
      <c r="Z680" s="537" t="n"/>
      <c r="AA680" s="537" t="n"/>
    </row>
    <row customHeight="1" ht="15.75" r="681" s="452" spans="1:32">
      <c r="A681" s="44" t="n"/>
      <c r="W681" s="537" t="n"/>
      <c r="X681" s="537" t="n"/>
      <c r="Z681" s="537" t="n"/>
      <c r="AA681" s="537" t="n"/>
    </row>
    <row customHeight="1" ht="15.75" r="682" s="452" spans="1:32">
      <c r="A682" s="44" t="n"/>
      <c r="W682" s="537" t="n"/>
      <c r="X682" s="537" t="n"/>
      <c r="Z682" s="537" t="n"/>
      <c r="AA682" s="537" t="n"/>
    </row>
    <row customHeight="1" ht="15.75" r="683" s="452" spans="1:32">
      <c r="A683" s="44" t="n"/>
      <c r="W683" s="537" t="n"/>
      <c r="X683" s="537" t="n"/>
      <c r="Z683" s="537" t="n"/>
      <c r="AA683" s="537" t="n"/>
    </row>
    <row customHeight="1" ht="15.75" r="684" s="452" spans="1:32">
      <c r="A684" s="44" t="n"/>
      <c r="W684" s="537" t="n"/>
      <c r="X684" s="537" t="n"/>
      <c r="Z684" s="537" t="n"/>
      <c r="AA684" s="537" t="n"/>
    </row>
    <row customHeight="1" ht="15.75" r="685" s="452" spans="1:32">
      <c r="A685" s="44" t="n"/>
      <c r="W685" s="537" t="n"/>
      <c r="X685" s="537" t="n"/>
      <c r="Z685" s="537" t="n"/>
      <c r="AA685" s="537" t="n"/>
    </row>
    <row customHeight="1" ht="15.75" r="686" s="452" spans="1:32">
      <c r="A686" s="44" t="n"/>
      <c r="W686" s="537" t="n"/>
      <c r="X686" s="537" t="n"/>
      <c r="Z686" s="537" t="n"/>
      <c r="AA686" s="537" t="n"/>
    </row>
    <row customHeight="1" ht="15.75" r="687" s="452" spans="1:32">
      <c r="A687" s="44" t="n"/>
      <c r="W687" s="537" t="n"/>
      <c r="X687" s="537" t="n"/>
      <c r="Z687" s="537" t="n"/>
      <c r="AA687" s="537" t="n"/>
    </row>
    <row customHeight="1" ht="15.75" r="688" s="452" spans="1:32">
      <c r="A688" s="44" t="n"/>
      <c r="W688" s="537" t="n"/>
      <c r="X688" s="537" t="n"/>
      <c r="Z688" s="537" t="n"/>
      <c r="AA688" s="537" t="n"/>
    </row>
    <row customHeight="1" ht="15.75" r="689" s="452" spans="1:32">
      <c r="A689" s="44" t="n"/>
      <c r="W689" s="537" t="n"/>
      <c r="X689" s="537" t="n"/>
      <c r="Z689" s="537" t="n"/>
      <c r="AA689" s="537" t="n"/>
    </row>
    <row customHeight="1" ht="15.75" r="690" s="452" spans="1:32">
      <c r="A690" s="44" t="n"/>
      <c r="W690" s="537" t="n"/>
      <c r="X690" s="537" t="n"/>
      <c r="Z690" s="537" t="n"/>
      <c r="AA690" s="537" t="n"/>
    </row>
    <row customHeight="1" ht="15.75" r="691" s="452" spans="1:32">
      <c r="A691" s="44" t="n"/>
      <c r="W691" s="537" t="n"/>
      <c r="X691" s="537" t="n"/>
      <c r="Z691" s="537" t="n"/>
      <c r="AA691" s="537" t="n"/>
    </row>
    <row customHeight="1" ht="15.75" r="692" s="452" spans="1:32">
      <c r="A692" s="44" t="n"/>
      <c r="W692" s="537" t="n"/>
      <c r="X692" s="537" t="n"/>
      <c r="Z692" s="537" t="n"/>
      <c r="AA692" s="537" t="n"/>
    </row>
    <row customHeight="1" ht="15.75" r="693" s="452" spans="1:32">
      <c r="A693" s="44" t="n"/>
      <c r="W693" s="537" t="n"/>
      <c r="X693" s="537" t="n"/>
      <c r="Z693" s="537" t="n"/>
      <c r="AA693" s="537" t="n"/>
    </row>
    <row customHeight="1" ht="15.75" r="694" s="452" spans="1:32">
      <c r="A694" s="44" t="n"/>
      <c r="W694" s="537" t="n"/>
      <c r="X694" s="537" t="n"/>
      <c r="Z694" s="537" t="n"/>
      <c r="AA694" s="537" t="n"/>
    </row>
    <row customHeight="1" ht="15.75" r="695" s="452" spans="1:32">
      <c r="A695" s="44" t="n"/>
      <c r="W695" s="537" t="n"/>
      <c r="X695" s="537" t="n"/>
      <c r="Z695" s="537" t="n"/>
      <c r="AA695" s="537" t="n"/>
    </row>
    <row customHeight="1" ht="15.75" r="696" s="452" spans="1:32">
      <c r="A696" s="44" t="n"/>
      <c r="W696" s="537" t="n"/>
      <c r="X696" s="537" t="n"/>
      <c r="Z696" s="537" t="n"/>
      <c r="AA696" s="537" t="n"/>
    </row>
    <row customHeight="1" ht="15.75" r="697" s="452" spans="1:32">
      <c r="A697" s="44" t="n"/>
      <c r="W697" s="537" t="n"/>
      <c r="X697" s="537" t="n"/>
      <c r="Z697" s="537" t="n"/>
      <c r="AA697" s="537" t="n"/>
    </row>
    <row customHeight="1" ht="15.75" r="698" s="452" spans="1:32">
      <c r="A698" s="44" t="n"/>
      <c r="W698" s="537" t="n"/>
      <c r="X698" s="537" t="n"/>
      <c r="Z698" s="537" t="n"/>
      <c r="AA698" s="537" t="n"/>
    </row>
    <row customHeight="1" ht="15.75" r="699" s="452" spans="1:32">
      <c r="A699" s="44" t="n"/>
      <c r="W699" s="537" t="n"/>
      <c r="X699" s="537" t="n"/>
      <c r="Z699" s="537" t="n"/>
      <c r="AA699" s="537" t="n"/>
    </row>
    <row customHeight="1" ht="15.75" r="700" s="452" spans="1:32">
      <c r="A700" s="44" t="n"/>
      <c r="W700" s="537" t="n"/>
      <c r="X700" s="537" t="n"/>
      <c r="Z700" s="537" t="n"/>
      <c r="AA700" s="537" t="n"/>
    </row>
    <row customHeight="1" ht="15.75" r="701" s="452" spans="1:32">
      <c r="A701" s="44" t="n"/>
      <c r="W701" s="537" t="n"/>
      <c r="X701" s="537" t="n"/>
      <c r="Z701" s="537" t="n"/>
      <c r="AA701" s="537" t="n"/>
    </row>
    <row customHeight="1" ht="15.75" r="702" s="452" spans="1:32">
      <c r="A702" s="44" t="n"/>
      <c r="W702" s="537" t="n"/>
      <c r="X702" s="537" t="n"/>
      <c r="Z702" s="537" t="n"/>
      <c r="AA702" s="537" t="n"/>
    </row>
    <row customHeight="1" ht="15.75" r="703" s="452" spans="1:32">
      <c r="A703" s="44" t="n"/>
      <c r="W703" s="537" t="n"/>
      <c r="X703" s="537" t="n"/>
      <c r="Z703" s="537" t="n"/>
      <c r="AA703" s="537" t="n"/>
    </row>
    <row customHeight="1" ht="15.75" r="704" s="452" spans="1:32">
      <c r="A704" s="44" t="n"/>
      <c r="W704" s="537" t="n"/>
      <c r="X704" s="537" t="n"/>
      <c r="Z704" s="537" t="n"/>
      <c r="AA704" s="537" t="n"/>
    </row>
    <row customHeight="1" ht="15.75" r="705" s="452" spans="1:32">
      <c r="A705" s="44" t="n"/>
      <c r="W705" s="537" t="n"/>
      <c r="X705" s="537" t="n"/>
      <c r="Z705" s="537" t="n"/>
      <c r="AA705" s="537" t="n"/>
    </row>
    <row customHeight="1" ht="15.75" r="706" s="452" spans="1:32">
      <c r="A706" s="44" t="n"/>
      <c r="W706" s="537" t="n"/>
      <c r="X706" s="537" t="n"/>
      <c r="Z706" s="537" t="n"/>
      <c r="AA706" s="537" t="n"/>
    </row>
    <row customHeight="1" ht="15.75" r="707" s="452" spans="1:32">
      <c r="A707" s="44" t="n"/>
      <c r="W707" s="537" t="n"/>
      <c r="X707" s="537" t="n"/>
      <c r="Z707" s="537" t="n"/>
      <c r="AA707" s="537" t="n"/>
    </row>
    <row customHeight="1" ht="15.75" r="708" s="452" spans="1:32">
      <c r="A708" s="44" t="n"/>
      <c r="W708" s="537" t="n"/>
      <c r="X708" s="537" t="n"/>
      <c r="Z708" s="537" t="n"/>
      <c r="AA708" s="537" t="n"/>
    </row>
    <row customHeight="1" ht="15.75" r="709" s="452" spans="1:32">
      <c r="A709" s="44" t="n"/>
      <c r="W709" s="537" t="n"/>
      <c r="X709" s="537" t="n"/>
      <c r="Z709" s="537" t="n"/>
      <c r="AA709" s="537" t="n"/>
    </row>
    <row customHeight="1" ht="15.75" r="710" s="452" spans="1:32">
      <c r="A710" s="44" t="n"/>
      <c r="W710" s="537" t="n"/>
      <c r="X710" s="537" t="n"/>
      <c r="Z710" s="537" t="n"/>
      <c r="AA710" s="537" t="n"/>
    </row>
    <row customHeight="1" ht="15.75" r="711" s="452" spans="1:32">
      <c r="A711" s="44" t="n"/>
      <c r="W711" s="537" t="n"/>
      <c r="X711" s="537" t="n"/>
      <c r="Z711" s="537" t="n"/>
      <c r="AA711" s="537" t="n"/>
    </row>
    <row customHeight="1" ht="15.75" r="712" s="452" spans="1:32">
      <c r="A712" s="44" t="n"/>
      <c r="W712" s="537" t="n"/>
      <c r="X712" s="537" t="n"/>
      <c r="Z712" s="537" t="n"/>
      <c r="AA712" s="537" t="n"/>
    </row>
    <row customHeight="1" ht="15.75" r="713" s="452" spans="1:32">
      <c r="A713" s="44" t="n"/>
      <c r="W713" s="537" t="n"/>
      <c r="X713" s="537" t="n"/>
      <c r="Z713" s="537" t="n"/>
      <c r="AA713" s="537" t="n"/>
    </row>
    <row customHeight="1" ht="15.75" r="714" s="452" spans="1:32">
      <c r="A714" s="44" t="n"/>
      <c r="W714" s="537" t="n"/>
      <c r="X714" s="537" t="n"/>
      <c r="Z714" s="537" t="n"/>
      <c r="AA714" s="537" t="n"/>
    </row>
    <row customHeight="1" ht="15.75" r="715" s="452" spans="1:32">
      <c r="A715" s="44" t="n"/>
      <c r="W715" s="537" t="n"/>
      <c r="X715" s="537" t="n"/>
      <c r="Z715" s="537" t="n"/>
      <c r="AA715" s="537" t="n"/>
    </row>
    <row customHeight="1" ht="15.75" r="716" s="452" spans="1:32">
      <c r="A716" s="44" t="n"/>
      <c r="W716" s="537" t="n"/>
      <c r="X716" s="537" t="n"/>
      <c r="Z716" s="537" t="n"/>
      <c r="AA716" s="537" t="n"/>
    </row>
    <row customHeight="1" ht="15.75" r="717" s="452" spans="1:32">
      <c r="A717" s="44" t="n"/>
      <c r="W717" s="537" t="n"/>
      <c r="X717" s="537" t="n"/>
      <c r="Z717" s="537" t="n"/>
      <c r="AA717" s="537" t="n"/>
    </row>
    <row customHeight="1" ht="15.75" r="718" s="452" spans="1:32">
      <c r="A718" s="44" t="n"/>
      <c r="W718" s="537" t="n"/>
      <c r="X718" s="537" t="n"/>
      <c r="Z718" s="537" t="n"/>
      <c r="AA718" s="537" t="n"/>
    </row>
    <row customHeight="1" ht="15.75" r="719" s="452" spans="1:32">
      <c r="A719" s="44" t="n"/>
      <c r="W719" s="537" t="n"/>
      <c r="X719" s="537" t="n"/>
      <c r="Z719" s="537" t="n"/>
      <c r="AA719" s="537" t="n"/>
    </row>
    <row customHeight="1" ht="15.75" r="720" s="452" spans="1:32">
      <c r="A720" s="44" t="n"/>
      <c r="W720" s="537" t="n"/>
      <c r="X720" s="537" t="n"/>
      <c r="Z720" s="537" t="n"/>
      <c r="AA720" s="537" t="n"/>
    </row>
    <row customHeight="1" ht="15.75" r="721" s="452" spans="1:32">
      <c r="A721" s="44" t="n"/>
      <c r="W721" s="537" t="n"/>
      <c r="X721" s="537" t="n"/>
      <c r="Z721" s="537" t="n"/>
      <c r="AA721" s="537" t="n"/>
    </row>
    <row customHeight="1" ht="15.75" r="722" s="452" spans="1:32">
      <c r="A722" s="44" t="n"/>
      <c r="W722" s="537" t="n"/>
      <c r="X722" s="537" t="n"/>
      <c r="Z722" s="537" t="n"/>
      <c r="AA722" s="537" t="n"/>
    </row>
    <row customHeight="1" ht="15.75" r="723" s="452" spans="1:32">
      <c r="A723" s="44" t="n"/>
      <c r="W723" s="537" t="n"/>
      <c r="X723" s="537" t="n"/>
      <c r="Z723" s="537" t="n"/>
      <c r="AA723" s="537" t="n"/>
    </row>
    <row customHeight="1" ht="15.75" r="724" s="452" spans="1:32">
      <c r="A724" s="44" t="n"/>
      <c r="W724" s="537" t="n"/>
      <c r="X724" s="537" t="n"/>
      <c r="Z724" s="537" t="n"/>
      <c r="AA724" s="537" t="n"/>
    </row>
    <row customHeight="1" ht="15.75" r="725" s="452" spans="1:32">
      <c r="A725" s="44" t="n"/>
      <c r="W725" s="537" t="n"/>
      <c r="X725" s="537" t="n"/>
      <c r="Z725" s="537" t="n"/>
      <c r="AA725" s="537" t="n"/>
    </row>
    <row customHeight="1" ht="15.75" r="726" s="452" spans="1:32">
      <c r="A726" s="44" t="n"/>
      <c r="W726" s="537" t="n"/>
      <c r="X726" s="537" t="n"/>
      <c r="Z726" s="537" t="n"/>
      <c r="AA726" s="537" t="n"/>
    </row>
    <row customHeight="1" ht="15.75" r="727" s="452" spans="1:32">
      <c r="A727" s="44" t="n"/>
      <c r="W727" s="537" t="n"/>
      <c r="X727" s="537" t="n"/>
      <c r="Z727" s="537" t="n"/>
      <c r="AA727" s="537" t="n"/>
    </row>
    <row customHeight="1" ht="15.75" r="728" s="452" spans="1:32">
      <c r="A728" s="44" t="n"/>
      <c r="W728" s="537" t="n"/>
      <c r="X728" s="537" t="n"/>
      <c r="Z728" s="537" t="n"/>
      <c r="AA728" s="537" t="n"/>
    </row>
    <row customHeight="1" ht="15.75" r="729" s="452" spans="1:32">
      <c r="A729" s="44" t="n"/>
      <c r="W729" s="537" t="n"/>
      <c r="X729" s="537" t="n"/>
      <c r="Z729" s="537" t="n"/>
      <c r="AA729" s="537" t="n"/>
    </row>
    <row customHeight="1" ht="15.75" r="730" s="452" spans="1:32">
      <c r="A730" s="44" t="n"/>
      <c r="W730" s="537" t="n"/>
      <c r="X730" s="537" t="n"/>
      <c r="Z730" s="537" t="n"/>
      <c r="AA730" s="537" t="n"/>
    </row>
    <row customHeight="1" ht="15.75" r="731" s="452" spans="1:32">
      <c r="A731" s="44" t="n"/>
      <c r="W731" s="537" t="n"/>
      <c r="X731" s="537" t="n"/>
      <c r="Z731" s="537" t="n"/>
      <c r="AA731" s="537" t="n"/>
    </row>
    <row customHeight="1" ht="15.75" r="732" s="452" spans="1:32">
      <c r="A732" s="44" t="n"/>
      <c r="W732" s="537" t="n"/>
      <c r="X732" s="537" t="n"/>
      <c r="Z732" s="537" t="n"/>
      <c r="AA732" s="537" t="n"/>
    </row>
    <row customHeight="1" ht="15.75" r="733" s="452" spans="1:32">
      <c r="A733" s="44" t="n"/>
      <c r="W733" s="537" t="n"/>
      <c r="X733" s="537" t="n"/>
      <c r="Z733" s="537" t="n"/>
      <c r="AA733" s="537" t="n"/>
    </row>
    <row customHeight="1" ht="15.75" r="734" s="452" spans="1:32">
      <c r="A734" s="44" t="n"/>
      <c r="W734" s="537" t="n"/>
      <c r="X734" s="537" t="n"/>
      <c r="Z734" s="537" t="n"/>
      <c r="AA734" s="537" t="n"/>
    </row>
    <row customHeight="1" ht="15.75" r="735" s="452" spans="1:32">
      <c r="A735" s="44" t="n"/>
      <c r="W735" s="537" t="n"/>
      <c r="X735" s="537" t="n"/>
      <c r="Z735" s="537" t="n"/>
      <c r="AA735" s="537" t="n"/>
    </row>
    <row customHeight="1" ht="15.75" r="736" s="452" spans="1:32">
      <c r="A736" s="44" t="n"/>
      <c r="W736" s="537" t="n"/>
      <c r="X736" s="537" t="n"/>
      <c r="Z736" s="537" t="n"/>
      <c r="AA736" s="537" t="n"/>
    </row>
    <row customHeight="1" ht="15.75" r="737" s="452" spans="1:32">
      <c r="A737" s="44" t="n"/>
      <c r="W737" s="537" t="n"/>
      <c r="X737" s="537" t="n"/>
      <c r="Z737" s="537" t="n"/>
      <c r="AA737" s="537" t="n"/>
    </row>
    <row customHeight="1" ht="15.75" r="738" s="452" spans="1:32">
      <c r="A738" s="44" t="n"/>
      <c r="W738" s="537" t="n"/>
      <c r="X738" s="537" t="n"/>
      <c r="Z738" s="537" t="n"/>
      <c r="AA738" s="537" t="n"/>
    </row>
    <row customHeight="1" ht="15.75" r="739" s="452" spans="1:32">
      <c r="A739" s="44" t="n"/>
      <c r="W739" s="537" t="n"/>
      <c r="X739" s="537" t="n"/>
      <c r="Z739" s="537" t="n"/>
      <c r="AA739" s="537" t="n"/>
    </row>
    <row customHeight="1" ht="15.75" r="740" s="452" spans="1:32">
      <c r="A740" s="44" t="n"/>
      <c r="W740" s="537" t="n"/>
      <c r="X740" s="537" t="n"/>
      <c r="Z740" s="537" t="n"/>
      <c r="AA740" s="537" t="n"/>
    </row>
    <row customHeight="1" ht="15.75" r="741" s="452" spans="1:32">
      <c r="A741" s="44" t="n"/>
      <c r="W741" s="537" t="n"/>
      <c r="X741" s="537" t="n"/>
      <c r="Z741" s="537" t="n"/>
      <c r="AA741" s="537" t="n"/>
    </row>
    <row customHeight="1" ht="15.75" r="742" s="452" spans="1:32">
      <c r="A742" s="44" t="n"/>
      <c r="W742" s="537" t="n"/>
      <c r="X742" s="537" t="n"/>
      <c r="Z742" s="537" t="n"/>
      <c r="AA742" s="537" t="n"/>
    </row>
    <row customHeight="1" ht="15.75" r="743" s="452" spans="1:32">
      <c r="A743" s="44" t="n"/>
      <c r="W743" s="537" t="n"/>
      <c r="X743" s="537" t="n"/>
      <c r="Z743" s="537" t="n"/>
      <c r="AA743" s="537" t="n"/>
    </row>
    <row customHeight="1" ht="15.75" r="744" s="452" spans="1:32">
      <c r="A744" s="44" t="n"/>
      <c r="W744" s="537" t="n"/>
      <c r="X744" s="537" t="n"/>
      <c r="Z744" s="537" t="n"/>
      <c r="AA744" s="537" t="n"/>
    </row>
    <row customHeight="1" ht="15.75" r="745" s="452" spans="1:32">
      <c r="A745" s="44" t="n"/>
      <c r="W745" s="537" t="n"/>
      <c r="X745" s="537" t="n"/>
      <c r="Z745" s="537" t="n"/>
      <c r="AA745" s="537" t="n"/>
    </row>
    <row customHeight="1" ht="15.75" r="746" s="452" spans="1:32">
      <c r="A746" s="44" t="n"/>
      <c r="W746" s="537" t="n"/>
      <c r="X746" s="537" t="n"/>
      <c r="Z746" s="537" t="n"/>
      <c r="AA746" s="537" t="n"/>
    </row>
    <row customHeight="1" ht="15.75" r="747" s="452" spans="1:32">
      <c r="A747" s="44" t="n"/>
      <c r="W747" s="537" t="n"/>
      <c r="X747" s="537" t="n"/>
      <c r="Z747" s="537" t="n"/>
      <c r="AA747" s="537" t="n"/>
    </row>
    <row customHeight="1" ht="15.75" r="748" s="452" spans="1:32">
      <c r="A748" s="44" t="n"/>
      <c r="W748" s="537" t="n"/>
      <c r="X748" s="537" t="n"/>
      <c r="Z748" s="537" t="n"/>
      <c r="AA748" s="537" t="n"/>
    </row>
    <row customHeight="1" ht="15.75" r="749" s="452" spans="1:32">
      <c r="A749" s="44" t="n"/>
      <c r="W749" s="537" t="n"/>
      <c r="X749" s="537" t="n"/>
      <c r="Z749" s="537" t="n"/>
      <c r="AA749" s="537" t="n"/>
    </row>
    <row customHeight="1" ht="15.75" r="750" s="452" spans="1:32">
      <c r="A750" s="44" t="n"/>
      <c r="W750" s="537" t="n"/>
      <c r="X750" s="537" t="n"/>
      <c r="Z750" s="537" t="n"/>
      <c r="AA750" s="537" t="n"/>
    </row>
    <row customHeight="1" ht="15.75" r="751" s="452" spans="1:32">
      <c r="A751" s="44" t="n"/>
      <c r="W751" s="537" t="n"/>
      <c r="X751" s="537" t="n"/>
      <c r="Z751" s="537" t="n"/>
      <c r="AA751" s="537" t="n"/>
    </row>
    <row customHeight="1" ht="15.75" r="752" s="452" spans="1:32">
      <c r="A752" s="44" t="n"/>
      <c r="W752" s="537" t="n"/>
      <c r="X752" s="537" t="n"/>
      <c r="Z752" s="537" t="n"/>
      <c r="AA752" s="537" t="n"/>
    </row>
    <row customHeight="1" ht="15.75" r="753" s="452" spans="1:32">
      <c r="A753" s="44" t="n"/>
      <c r="W753" s="537" t="n"/>
      <c r="X753" s="537" t="n"/>
      <c r="Z753" s="537" t="n"/>
      <c r="AA753" s="537" t="n"/>
    </row>
    <row customHeight="1" ht="15.75" r="754" s="452" spans="1:32">
      <c r="A754" s="44" t="n"/>
      <c r="W754" s="537" t="n"/>
      <c r="X754" s="537" t="n"/>
      <c r="Z754" s="537" t="n"/>
      <c r="AA754" s="537" t="n"/>
    </row>
    <row customHeight="1" ht="15.75" r="755" s="452" spans="1:32">
      <c r="A755" s="44" t="n"/>
      <c r="W755" s="537" t="n"/>
      <c r="X755" s="537" t="n"/>
      <c r="Z755" s="537" t="n"/>
      <c r="AA755" s="537" t="n"/>
    </row>
    <row customHeight="1" ht="15.75" r="756" s="452" spans="1:32">
      <c r="A756" s="44" t="n"/>
      <c r="W756" s="537" t="n"/>
      <c r="X756" s="537" t="n"/>
      <c r="Z756" s="537" t="n"/>
      <c r="AA756" s="537" t="n"/>
    </row>
    <row customHeight="1" ht="15.75" r="757" s="452" spans="1:32">
      <c r="A757" s="44" t="n"/>
      <c r="W757" s="537" t="n"/>
      <c r="X757" s="537" t="n"/>
      <c r="Z757" s="537" t="n"/>
      <c r="AA757" s="537" t="n"/>
    </row>
    <row customHeight="1" ht="15.75" r="758" s="452" spans="1:32">
      <c r="A758" s="44" t="n"/>
      <c r="W758" s="537" t="n"/>
      <c r="X758" s="537" t="n"/>
      <c r="Z758" s="537" t="n"/>
      <c r="AA758" s="537" t="n"/>
    </row>
    <row customHeight="1" ht="15.75" r="759" s="452" spans="1:32">
      <c r="A759" s="44" t="n"/>
      <c r="W759" s="537" t="n"/>
      <c r="X759" s="537" t="n"/>
      <c r="Z759" s="537" t="n"/>
      <c r="AA759" s="537" t="n"/>
    </row>
    <row customHeight="1" ht="15.75" r="760" s="452" spans="1:32">
      <c r="A760" s="44" t="n"/>
      <c r="W760" s="537" t="n"/>
      <c r="X760" s="537" t="n"/>
      <c r="Z760" s="537" t="n"/>
      <c r="AA760" s="537" t="n"/>
    </row>
    <row customHeight="1" ht="15.75" r="761" s="452" spans="1:32">
      <c r="A761" s="44" t="n"/>
      <c r="W761" s="537" t="n"/>
      <c r="X761" s="537" t="n"/>
      <c r="Z761" s="537" t="n"/>
      <c r="AA761" s="537" t="n"/>
    </row>
    <row customHeight="1" ht="15.75" r="762" s="452" spans="1:32">
      <c r="A762" s="44" t="n"/>
      <c r="W762" s="537" t="n"/>
      <c r="X762" s="537" t="n"/>
      <c r="Z762" s="537" t="n"/>
      <c r="AA762" s="537" t="n"/>
    </row>
    <row customHeight="1" ht="15.75" r="763" s="452" spans="1:32">
      <c r="A763" s="44" t="n"/>
      <c r="W763" s="537" t="n"/>
      <c r="X763" s="537" t="n"/>
      <c r="Z763" s="537" t="n"/>
      <c r="AA763" s="537" t="n"/>
    </row>
    <row customHeight="1" ht="15.75" r="764" s="452" spans="1:32">
      <c r="A764" s="44" t="n"/>
      <c r="W764" s="537" t="n"/>
      <c r="X764" s="537" t="n"/>
      <c r="Z764" s="537" t="n"/>
      <c r="AA764" s="537" t="n"/>
    </row>
    <row customHeight="1" ht="15.75" r="765" s="452" spans="1:32">
      <c r="A765" s="44" t="n"/>
      <c r="W765" s="537" t="n"/>
      <c r="X765" s="537" t="n"/>
      <c r="Z765" s="537" t="n"/>
      <c r="AA765" s="537" t="n"/>
    </row>
    <row customHeight="1" ht="15.75" r="766" s="452" spans="1:32">
      <c r="A766" s="44" t="n"/>
      <c r="W766" s="537" t="n"/>
      <c r="X766" s="537" t="n"/>
      <c r="Z766" s="537" t="n"/>
      <c r="AA766" s="537" t="n"/>
    </row>
    <row customHeight="1" ht="15.75" r="767" s="452" spans="1:32">
      <c r="A767" s="44" t="n"/>
      <c r="W767" s="537" t="n"/>
      <c r="X767" s="537" t="n"/>
      <c r="Z767" s="537" t="n"/>
      <c r="AA767" s="537" t="n"/>
    </row>
    <row customHeight="1" ht="15.75" r="768" s="452" spans="1:32">
      <c r="A768" s="44" t="n"/>
      <c r="W768" s="537" t="n"/>
      <c r="X768" s="537" t="n"/>
      <c r="Z768" s="537" t="n"/>
      <c r="AA768" s="537" t="n"/>
    </row>
    <row customHeight="1" ht="15.75" r="769" s="452" spans="1:32">
      <c r="A769" s="44" t="n"/>
      <c r="W769" s="537" t="n"/>
      <c r="X769" s="537" t="n"/>
      <c r="Z769" s="537" t="n"/>
      <c r="AA769" s="537" t="n"/>
    </row>
    <row customHeight="1" ht="15.75" r="770" s="452" spans="1:32">
      <c r="A770" s="44" t="n"/>
      <c r="W770" s="537" t="n"/>
      <c r="X770" s="537" t="n"/>
      <c r="Z770" s="537" t="n"/>
      <c r="AA770" s="537" t="n"/>
    </row>
    <row customHeight="1" ht="15.75" r="771" s="452" spans="1:32">
      <c r="A771" s="44" t="n"/>
      <c r="W771" s="537" t="n"/>
      <c r="X771" s="537" t="n"/>
      <c r="Z771" s="537" t="n"/>
      <c r="AA771" s="537" t="n"/>
    </row>
    <row customHeight="1" ht="15.75" r="772" s="452" spans="1:32">
      <c r="A772" s="44" t="n"/>
      <c r="W772" s="537" t="n"/>
      <c r="X772" s="537" t="n"/>
      <c r="Z772" s="537" t="n"/>
      <c r="AA772" s="537" t="n"/>
    </row>
    <row customHeight="1" ht="15.75" r="773" s="452" spans="1:32">
      <c r="A773" s="44" t="n"/>
      <c r="W773" s="537" t="n"/>
      <c r="X773" s="537" t="n"/>
      <c r="Z773" s="537" t="n"/>
      <c r="AA773" s="537" t="n"/>
    </row>
    <row customHeight="1" ht="15.75" r="774" s="452" spans="1:32">
      <c r="A774" s="44" t="n"/>
      <c r="W774" s="537" t="n"/>
      <c r="X774" s="537" t="n"/>
      <c r="Z774" s="537" t="n"/>
      <c r="AA774" s="537" t="n"/>
    </row>
    <row customHeight="1" ht="15.75" r="775" s="452" spans="1:32">
      <c r="A775" s="44" t="n"/>
      <c r="W775" s="537" t="n"/>
      <c r="X775" s="537" t="n"/>
      <c r="Z775" s="537" t="n"/>
      <c r="AA775" s="537" t="n"/>
    </row>
    <row customHeight="1" ht="15.75" r="776" s="452" spans="1:32">
      <c r="A776" s="44" t="n"/>
      <c r="W776" s="537" t="n"/>
      <c r="X776" s="537" t="n"/>
      <c r="Z776" s="537" t="n"/>
      <c r="AA776" s="537" t="n"/>
    </row>
    <row customHeight="1" ht="15.75" r="777" s="452" spans="1:32">
      <c r="A777" s="44" t="n"/>
      <c r="W777" s="537" t="n"/>
      <c r="X777" s="537" t="n"/>
      <c r="Z777" s="537" t="n"/>
      <c r="AA777" s="537" t="n"/>
    </row>
    <row customHeight="1" ht="15.75" r="778" s="452" spans="1:32">
      <c r="A778" s="44" t="n"/>
      <c r="W778" s="537" t="n"/>
      <c r="X778" s="537" t="n"/>
      <c r="Z778" s="537" t="n"/>
      <c r="AA778" s="537" t="n"/>
    </row>
    <row customHeight="1" ht="15.75" r="779" s="452" spans="1:32">
      <c r="A779" s="44" t="n"/>
      <c r="W779" s="537" t="n"/>
      <c r="X779" s="537" t="n"/>
      <c r="Z779" s="537" t="n"/>
      <c r="AA779" s="537" t="n"/>
    </row>
    <row customHeight="1" ht="15.75" r="780" s="452" spans="1:32">
      <c r="A780" s="44" t="n"/>
      <c r="W780" s="537" t="n"/>
      <c r="X780" s="537" t="n"/>
      <c r="Z780" s="537" t="n"/>
      <c r="AA780" s="537" t="n"/>
    </row>
    <row customHeight="1" ht="15.75" r="781" s="452" spans="1:32">
      <c r="A781" s="44" t="n"/>
      <c r="W781" s="537" t="n"/>
      <c r="X781" s="537" t="n"/>
      <c r="Z781" s="537" t="n"/>
      <c r="AA781" s="537" t="n"/>
    </row>
    <row customHeight="1" ht="15.75" r="782" s="452" spans="1:32">
      <c r="A782" s="44" t="n"/>
      <c r="W782" s="537" t="n"/>
      <c r="X782" s="537" t="n"/>
      <c r="Z782" s="537" t="n"/>
      <c r="AA782" s="537" t="n"/>
    </row>
    <row customHeight="1" ht="15.75" r="783" s="452" spans="1:32">
      <c r="A783" s="44" t="n"/>
      <c r="W783" s="537" t="n"/>
      <c r="X783" s="537" t="n"/>
      <c r="Z783" s="537" t="n"/>
      <c r="AA783" s="537" t="n"/>
    </row>
    <row customHeight="1" ht="15.75" r="784" s="452" spans="1:32">
      <c r="A784" s="44" t="n"/>
      <c r="W784" s="537" t="n"/>
      <c r="X784" s="537" t="n"/>
      <c r="Z784" s="537" t="n"/>
      <c r="AA784" s="537" t="n"/>
    </row>
    <row customHeight="1" ht="15.75" r="785" s="452" spans="1:32">
      <c r="A785" s="44" t="n"/>
      <c r="W785" s="537" t="n"/>
      <c r="X785" s="537" t="n"/>
      <c r="Z785" s="537" t="n"/>
      <c r="AA785" s="537" t="n"/>
    </row>
    <row customHeight="1" ht="15.75" r="786" s="452" spans="1:32">
      <c r="A786" s="44" t="n"/>
      <c r="W786" s="537" t="n"/>
      <c r="X786" s="537" t="n"/>
      <c r="Z786" s="537" t="n"/>
      <c r="AA786" s="537" t="n"/>
    </row>
    <row customHeight="1" ht="15.75" r="787" s="452" spans="1:32">
      <c r="A787" s="44" t="n"/>
      <c r="W787" s="537" t="n"/>
      <c r="X787" s="537" t="n"/>
      <c r="Z787" s="537" t="n"/>
      <c r="AA787" s="537" t="n"/>
    </row>
    <row customHeight="1" ht="15.75" r="788" s="452" spans="1:32">
      <c r="A788" s="44" t="n"/>
      <c r="W788" s="537" t="n"/>
      <c r="X788" s="537" t="n"/>
      <c r="Z788" s="537" t="n"/>
      <c r="AA788" s="537" t="n"/>
    </row>
    <row customHeight="1" ht="15.75" r="789" s="452" spans="1:32">
      <c r="A789" s="44" t="n"/>
      <c r="W789" s="537" t="n"/>
      <c r="X789" s="537" t="n"/>
      <c r="Z789" s="537" t="n"/>
      <c r="AA789" s="537" t="n"/>
    </row>
    <row customHeight="1" ht="15.75" r="790" s="452" spans="1:32">
      <c r="A790" s="44" t="n"/>
      <c r="W790" s="537" t="n"/>
      <c r="X790" s="537" t="n"/>
      <c r="Z790" s="537" t="n"/>
      <c r="AA790" s="537" t="n"/>
    </row>
    <row customHeight="1" ht="15.75" r="791" s="452" spans="1:32">
      <c r="A791" s="44" t="n"/>
      <c r="W791" s="537" t="n"/>
      <c r="X791" s="537" t="n"/>
      <c r="Z791" s="537" t="n"/>
      <c r="AA791" s="537" t="n"/>
    </row>
    <row customHeight="1" ht="15.75" r="792" s="452" spans="1:32">
      <c r="A792" s="44" t="n"/>
      <c r="W792" s="537" t="n"/>
      <c r="X792" s="537" t="n"/>
      <c r="Z792" s="537" t="n"/>
      <c r="AA792" s="537" t="n"/>
    </row>
    <row customHeight="1" ht="15.75" r="793" s="452" spans="1:32">
      <c r="A793" s="44" t="n"/>
      <c r="W793" s="537" t="n"/>
      <c r="X793" s="537" t="n"/>
      <c r="Z793" s="537" t="n"/>
      <c r="AA793" s="537" t="n"/>
    </row>
    <row customHeight="1" ht="15.75" r="794" s="452" spans="1:32">
      <c r="A794" s="44" t="n"/>
      <c r="W794" s="537" t="n"/>
      <c r="X794" s="537" t="n"/>
      <c r="Z794" s="537" t="n"/>
      <c r="AA794" s="537" t="n"/>
    </row>
    <row customHeight="1" ht="15.75" r="795" s="452" spans="1:32">
      <c r="A795" s="44" t="n"/>
      <c r="W795" s="537" t="n"/>
      <c r="X795" s="537" t="n"/>
      <c r="Z795" s="537" t="n"/>
      <c r="AA795" s="537" t="n"/>
    </row>
    <row customHeight="1" ht="15.75" r="796" s="452" spans="1:32">
      <c r="A796" s="44" t="n"/>
      <c r="W796" s="537" t="n"/>
      <c r="X796" s="537" t="n"/>
      <c r="Z796" s="537" t="n"/>
      <c r="AA796" s="537" t="n"/>
    </row>
    <row customHeight="1" ht="15.75" r="797" s="452" spans="1:32">
      <c r="A797" s="44" t="n"/>
      <c r="W797" s="537" t="n"/>
      <c r="X797" s="537" t="n"/>
      <c r="Z797" s="537" t="n"/>
      <c r="AA797" s="537" t="n"/>
    </row>
    <row customHeight="1" ht="15.75" r="798" s="452" spans="1:32">
      <c r="A798" s="44" t="n"/>
      <c r="W798" s="537" t="n"/>
      <c r="X798" s="537" t="n"/>
      <c r="Z798" s="537" t="n"/>
      <c r="AA798" s="537" t="n"/>
    </row>
    <row customHeight="1" ht="15.75" r="799" s="452" spans="1:32">
      <c r="A799" s="44" t="n"/>
      <c r="W799" s="537" t="n"/>
      <c r="X799" s="537" t="n"/>
      <c r="Z799" s="537" t="n"/>
      <c r="AA799" s="537" t="n"/>
    </row>
    <row customHeight="1" ht="15.75" r="800" s="452" spans="1:32">
      <c r="A800" s="44" t="n"/>
      <c r="W800" s="537" t="n"/>
      <c r="X800" s="537" t="n"/>
      <c r="Z800" s="537" t="n"/>
      <c r="AA800" s="537" t="n"/>
    </row>
    <row customHeight="1" ht="15.75" r="801" s="452" spans="1:32">
      <c r="A801" s="44" t="n"/>
      <c r="W801" s="537" t="n"/>
      <c r="X801" s="537" t="n"/>
      <c r="Z801" s="537" t="n"/>
      <c r="AA801" s="537" t="n"/>
    </row>
    <row customHeight="1" ht="15.75" r="802" s="452" spans="1:32">
      <c r="A802" s="44" t="n"/>
      <c r="W802" s="537" t="n"/>
      <c r="X802" s="537" t="n"/>
      <c r="Z802" s="537" t="n"/>
      <c r="AA802" s="537" t="n"/>
    </row>
    <row customHeight="1" ht="15.75" r="803" s="452" spans="1:32">
      <c r="A803" s="44" t="n"/>
      <c r="W803" s="537" t="n"/>
      <c r="X803" s="537" t="n"/>
      <c r="Z803" s="537" t="n"/>
      <c r="AA803" s="537" t="n"/>
    </row>
    <row customHeight="1" ht="15.75" r="804" s="452" spans="1:32">
      <c r="A804" s="44" t="n"/>
      <c r="W804" s="537" t="n"/>
      <c r="X804" s="537" t="n"/>
      <c r="Z804" s="537" t="n"/>
      <c r="AA804" s="537" t="n"/>
    </row>
    <row customHeight="1" ht="15.75" r="805" s="452" spans="1:32">
      <c r="A805" s="44" t="n"/>
      <c r="W805" s="537" t="n"/>
      <c r="X805" s="537" t="n"/>
      <c r="Z805" s="537" t="n"/>
      <c r="AA805" s="537" t="n"/>
    </row>
    <row customHeight="1" ht="15.75" r="806" s="452" spans="1:32">
      <c r="A806" s="44" t="n"/>
      <c r="W806" s="537" t="n"/>
      <c r="X806" s="537" t="n"/>
      <c r="Z806" s="537" t="n"/>
      <c r="AA806" s="537" t="n"/>
    </row>
    <row customHeight="1" ht="15.75" r="807" s="452" spans="1:32">
      <c r="A807" s="44" t="n"/>
      <c r="W807" s="537" t="n"/>
      <c r="X807" s="537" t="n"/>
      <c r="Z807" s="537" t="n"/>
      <c r="AA807" s="537" t="n"/>
    </row>
    <row customHeight="1" ht="15.75" r="808" s="452" spans="1:32">
      <c r="A808" s="44" t="n"/>
      <c r="W808" s="537" t="n"/>
      <c r="X808" s="537" t="n"/>
      <c r="Z808" s="537" t="n"/>
      <c r="AA808" s="537" t="n"/>
    </row>
    <row customHeight="1" ht="15.75" r="809" s="452" spans="1:32">
      <c r="A809" s="44" t="n"/>
      <c r="W809" s="537" t="n"/>
      <c r="X809" s="537" t="n"/>
      <c r="Z809" s="537" t="n"/>
      <c r="AA809" s="537" t="n"/>
    </row>
    <row customHeight="1" ht="15.75" r="810" s="452" spans="1:32">
      <c r="A810" s="44" t="n"/>
      <c r="W810" s="537" t="n"/>
      <c r="X810" s="537" t="n"/>
      <c r="Z810" s="537" t="n"/>
      <c r="AA810" s="537" t="n"/>
    </row>
    <row customHeight="1" ht="15.75" r="811" s="452" spans="1:32">
      <c r="A811" s="44" t="n"/>
      <c r="W811" s="537" t="n"/>
      <c r="X811" s="537" t="n"/>
      <c r="Z811" s="537" t="n"/>
      <c r="AA811" s="537" t="n"/>
    </row>
    <row customHeight="1" ht="15.75" r="812" s="452" spans="1:32">
      <c r="A812" s="44" t="n"/>
      <c r="W812" s="537" t="n"/>
      <c r="X812" s="537" t="n"/>
      <c r="Z812" s="537" t="n"/>
      <c r="AA812" s="537" t="n"/>
    </row>
    <row customHeight="1" ht="15.75" r="813" s="452" spans="1:32">
      <c r="A813" s="44" t="n"/>
      <c r="W813" s="537" t="n"/>
      <c r="X813" s="537" t="n"/>
      <c r="Z813" s="537" t="n"/>
      <c r="AA813" s="537" t="n"/>
    </row>
    <row customHeight="1" ht="15.75" r="814" s="452" spans="1:32">
      <c r="A814" s="44" t="n"/>
      <c r="W814" s="537" t="n"/>
      <c r="X814" s="537" t="n"/>
      <c r="Z814" s="537" t="n"/>
      <c r="AA814" s="537" t="n"/>
    </row>
    <row customHeight="1" ht="15.75" r="815" s="452" spans="1:32">
      <c r="A815" s="44" t="n"/>
      <c r="W815" s="537" t="n"/>
      <c r="X815" s="537" t="n"/>
      <c r="Z815" s="537" t="n"/>
      <c r="AA815" s="537" t="n"/>
    </row>
    <row customHeight="1" ht="15.75" r="816" s="452" spans="1:32">
      <c r="A816" s="44" t="n"/>
      <c r="W816" s="537" t="n"/>
      <c r="X816" s="537" t="n"/>
      <c r="Z816" s="537" t="n"/>
      <c r="AA816" s="537" t="n"/>
    </row>
    <row customHeight="1" ht="15.75" r="817" s="452" spans="1:32">
      <c r="A817" s="44" t="n"/>
      <c r="W817" s="537" t="n"/>
      <c r="X817" s="537" t="n"/>
      <c r="Z817" s="537" t="n"/>
      <c r="AA817" s="537" t="n"/>
    </row>
    <row customHeight="1" ht="15.75" r="818" s="452" spans="1:32">
      <c r="A818" s="44" t="n"/>
      <c r="W818" s="537" t="n"/>
      <c r="X818" s="537" t="n"/>
      <c r="Z818" s="537" t="n"/>
      <c r="AA818" s="537" t="n"/>
    </row>
    <row customHeight="1" ht="15.75" r="819" s="452" spans="1:32">
      <c r="A819" s="44" t="n"/>
      <c r="W819" s="537" t="n"/>
      <c r="X819" s="537" t="n"/>
      <c r="Z819" s="537" t="n"/>
      <c r="AA819" s="537" t="n"/>
    </row>
    <row customHeight="1" ht="15.75" r="820" s="452" spans="1:32">
      <c r="A820" s="44" t="n"/>
      <c r="W820" s="537" t="n"/>
      <c r="X820" s="537" t="n"/>
      <c r="Z820" s="537" t="n"/>
      <c r="AA820" s="537" t="n"/>
    </row>
    <row customHeight="1" ht="15.75" r="821" s="452" spans="1:32">
      <c r="A821" s="44" t="n"/>
      <c r="W821" s="537" t="n"/>
      <c r="X821" s="537" t="n"/>
      <c r="Z821" s="537" t="n"/>
      <c r="AA821" s="537" t="n"/>
    </row>
    <row customHeight="1" ht="15.75" r="822" s="452" spans="1:32">
      <c r="A822" s="44" t="n"/>
      <c r="W822" s="537" t="n"/>
      <c r="X822" s="537" t="n"/>
      <c r="Z822" s="537" t="n"/>
      <c r="AA822" s="537" t="n"/>
    </row>
    <row customHeight="1" ht="15.75" r="823" s="452" spans="1:32">
      <c r="A823" s="44" t="n"/>
      <c r="W823" s="537" t="n"/>
      <c r="X823" s="537" t="n"/>
      <c r="Z823" s="537" t="n"/>
      <c r="AA823" s="537" t="n"/>
    </row>
    <row customHeight="1" ht="15.75" r="824" s="452" spans="1:32">
      <c r="A824" s="44" t="n"/>
      <c r="W824" s="537" t="n"/>
      <c r="X824" s="537" t="n"/>
      <c r="Z824" s="537" t="n"/>
      <c r="AA824" s="537" t="n"/>
    </row>
    <row customHeight="1" ht="15.75" r="825" s="452" spans="1:32">
      <c r="A825" s="44" t="n"/>
      <c r="W825" s="537" t="n"/>
      <c r="X825" s="537" t="n"/>
      <c r="Z825" s="537" t="n"/>
      <c r="AA825" s="537" t="n"/>
    </row>
    <row customHeight="1" ht="15.75" r="826" s="452" spans="1:32">
      <c r="A826" s="44" t="n"/>
      <c r="W826" s="537" t="n"/>
      <c r="X826" s="537" t="n"/>
      <c r="Z826" s="537" t="n"/>
      <c r="AA826" s="537" t="n"/>
    </row>
    <row customHeight="1" ht="15.75" r="827" s="452" spans="1:32">
      <c r="A827" s="44" t="n"/>
      <c r="W827" s="537" t="n"/>
      <c r="X827" s="537" t="n"/>
      <c r="Z827" s="537" t="n"/>
      <c r="AA827" s="537" t="n"/>
    </row>
    <row customHeight="1" ht="15.75" r="828" s="452" spans="1:32">
      <c r="A828" s="44" t="n"/>
      <c r="W828" s="537" t="n"/>
      <c r="X828" s="537" t="n"/>
      <c r="Z828" s="537" t="n"/>
      <c r="AA828" s="537" t="n"/>
    </row>
    <row customHeight="1" ht="15.75" r="829" s="452" spans="1:32">
      <c r="A829" s="44" t="n"/>
      <c r="W829" s="537" t="n"/>
      <c r="X829" s="537" t="n"/>
      <c r="Z829" s="537" t="n"/>
      <c r="AA829" s="537" t="n"/>
    </row>
    <row customHeight="1" ht="15.75" r="830" s="452" spans="1:32">
      <c r="A830" s="44" t="n"/>
      <c r="W830" s="537" t="n"/>
      <c r="X830" s="537" t="n"/>
      <c r="Z830" s="537" t="n"/>
      <c r="AA830" s="537" t="n"/>
    </row>
    <row customHeight="1" ht="15.75" r="831" s="452" spans="1:32">
      <c r="A831" s="44" t="n"/>
      <c r="W831" s="537" t="n"/>
      <c r="X831" s="537" t="n"/>
      <c r="Z831" s="537" t="n"/>
      <c r="AA831" s="537" t="n"/>
    </row>
    <row customHeight="1" ht="15.75" r="832" s="452" spans="1:32">
      <c r="A832" s="44" t="n"/>
      <c r="W832" s="537" t="n"/>
      <c r="X832" s="537" t="n"/>
      <c r="Z832" s="537" t="n"/>
      <c r="AA832" s="537" t="n"/>
    </row>
    <row customHeight="1" ht="15.75" r="833" s="452" spans="1:32">
      <c r="A833" s="44" t="n"/>
      <c r="W833" s="537" t="n"/>
      <c r="X833" s="537" t="n"/>
      <c r="Z833" s="537" t="n"/>
      <c r="AA833" s="537" t="n"/>
    </row>
    <row customHeight="1" ht="15.75" r="834" s="452" spans="1:32">
      <c r="A834" s="44" t="n"/>
      <c r="W834" s="537" t="n"/>
      <c r="X834" s="537" t="n"/>
      <c r="Z834" s="537" t="n"/>
      <c r="AA834" s="537" t="n"/>
    </row>
    <row customHeight="1" ht="15.75" r="835" s="452" spans="1:32">
      <c r="A835" s="44" t="n"/>
      <c r="W835" s="537" t="n"/>
      <c r="X835" s="537" t="n"/>
      <c r="Z835" s="537" t="n"/>
      <c r="AA835" s="537" t="n"/>
    </row>
    <row customHeight="1" ht="15.75" r="836" s="452" spans="1:32">
      <c r="A836" s="44" t="n"/>
      <c r="W836" s="537" t="n"/>
      <c r="X836" s="537" t="n"/>
      <c r="Z836" s="537" t="n"/>
      <c r="AA836" s="537" t="n"/>
    </row>
    <row customHeight="1" ht="15.75" r="837" s="452" spans="1:32">
      <c r="A837" s="44" t="n"/>
      <c r="W837" s="537" t="n"/>
      <c r="X837" s="537" t="n"/>
      <c r="Z837" s="537" t="n"/>
      <c r="AA837" s="537" t="n"/>
    </row>
    <row customHeight="1" ht="15.75" r="838" s="452" spans="1:32">
      <c r="A838" s="44" t="n"/>
      <c r="W838" s="537" t="n"/>
      <c r="X838" s="537" t="n"/>
      <c r="Z838" s="537" t="n"/>
      <c r="AA838" s="537" t="n"/>
    </row>
    <row customHeight="1" ht="15.75" r="839" s="452" spans="1:32">
      <c r="A839" s="44" t="n"/>
      <c r="W839" s="537" t="n"/>
      <c r="X839" s="537" t="n"/>
      <c r="Z839" s="537" t="n"/>
      <c r="AA839" s="537" t="n"/>
    </row>
    <row customHeight="1" ht="15.75" r="840" s="452" spans="1:32">
      <c r="A840" s="44" t="n"/>
      <c r="W840" s="537" t="n"/>
      <c r="X840" s="537" t="n"/>
      <c r="Z840" s="537" t="n"/>
      <c r="AA840" s="537" t="n"/>
    </row>
    <row customHeight="1" ht="15.75" r="841" s="452" spans="1:32">
      <c r="A841" s="44" t="n"/>
      <c r="W841" s="537" t="n"/>
      <c r="X841" s="537" t="n"/>
      <c r="Z841" s="537" t="n"/>
      <c r="AA841" s="537" t="n"/>
    </row>
    <row customHeight="1" ht="15.75" r="842" s="452" spans="1:32">
      <c r="A842" s="44" t="n"/>
      <c r="W842" s="537" t="n"/>
      <c r="X842" s="537" t="n"/>
      <c r="Z842" s="537" t="n"/>
      <c r="AA842" s="537" t="n"/>
    </row>
    <row customHeight="1" ht="15.75" r="843" s="452" spans="1:32">
      <c r="A843" s="44" t="n"/>
      <c r="W843" s="537" t="n"/>
      <c r="X843" s="537" t="n"/>
      <c r="Z843" s="537" t="n"/>
      <c r="AA843" s="537" t="n"/>
    </row>
    <row customHeight="1" ht="15.75" r="844" s="452" spans="1:32">
      <c r="A844" s="44" t="n"/>
      <c r="W844" s="537" t="n"/>
      <c r="X844" s="537" t="n"/>
      <c r="Z844" s="537" t="n"/>
      <c r="AA844" s="537" t="n"/>
    </row>
    <row customHeight="1" ht="15.75" r="845" s="452" spans="1:32">
      <c r="A845" s="44" t="n"/>
      <c r="W845" s="537" t="n"/>
      <c r="X845" s="537" t="n"/>
      <c r="Z845" s="537" t="n"/>
      <c r="AA845" s="537" t="n"/>
    </row>
    <row customHeight="1" ht="15.75" r="846" s="452" spans="1:32">
      <c r="A846" s="44" t="n"/>
      <c r="W846" s="537" t="n"/>
      <c r="X846" s="537" t="n"/>
      <c r="Z846" s="537" t="n"/>
      <c r="AA846" s="537" t="n"/>
    </row>
    <row customHeight="1" ht="15.75" r="847" s="452" spans="1:32">
      <c r="A847" s="44" t="n"/>
      <c r="W847" s="537" t="n"/>
      <c r="X847" s="537" t="n"/>
      <c r="Z847" s="537" t="n"/>
      <c r="AA847" s="537" t="n"/>
    </row>
    <row customHeight="1" ht="15.75" r="848" s="452" spans="1:32">
      <c r="A848" s="44" t="n"/>
      <c r="W848" s="537" t="n"/>
      <c r="X848" s="537" t="n"/>
      <c r="Z848" s="537" t="n"/>
      <c r="AA848" s="537" t="n"/>
    </row>
    <row customHeight="1" ht="15.75" r="849" s="452" spans="1:32">
      <c r="A849" s="44" t="n"/>
      <c r="W849" s="537" t="n"/>
      <c r="X849" s="537" t="n"/>
      <c r="Z849" s="537" t="n"/>
      <c r="AA849" s="537" t="n"/>
    </row>
    <row customHeight="1" ht="15.75" r="850" s="452" spans="1:32">
      <c r="A850" s="44" t="n"/>
      <c r="W850" s="537" t="n"/>
      <c r="X850" s="537" t="n"/>
      <c r="Z850" s="537" t="n"/>
      <c r="AA850" s="537" t="n"/>
    </row>
    <row customHeight="1" ht="15.75" r="851" s="452" spans="1:32">
      <c r="A851" s="44" t="n"/>
      <c r="W851" s="537" t="n"/>
      <c r="X851" s="537" t="n"/>
      <c r="Z851" s="537" t="n"/>
      <c r="AA851" s="537" t="n"/>
    </row>
    <row customHeight="1" ht="15.75" r="852" s="452" spans="1:32">
      <c r="A852" s="44" t="n"/>
      <c r="W852" s="537" t="n"/>
      <c r="X852" s="537" t="n"/>
      <c r="Z852" s="537" t="n"/>
      <c r="AA852" s="537" t="n"/>
    </row>
    <row customHeight="1" ht="15.75" r="853" s="452" spans="1:32">
      <c r="A853" s="44" t="n"/>
      <c r="W853" s="537" t="n"/>
      <c r="X853" s="537" t="n"/>
      <c r="Z853" s="537" t="n"/>
      <c r="AA853" s="537" t="n"/>
    </row>
    <row customHeight="1" ht="15.75" r="854" s="452" spans="1:32">
      <c r="A854" s="44" t="n"/>
      <c r="W854" s="537" t="n"/>
      <c r="X854" s="537" t="n"/>
      <c r="Z854" s="537" t="n"/>
      <c r="AA854" s="537" t="n"/>
    </row>
    <row customHeight="1" ht="15.75" r="855" s="452" spans="1:32">
      <c r="A855" s="44" t="n"/>
      <c r="W855" s="537" t="n"/>
      <c r="X855" s="537" t="n"/>
      <c r="Z855" s="537" t="n"/>
      <c r="AA855" s="537" t="n"/>
    </row>
    <row customHeight="1" ht="15.75" r="856" s="452" spans="1:32">
      <c r="A856" s="44" t="n"/>
      <c r="W856" s="537" t="n"/>
      <c r="X856" s="537" t="n"/>
      <c r="Z856" s="537" t="n"/>
      <c r="AA856" s="537" t="n"/>
    </row>
    <row customHeight="1" ht="15.75" r="857" s="452" spans="1:32">
      <c r="A857" s="44" t="n"/>
      <c r="W857" s="537" t="n"/>
      <c r="X857" s="537" t="n"/>
      <c r="Z857" s="537" t="n"/>
      <c r="AA857" s="537" t="n"/>
    </row>
    <row customHeight="1" ht="15.75" r="858" s="452" spans="1:32">
      <c r="A858" s="44" t="n"/>
      <c r="W858" s="537" t="n"/>
      <c r="X858" s="537" t="n"/>
      <c r="Z858" s="537" t="n"/>
      <c r="AA858" s="537" t="n"/>
    </row>
    <row customHeight="1" ht="15.75" r="859" s="452" spans="1:32">
      <c r="A859" s="44" t="n"/>
      <c r="W859" s="537" t="n"/>
      <c r="X859" s="537" t="n"/>
      <c r="Z859" s="537" t="n"/>
      <c r="AA859" s="537" t="n"/>
    </row>
    <row customHeight="1" ht="15.75" r="860" s="452" spans="1:32">
      <c r="A860" s="44" t="n"/>
      <c r="W860" s="537" t="n"/>
      <c r="X860" s="537" t="n"/>
      <c r="Z860" s="537" t="n"/>
      <c r="AA860" s="537" t="n"/>
    </row>
    <row customHeight="1" ht="15.75" r="861" s="452" spans="1:32">
      <c r="A861" s="44" t="n"/>
      <c r="W861" s="537" t="n"/>
      <c r="X861" s="537" t="n"/>
      <c r="Z861" s="537" t="n"/>
      <c r="AA861" s="537" t="n"/>
    </row>
    <row customHeight="1" ht="15.75" r="862" s="452" spans="1:32">
      <c r="A862" s="44" t="n"/>
      <c r="W862" s="537" t="n"/>
      <c r="X862" s="537" t="n"/>
      <c r="Z862" s="537" t="n"/>
      <c r="AA862" s="537" t="n"/>
    </row>
    <row customHeight="1" ht="15.75" r="863" s="452" spans="1:32">
      <c r="A863" s="44" t="n"/>
      <c r="W863" s="537" t="n"/>
      <c r="X863" s="537" t="n"/>
      <c r="Z863" s="537" t="n"/>
      <c r="AA863" s="537" t="n"/>
    </row>
    <row customHeight="1" ht="15.75" r="864" s="452" spans="1:32">
      <c r="A864" s="44" t="n"/>
      <c r="W864" s="537" t="n"/>
      <c r="X864" s="537" t="n"/>
      <c r="Z864" s="537" t="n"/>
      <c r="AA864" s="537" t="n"/>
    </row>
    <row customHeight="1" ht="15.75" r="865" s="452" spans="1:32">
      <c r="A865" s="44" t="n"/>
      <c r="W865" s="537" t="n"/>
      <c r="X865" s="537" t="n"/>
      <c r="Z865" s="537" t="n"/>
      <c r="AA865" s="537" t="n"/>
    </row>
    <row customHeight="1" ht="15.75" r="866" s="452" spans="1:32">
      <c r="A866" s="44" t="n"/>
      <c r="W866" s="537" t="n"/>
      <c r="X866" s="537" t="n"/>
      <c r="Z866" s="537" t="n"/>
      <c r="AA866" s="537" t="n"/>
    </row>
    <row customHeight="1" ht="15.75" r="867" s="452" spans="1:32">
      <c r="A867" s="44" t="n"/>
      <c r="W867" s="537" t="n"/>
      <c r="X867" s="537" t="n"/>
      <c r="Z867" s="537" t="n"/>
      <c r="AA867" s="537" t="n"/>
    </row>
    <row customHeight="1" ht="15.75" r="868" s="452" spans="1:32">
      <c r="A868" s="44" t="n"/>
      <c r="W868" s="537" t="n"/>
      <c r="X868" s="537" t="n"/>
      <c r="Z868" s="537" t="n"/>
      <c r="AA868" s="537" t="n"/>
    </row>
    <row customHeight="1" ht="15.75" r="869" s="452" spans="1:32">
      <c r="A869" s="44" t="n"/>
      <c r="W869" s="537" t="n"/>
      <c r="X869" s="537" t="n"/>
      <c r="Z869" s="537" t="n"/>
      <c r="AA869" s="537" t="n"/>
    </row>
    <row customHeight="1" ht="15.75" r="870" s="452" spans="1:32">
      <c r="A870" s="44" t="n"/>
      <c r="W870" s="537" t="n"/>
      <c r="X870" s="537" t="n"/>
      <c r="Z870" s="537" t="n"/>
      <c r="AA870" s="537" t="n"/>
    </row>
    <row customHeight="1" ht="15.75" r="871" s="452" spans="1:32">
      <c r="A871" s="44" t="n"/>
      <c r="W871" s="537" t="n"/>
      <c r="X871" s="537" t="n"/>
      <c r="Z871" s="537" t="n"/>
      <c r="AA871" s="537" t="n"/>
    </row>
    <row customHeight="1" ht="15.75" r="872" s="452" spans="1:32">
      <c r="A872" s="44" t="n"/>
      <c r="W872" s="537" t="n"/>
      <c r="X872" s="537" t="n"/>
      <c r="Z872" s="537" t="n"/>
      <c r="AA872" s="537" t="n"/>
    </row>
    <row customHeight="1" ht="15.75" r="873" s="452" spans="1:32">
      <c r="A873" s="44" t="n"/>
      <c r="W873" s="537" t="n"/>
      <c r="X873" s="537" t="n"/>
      <c r="Z873" s="537" t="n"/>
      <c r="AA873" s="537" t="n"/>
    </row>
    <row customHeight="1" ht="15.75" r="874" s="452" spans="1:32">
      <c r="A874" s="44" t="n"/>
      <c r="W874" s="537" t="n"/>
      <c r="X874" s="537" t="n"/>
      <c r="Z874" s="537" t="n"/>
      <c r="AA874" s="537" t="n"/>
    </row>
    <row customHeight="1" ht="15.75" r="875" s="452" spans="1:32">
      <c r="A875" s="44" t="n"/>
      <c r="W875" s="537" t="n"/>
      <c r="X875" s="537" t="n"/>
      <c r="Z875" s="537" t="n"/>
      <c r="AA875" s="537" t="n"/>
    </row>
    <row customHeight="1" ht="15.75" r="876" s="452" spans="1:32">
      <c r="A876" s="44" t="n"/>
      <c r="W876" s="537" t="n"/>
      <c r="X876" s="537" t="n"/>
      <c r="Z876" s="537" t="n"/>
      <c r="AA876" s="537" t="n"/>
    </row>
    <row customHeight="1" ht="15.75" r="877" s="452" spans="1:32">
      <c r="A877" s="44" t="n"/>
      <c r="W877" s="537" t="n"/>
      <c r="X877" s="537" t="n"/>
      <c r="Z877" s="537" t="n"/>
      <c r="AA877" s="537" t="n"/>
    </row>
    <row customHeight="1" ht="15.75" r="878" s="452" spans="1:32">
      <c r="A878" s="44" t="n"/>
      <c r="W878" s="537" t="n"/>
      <c r="X878" s="537" t="n"/>
      <c r="Z878" s="537" t="n"/>
      <c r="AA878" s="537" t="n"/>
    </row>
    <row customHeight="1" ht="15.75" r="879" s="452" spans="1:32">
      <c r="A879" s="44" t="n"/>
      <c r="W879" s="537" t="n"/>
      <c r="X879" s="537" t="n"/>
      <c r="Z879" s="537" t="n"/>
      <c r="AA879" s="537" t="n"/>
    </row>
    <row customHeight="1" ht="15.75" r="880" s="452" spans="1:32">
      <c r="A880" s="44" t="n"/>
      <c r="W880" s="537" t="n"/>
      <c r="X880" s="537" t="n"/>
      <c r="Z880" s="537" t="n"/>
      <c r="AA880" s="537" t="n"/>
    </row>
    <row customHeight="1" ht="15.75" r="881" s="452" spans="1:32">
      <c r="A881" s="44" t="n"/>
      <c r="W881" s="537" t="n"/>
      <c r="X881" s="537" t="n"/>
      <c r="Z881" s="537" t="n"/>
      <c r="AA881" s="537" t="n"/>
    </row>
    <row customHeight="1" ht="15.75" r="882" s="452" spans="1:32">
      <c r="A882" s="44" t="n"/>
      <c r="W882" s="537" t="n"/>
      <c r="X882" s="537" t="n"/>
      <c r="Z882" s="537" t="n"/>
      <c r="AA882" s="537" t="n"/>
    </row>
    <row customHeight="1" ht="15.75" r="883" s="452" spans="1:32">
      <c r="A883" s="44" t="n"/>
      <c r="W883" s="537" t="n"/>
      <c r="X883" s="537" t="n"/>
      <c r="Z883" s="537" t="n"/>
      <c r="AA883" s="537" t="n"/>
    </row>
    <row customHeight="1" ht="15.75" r="884" s="452" spans="1:32">
      <c r="A884" s="44" t="n"/>
      <c r="W884" s="537" t="n"/>
      <c r="X884" s="537" t="n"/>
      <c r="Z884" s="537" t="n"/>
      <c r="AA884" s="537" t="n"/>
    </row>
    <row customHeight="1" ht="15.75" r="885" s="452" spans="1:32">
      <c r="A885" s="44" t="n"/>
      <c r="W885" s="537" t="n"/>
      <c r="X885" s="537" t="n"/>
      <c r="Z885" s="537" t="n"/>
      <c r="AA885" s="537" t="n"/>
    </row>
    <row customHeight="1" ht="15.75" r="886" s="452" spans="1:32">
      <c r="A886" s="44" t="n"/>
      <c r="W886" s="537" t="n"/>
      <c r="X886" s="537" t="n"/>
      <c r="Z886" s="537" t="n"/>
      <c r="AA886" s="537" t="n"/>
    </row>
    <row customHeight="1" ht="15.75" r="887" s="452" spans="1:32">
      <c r="A887" s="44" t="n"/>
      <c r="W887" s="537" t="n"/>
      <c r="X887" s="537" t="n"/>
      <c r="Z887" s="537" t="n"/>
      <c r="AA887" s="537" t="n"/>
    </row>
    <row customHeight="1" ht="15.75" r="888" s="452" spans="1:32">
      <c r="A888" s="44" t="n"/>
      <c r="W888" s="537" t="n"/>
      <c r="X888" s="537" t="n"/>
      <c r="Z888" s="537" t="n"/>
      <c r="AA888" s="537" t="n"/>
    </row>
    <row customHeight="1" ht="15.75" r="889" s="452" spans="1:32">
      <c r="A889" s="44" t="n"/>
      <c r="W889" s="537" t="n"/>
      <c r="X889" s="537" t="n"/>
      <c r="Z889" s="537" t="n"/>
      <c r="AA889" s="537" t="n"/>
    </row>
    <row customHeight="1" ht="15.75" r="890" s="452" spans="1:32">
      <c r="A890" s="44" t="n"/>
      <c r="W890" s="537" t="n"/>
      <c r="X890" s="537" t="n"/>
      <c r="Z890" s="537" t="n"/>
      <c r="AA890" s="537" t="n"/>
    </row>
    <row customHeight="1" ht="15.75" r="891" s="452" spans="1:32">
      <c r="A891" s="44" t="n"/>
      <c r="W891" s="537" t="n"/>
      <c r="X891" s="537" t="n"/>
      <c r="Z891" s="537" t="n"/>
      <c r="AA891" s="537" t="n"/>
    </row>
    <row customHeight="1" ht="15.75" r="892" s="452" spans="1:32">
      <c r="A892" s="44" t="n"/>
      <c r="W892" s="537" t="n"/>
      <c r="X892" s="537" t="n"/>
      <c r="Z892" s="537" t="n"/>
      <c r="AA892" s="537" t="n"/>
    </row>
    <row customHeight="1" ht="15.75" r="893" s="452" spans="1:32">
      <c r="A893" s="44" t="n"/>
      <c r="W893" s="537" t="n"/>
      <c r="X893" s="537" t="n"/>
      <c r="Z893" s="537" t="n"/>
      <c r="AA893" s="537" t="n"/>
    </row>
    <row customHeight="1" ht="15.75" r="894" s="452" spans="1:32">
      <c r="A894" s="44" t="n"/>
      <c r="W894" s="537" t="n"/>
      <c r="X894" s="537" t="n"/>
      <c r="Z894" s="537" t="n"/>
      <c r="AA894" s="537" t="n"/>
    </row>
    <row customHeight="1" ht="15.75" r="895" s="452" spans="1:32">
      <c r="A895" s="44" t="n"/>
      <c r="W895" s="537" t="n"/>
      <c r="X895" s="537" t="n"/>
      <c r="Z895" s="537" t="n"/>
      <c r="AA895" s="537" t="n"/>
    </row>
    <row customHeight="1" ht="15.75" r="896" s="452" spans="1:32">
      <c r="A896" s="44" t="n"/>
      <c r="W896" s="537" t="n"/>
      <c r="X896" s="537" t="n"/>
      <c r="Z896" s="537" t="n"/>
      <c r="AA896" s="537" t="n"/>
    </row>
    <row customHeight="1" ht="15.75" r="897" s="452" spans="1:32">
      <c r="A897" s="44" t="n"/>
      <c r="W897" s="537" t="n"/>
      <c r="X897" s="537" t="n"/>
      <c r="Z897" s="537" t="n"/>
      <c r="AA897" s="537" t="n"/>
    </row>
    <row customHeight="1" ht="15.75" r="898" s="452" spans="1:32">
      <c r="A898" s="44" t="n"/>
      <c r="W898" s="537" t="n"/>
      <c r="X898" s="537" t="n"/>
      <c r="Z898" s="537" t="n"/>
      <c r="AA898" s="537" t="n"/>
    </row>
    <row customHeight="1" ht="15.75" r="899" s="452" spans="1:32">
      <c r="A899" s="44" t="n"/>
      <c r="W899" s="537" t="n"/>
      <c r="X899" s="537" t="n"/>
      <c r="Z899" s="537" t="n"/>
      <c r="AA899" s="537" t="n"/>
    </row>
    <row customHeight="1" ht="15.75" r="900" s="452" spans="1:32">
      <c r="A900" s="44" t="n"/>
      <c r="W900" s="537" t="n"/>
      <c r="X900" s="537" t="n"/>
      <c r="Z900" s="537" t="n"/>
      <c r="AA900" s="537" t="n"/>
    </row>
    <row customHeight="1" ht="15.75" r="901" s="452" spans="1:32">
      <c r="A901" s="44" t="n"/>
      <c r="W901" s="537" t="n"/>
      <c r="X901" s="537" t="n"/>
      <c r="Z901" s="537" t="n"/>
      <c r="AA901" s="537" t="n"/>
    </row>
    <row customHeight="1" ht="15.75" r="902" s="452" spans="1:32">
      <c r="A902" s="44" t="n"/>
      <c r="W902" s="537" t="n"/>
      <c r="X902" s="537" t="n"/>
      <c r="Z902" s="537" t="n"/>
      <c r="AA902" s="537" t="n"/>
    </row>
    <row customHeight="1" ht="15.75" r="903" s="452" spans="1:32">
      <c r="A903" s="44" t="n"/>
      <c r="W903" s="537" t="n"/>
      <c r="X903" s="537" t="n"/>
      <c r="Z903" s="537" t="n"/>
      <c r="AA903" s="537" t="n"/>
    </row>
    <row customHeight="1" ht="15.75" r="904" s="452" spans="1:32">
      <c r="A904" s="44" t="n"/>
      <c r="W904" s="537" t="n"/>
      <c r="X904" s="537" t="n"/>
      <c r="Z904" s="537" t="n"/>
      <c r="AA904" s="537" t="n"/>
    </row>
    <row customHeight="1" ht="15.75" r="905" s="452" spans="1:32">
      <c r="A905" s="44" t="n"/>
      <c r="W905" s="537" t="n"/>
      <c r="X905" s="537" t="n"/>
      <c r="Z905" s="537" t="n"/>
      <c r="AA905" s="537" t="n"/>
    </row>
    <row customHeight="1" ht="15.75" r="906" s="452" spans="1:32">
      <c r="A906" s="44" t="n"/>
      <c r="W906" s="537" t="n"/>
      <c r="X906" s="537" t="n"/>
      <c r="Z906" s="537" t="n"/>
      <c r="AA906" s="537" t="n"/>
    </row>
    <row customHeight="1" ht="15.75" r="907" s="452" spans="1:32">
      <c r="A907" s="44" t="n"/>
      <c r="W907" s="537" t="n"/>
      <c r="X907" s="537" t="n"/>
      <c r="Z907" s="537" t="n"/>
      <c r="AA907" s="537" t="n"/>
    </row>
    <row customHeight="1" ht="15.75" r="908" s="452" spans="1:32">
      <c r="A908" s="44" t="n"/>
      <c r="W908" s="537" t="n"/>
      <c r="X908" s="537" t="n"/>
      <c r="Z908" s="537" t="n"/>
      <c r="AA908" s="537" t="n"/>
    </row>
    <row customHeight="1" ht="15.75" r="909" s="452" spans="1:32">
      <c r="A909" s="44" t="n"/>
      <c r="W909" s="537" t="n"/>
      <c r="X909" s="537" t="n"/>
      <c r="Z909" s="537" t="n"/>
      <c r="AA909" s="537" t="n"/>
    </row>
    <row customHeight="1" ht="15.75" r="910" s="452" spans="1:32">
      <c r="A910" s="44" t="n"/>
      <c r="W910" s="537" t="n"/>
      <c r="X910" s="537" t="n"/>
      <c r="Z910" s="537" t="n"/>
      <c r="AA910" s="537" t="n"/>
    </row>
    <row customHeight="1" ht="15.75" r="911" s="452" spans="1:32">
      <c r="A911" s="44" t="n"/>
      <c r="W911" s="537" t="n"/>
      <c r="X911" s="537" t="n"/>
      <c r="Z911" s="537" t="n"/>
      <c r="AA911" s="537" t="n"/>
    </row>
    <row customHeight="1" ht="15.75" r="912" s="452" spans="1:32">
      <c r="A912" s="44" t="n"/>
      <c r="W912" s="537" t="n"/>
      <c r="X912" s="537" t="n"/>
      <c r="Z912" s="537" t="n"/>
      <c r="AA912" s="537" t="n"/>
    </row>
    <row customHeight="1" ht="15.75" r="913" s="452" spans="1:32">
      <c r="A913" s="44" t="n"/>
      <c r="W913" s="537" t="n"/>
      <c r="X913" s="537" t="n"/>
      <c r="Z913" s="537" t="n"/>
      <c r="AA913" s="537" t="n"/>
    </row>
    <row customHeight="1" ht="15.75" r="914" s="452" spans="1:32">
      <c r="A914" s="44" t="n"/>
      <c r="W914" s="537" t="n"/>
      <c r="X914" s="537" t="n"/>
      <c r="Z914" s="537" t="n"/>
      <c r="AA914" s="537" t="n"/>
    </row>
    <row customHeight="1" ht="15.75" r="915" s="452" spans="1:32">
      <c r="A915" s="44" t="n"/>
      <c r="W915" s="537" t="n"/>
      <c r="X915" s="537" t="n"/>
      <c r="Z915" s="537" t="n"/>
      <c r="AA915" s="537" t="n"/>
    </row>
    <row customHeight="1" ht="15.75" r="916" s="452" spans="1:32">
      <c r="A916" s="44" t="n"/>
      <c r="W916" s="537" t="n"/>
      <c r="X916" s="537" t="n"/>
      <c r="Z916" s="537" t="n"/>
      <c r="AA916" s="537" t="n"/>
    </row>
    <row customHeight="1" ht="15.75" r="917" s="452" spans="1:32">
      <c r="A917" s="44" t="n"/>
      <c r="W917" s="537" t="n"/>
      <c r="X917" s="537" t="n"/>
      <c r="Z917" s="537" t="n"/>
      <c r="AA917" s="537" t="n"/>
    </row>
    <row customHeight="1" ht="15.75" r="918" s="452" spans="1:32">
      <c r="A918" s="44" t="n"/>
      <c r="W918" s="537" t="n"/>
      <c r="X918" s="537" t="n"/>
      <c r="Z918" s="537" t="n"/>
      <c r="AA918" s="537" t="n"/>
    </row>
    <row customHeight="1" ht="15.75" r="919" s="452" spans="1:32">
      <c r="A919" s="44" t="n"/>
      <c r="W919" s="537" t="n"/>
      <c r="X919" s="537" t="n"/>
      <c r="Z919" s="537" t="n"/>
      <c r="AA919" s="537" t="n"/>
    </row>
    <row customHeight="1" ht="15.75" r="920" s="452" spans="1:32">
      <c r="A920" s="44" t="n"/>
      <c r="W920" s="537" t="n"/>
      <c r="X920" s="537" t="n"/>
      <c r="Z920" s="537" t="n"/>
      <c r="AA920" s="537" t="n"/>
    </row>
    <row customHeight="1" ht="15.75" r="921" s="452" spans="1:32">
      <c r="A921" s="44" t="n"/>
      <c r="W921" s="537" t="n"/>
      <c r="X921" s="537" t="n"/>
      <c r="Z921" s="537" t="n"/>
      <c r="AA921" s="537" t="n"/>
    </row>
    <row customHeight="1" ht="15.75" r="922" s="452" spans="1:32">
      <c r="A922" s="44" t="n"/>
      <c r="W922" s="537" t="n"/>
      <c r="X922" s="537" t="n"/>
      <c r="Z922" s="537" t="n"/>
      <c r="AA922" s="537" t="n"/>
    </row>
    <row customHeight="1" ht="15.75" r="923" s="452" spans="1:32">
      <c r="A923" s="44" t="n"/>
      <c r="W923" s="537" t="n"/>
      <c r="X923" s="537" t="n"/>
      <c r="Z923" s="537" t="n"/>
      <c r="AA923" s="537" t="n"/>
    </row>
    <row customHeight="1" ht="15.75" r="924" s="452" spans="1:32">
      <c r="A924" s="44" t="n"/>
      <c r="W924" s="537" t="n"/>
      <c r="X924" s="537" t="n"/>
      <c r="Z924" s="537" t="n"/>
      <c r="AA924" s="537" t="n"/>
    </row>
    <row customHeight="1" ht="15.75" r="925" s="452" spans="1:32">
      <c r="A925" s="44" t="n"/>
      <c r="W925" s="537" t="n"/>
      <c r="X925" s="537" t="n"/>
      <c r="Z925" s="537" t="n"/>
      <c r="AA925" s="537" t="n"/>
    </row>
    <row customHeight="1" ht="15.75" r="926" s="452" spans="1:32">
      <c r="A926" s="44" t="n"/>
      <c r="W926" s="537" t="n"/>
      <c r="X926" s="537" t="n"/>
      <c r="Z926" s="537" t="n"/>
      <c r="AA926" s="537" t="n"/>
    </row>
    <row customHeight="1" ht="15.75" r="927" s="452" spans="1:32">
      <c r="A927" s="44" t="n"/>
      <c r="W927" s="537" t="n"/>
      <c r="X927" s="537" t="n"/>
      <c r="Z927" s="537" t="n"/>
      <c r="AA927" s="537" t="n"/>
    </row>
    <row customHeight="1" ht="15.75" r="928" s="452" spans="1:32">
      <c r="A928" s="44" t="n"/>
      <c r="W928" s="537" t="n"/>
      <c r="X928" s="537" t="n"/>
      <c r="Z928" s="537" t="n"/>
      <c r="AA928" s="537" t="n"/>
    </row>
    <row customHeight="1" ht="15.75" r="929" s="452" spans="1:32">
      <c r="A929" s="44" t="n"/>
      <c r="W929" s="537" t="n"/>
      <c r="X929" s="537" t="n"/>
      <c r="Z929" s="537" t="n"/>
      <c r="AA929" s="537" t="n"/>
    </row>
    <row customHeight="1" ht="15.75" r="930" s="452" spans="1:32">
      <c r="A930" s="44" t="n"/>
      <c r="W930" s="537" t="n"/>
      <c r="X930" s="537" t="n"/>
      <c r="Z930" s="537" t="n"/>
      <c r="AA930" s="537" t="n"/>
    </row>
    <row customHeight="1" ht="15.75" r="931" s="452" spans="1:32">
      <c r="A931" s="44" t="n"/>
      <c r="W931" s="537" t="n"/>
      <c r="X931" s="537" t="n"/>
      <c r="Z931" s="537" t="n"/>
      <c r="AA931" s="537" t="n"/>
    </row>
    <row customHeight="1" ht="15.75" r="932" s="452" spans="1:32">
      <c r="A932" s="44" t="n"/>
      <c r="W932" s="537" t="n"/>
      <c r="X932" s="537" t="n"/>
      <c r="Z932" s="537" t="n"/>
      <c r="AA932" s="537" t="n"/>
    </row>
    <row customHeight="1" ht="15.75" r="933" s="452" spans="1:32">
      <c r="A933" s="44" t="n"/>
      <c r="W933" s="537" t="n"/>
      <c r="X933" s="537" t="n"/>
      <c r="Z933" s="537" t="n"/>
      <c r="AA933" s="537" t="n"/>
    </row>
    <row customHeight="1" ht="15.75" r="934" s="452" spans="1:32">
      <c r="A934" s="44" t="n"/>
      <c r="W934" s="537" t="n"/>
      <c r="X934" s="537" t="n"/>
      <c r="Z934" s="537" t="n"/>
      <c r="AA934" s="537" t="n"/>
    </row>
    <row customHeight="1" ht="15.75" r="935" s="452" spans="1:32">
      <c r="A935" s="44" t="n"/>
      <c r="W935" s="537" t="n"/>
      <c r="X935" s="537" t="n"/>
      <c r="Z935" s="537" t="n"/>
      <c r="AA935" s="537" t="n"/>
    </row>
    <row customHeight="1" ht="15.75" r="936" s="452" spans="1:32">
      <c r="A936" s="44" t="n"/>
      <c r="W936" s="537" t="n"/>
      <c r="X936" s="537" t="n"/>
      <c r="Z936" s="537" t="n"/>
      <c r="AA936" s="537" t="n"/>
    </row>
    <row customHeight="1" ht="15.75" r="937" s="452" spans="1:32">
      <c r="A937" s="44" t="n"/>
      <c r="W937" s="537" t="n"/>
      <c r="X937" s="537" t="n"/>
      <c r="Z937" s="537" t="n"/>
      <c r="AA937" s="537" t="n"/>
    </row>
    <row customHeight="1" ht="15.75" r="938" s="452" spans="1:32">
      <c r="A938" s="44" t="n"/>
      <c r="W938" s="537" t="n"/>
      <c r="X938" s="537" t="n"/>
      <c r="Z938" s="537" t="n"/>
      <c r="AA938" s="537" t="n"/>
    </row>
    <row customHeight="1" ht="15.75" r="939" s="452" spans="1:32">
      <c r="A939" s="44" t="n"/>
      <c r="W939" s="537" t="n"/>
      <c r="X939" s="537" t="n"/>
      <c r="Z939" s="537" t="n"/>
      <c r="AA939" s="537" t="n"/>
    </row>
    <row customHeight="1" ht="15.75" r="940" s="452" spans="1:32">
      <c r="A940" s="44" t="n"/>
      <c r="W940" s="537" t="n"/>
      <c r="X940" s="537" t="n"/>
      <c r="Z940" s="537" t="n"/>
      <c r="AA940" s="537" t="n"/>
    </row>
    <row customHeight="1" ht="15.75" r="941" s="452" spans="1:32">
      <c r="A941" s="44" t="n"/>
      <c r="W941" s="537" t="n"/>
      <c r="X941" s="537" t="n"/>
      <c r="Z941" s="537" t="n"/>
      <c r="AA941" s="537" t="n"/>
    </row>
    <row customHeight="1" ht="15.75" r="942" s="452" spans="1:32">
      <c r="A942" s="44" t="n"/>
      <c r="W942" s="537" t="n"/>
      <c r="X942" s="537" t="n"/>
      <c r="Z942" s="537" t="n"/>
      <c r="AA942" s="537" t="n"/>
    </row>
    <row customHeight="1" ht="15.75" r="943" s="452" spans="1:32">
      <c r="A943" s="44" t="n"/>
      <c r="W943" s="537" t="n"/>
      <c r="X943" s="537" t="n"/>
      <c r="Z943" s="537" t="n"/>
      <c r="AA943" s="537" t="n"/>
    </row>
    <row customHeight="1" ht="15.75" r="944" s="452" spans="1:32">
      <c r="A944" s="44" t="n"/>
      <c r="W944" s="537" t="n"/>
      <c r="X944" s="537" t="n"/>
      <c r="Z944" s="537" t="n"/>
      <c r="AA944" s="537" t="n"/>
    </row>
    <row customHeight="1" ht="15.75" r="945" s="452" spans="1:32">
      <c r="A945" s="44" t="n"/>
      <c r="W945" s="537" t="n"/>
      <c r="X945" s="537" t="n"/>
      <c r="Z945" s="537" t="n"/>
      <c r="AA945" s="537" t="n"/>
    </row>
    <row customHeight="1" ht="15.75" r="946" s="452" spans="1:32">
      <c r="A946" s="44" t="n"/>
      <c r="W946" s="537" t="n"/>
      <c r="X946" s="537" t="n"/>
      <c r="Z946" s="537" t="n"/>
      <c r="AA946" s="537" t="n"/>
    </row>
    <row customHeight="1" ht="15.75" r="947" s="452" spans="1:32">
      <c r="A947" s="44" t="n"/>
      <c r="W947" s="537" t="n"/>
      <c r="X947" s="537" t="n"/>
      <c r="Z947" s="537" t="n"/>
      <c r="AA947" s="537" t="n"/>
    </row>
    <row customHeight="1" ht="15.75" r="948" s="452" spans="1:32">
      <c r="A948" s="44" t="n"/>
      <c r="W948" s="537" t="n"/>
      <c r="X948" s="537" t="n"/>
      <c r="Z948" s="537" t="n"/>
      <c r="AA948" s="537" t="n"/>
    </row>
    <row customHeight="1" ht="15.75" r="949" s="452" spans="1:32">
      <c r="A949" s="44" t="n"/>
      <c r="W949" s="537" t="n"/>
      <c r="X949" s="537" t="n"/>
      <c r="Z949" s="537" t="n"/>
      <c r="AA949" s="537" t="n"/>
    </row>
    <row customHeight="1" ht="15.75" r="950" s="452" spans="1:32">
      <c r="A950" s="44" t="n"/>
      <c r="W950" s="537" t="n"/>
      <c r="X950" s="537" t="n"/>
      <c r="Z950" s="537" t="n"/>
      <c r="AA950" s="537" t="n"/>
    </row>
    <row customHeight="1" ht="15.75" r="951" s="452" spans="1:32">
      <c r="A951" s="44" t="n"/>
      <c r="W951" s="537" t="n"/>
      <c r="X951" s="537" t="n"/>
      <c r="Z951" s="537" t="n"/>
      <c r="AA951" s="537" t="n"/>
    </row>
    <row customHeight="1" ht="15.75" r="952" s="452" spans="1:32">
      <c r="A952" s="44" t="n"/>
      <c r="W952" s="537" t="n"/>
      <c r="X952" s="537" t="n"/>
      <c r="Z952" s="537" t="n"/>
      <c r="AA952" s="537" t="n"/>
    </row>
    <row customHeight="1" ht="15.75" r="953" s="452" spans="1:32">
      <c r="A953" s="44" t="n"/>
      <c r="W953" s="537" t="n"/>
      <c r="X953" s="537" t="n"/>
      <c r="Z953" s="537" t="n"/>
      <c r="AA953" s="537" t="n"/>
    </row>
    <row customHeight="1" ht="15.75" r="954" s="452" spans="1:32">
      <c r="A954" s="44" t="n"/>
      <c r="W954" s="537" t="n"/>
      <c r="X954" s="537" t="n"/>
      <c r="Z954" s="537" t="n"/>
      <c r="AA954" s="537" t="n"/>
    </row>
    <row customHeight="1" ht="15.75" r="955" s="452" spans="1:32">
      <c r="A955" s="44" t="n"/>
      <c r="W955" s="537" t="n"/>
      <c r="X955" s="537" t="n"/>
      <c r="Z955" s="537" t="n"/>
      <c r="AA955" s="537" t="n"/>
    </row>
    <row customHeight="1" ht="15.75" r="956" s="452" spans="1:32">
      <c r="A956" s="44" t="n"/>
      <c r="W956" s="537" t="n"/>
      <c r="X956" s="537" t="n"/>
      <c r="Z956" s="537" t="n"/>
      <c r="AA956" s="537" t="n"/>
    </row>
    <row customHeight="1" ht="15.75" r="957" s="452" spans="1:32">
      <c r="A957" s="44" t="n"/>
      <c r="W957" s="537" t="n"/>
      <c r="X957" s="537" t="n"/>
      <c r="Z957" s="537" t="n"/>
      <c r="AA957" s="537" t="n"/>
    </row>
    <row customHeight="1" ht="15.75" r="958" s="452" spans="1:32">
      <c r="A958" s="44" t="n"/>
      <c r="W958" s="537" t="n"/>
      <c r="X958" s="537" t="n"/>
      <c r="Z958" s="537" t="n"/>
      <c r="AA958" s="537" t="n"/>
    </row>
    <row customHeight="1" ht="15.75" r="959" s="452" spans="1:32">
      <c r="A959" s="44" t="n"/>
      <c r="W959" s="537" t="n"/>
      <c r="X959" s="537" t="n"/>
      <c r="Z959" s="537" t="n"/>
      <c r="AA959" s="537" t="n"/>
    </row>
    <row customHeight="1" ht="15.75" r="960" s="452" spans="1:32">
      <c r="A960" s="44" t="n"/>
      <c r="W960" s="537" t="n"/>
      <c r="X960" s="537" t="n"/>
      <c r="Z960" s="537" t="n"/>
      <c r="AA960" s="537" t="n"/>
    </row>
    <row customHeight="1" ht="15.75" r="961" s="452" spans="1:32">
      <c r="A961" s="44" t="n"/>
      <c r="W961" s="537" t="n"/>
      <c r="X961" s="537" t="n"/>
      <c r="Z961" s="537" t="n"/>
      <c r="AA961" s="537" t="n"/>
    </row>
    <row customHeight="1" ht="15.75" r="962" s="452" spans="1:32">
      <c r="A962" s="44" t="n"/>
      <c r="W962" s="537" t="n"/>
      <c r="X962" s="537" t="n"/>
      <c r="Z962" s="537" t="n"/>
      <c r="AA962" s="537" t="n"/>
    </row>
    <row customHeight="1" ht="15.75" r="963" s="452" spans="1:32">
      <c r="A963" s="44" t="n"/>
      <c r="W963" s="537" t="n"/>
      <c r="X963" s="537" t="n"/>
      <c r="Z963" s="537" t="n"/>
      <c r="AA963" s="537" t="n"/>
    </row>
    <row customHeight="1" ht="15.75" r="964" s="452" spans="1:32">
      <c r="A964" s="44" t="n"/>
      <c r="W964" s="537" t="n"/>
      <c r="X964" s="537" t="n"/>
      <c r="Z964" s="537" t="n"/>
      <c r="AA964" s="537" t="n"/>
    </row>
    <row customHeight="1" ht="15.75" r="965" s="452" spans="1:32">
      <c r="A965" s="44" t="n"/>
      <c r="W965" s="537" t="n"/>
      <c r="X965" s="537" t="n"/>
      <c r="Z965" s="537" t="n"/>
      <c r="AA965" s="537" t="n"/>
    </row>
    <row customHeight="1" ht="15.75" r="966" s="452" spans="1:32">
      <c r="A966" s="44" t="n"/>
      <c r="W966" s="537" t="n"/>
      <c r="X966" s="537" t="n"/>
      <c r="Z966" s="537" t="n"/>
      <c r="AA966" s="537" t="n"/>
    </row>
    <row customHeight="1" ht="15.75" r="967" s="452" spans="1:32">
      <c r="A967" s="44" t="n"/>
      <c r="W967" s="537" t="n"/>
      <c r="X967" s="537" t="n"/>
      <c r="Z967" s="537" t="n"/>
      <c r="AA967" s="537" t="n"/>
    </row>
    <row customHeight="1" ht="15.75" r="968" s="452" spans="1:32">
      <c r="A968" s="44" t="n"/>
      <c r="W968" s="537" t="n"/>
      <c r="X968" s="537" t="n"/>
      <c r="Z968" s="537" t="n"/>
      <c r="AA968" s="537" t="n"/>
    </row>
    <row customHeight="1" ht="15.75" r="969" s="452" spans="1:32">
      <c r="A969" s="44" t="n"/>
      <c r="W969" s="537" t="n"/>
      <c r="X969" s="537" t="n"/>
      <c r="Z969" s="537" t="n"/>
      <c r="AA969" s="537" t="n"/>
    </row>
    <row customHeight="1" ht="15.75" r="970" s="452" spans="1:32">
      <c r="A970" s="44" t="n"/>
      <c r="W970" s="537" t="n"/>
      <c r="X970" s="537" t="n"/>
      <c r="Z970" s="537" t="n"/>
      <c r="AA970" s="537" t="n"/>
    </row>
    <row customHeight="1" ht="15.75" r="971" s="452" spans="1:32">
      <c r="A971" s="44" t="n"/>
      <c r="W971" s="537" t="n"/>
      <c r="X971" s="537" t="n"/>
      <c r="Z971" s="537" t="n"/>
      <c r="AA971" s="537" t="n"/>
    </row>
    <row customHeight="1" ht="15.75" r="972" s="452" spans="1:32">
      <c r="A972" s="44" t="n"/>
      <c r="W972" s="537" t="n"/>
      <c r="X972" s="537" t="n"/>
      <c r="Z972" s="537" t="n"/>
      <c r="AA972" s="537" t="n"/>
    </row>
    <row customHeight="1" ht="15.75" r="973" s="452" spans="1:32">
      <c r="A973" s="44" t="n"/>
      <c r="W973" s="537" t="n"/>
      <c r="X973" s="537" t="n"/>
      <c r="Z973" s="537" t="n"/>
      <c r="AA973" s="537" t="n"/>
    </row>
    <row customHeight="1" ht="15.75" r="974" s="452" spans="1:32">
      <c r="A974" s="44" t="n"/>
      <c r="W974" s="537" t="n"/>
      <c r="X974" s="537" t="n"/>
      <c r="Z974" s="537" t="n"/>
      <c r="AA974" s="537" t="n"/>
    </row>
    <row customHeight="1" ht="15.75" r="975" s="452" spans="1:32">
      <c r="A975" s="44" t="n"/>
      <c r="W975" s="537" t="n"/>
      <c r="X975" s="537" t="n"/>
      <c r="Z975" s="537" t="n"/>
      <c r="AA975" s="537" t="n"/>
    </row>
    <row customHeight="1" ht="15.75" r="976" s="452" spans="1:32">
      <c r="A976" s="44" t="n"/>
      <c r="W976" s="537" t="n"/>
      <c r="X976" s="537" t="n"/>
      <c r="Z976" s="537" t="n"/>
      <c r="AA976" s="537" t="n"/>
    </row>
    <row customHeight="1" ht="15.75" r="977" s="452" spans="1:32">
      <c r="A977" s="44" t="n"/>
      <c r="W977" s="537" t="n"/>
      <c r="X977" s="537" t="n"/>
      <c r="Z977" s="537" t="n"/>
      <c r="AA977" s="537" t="n"/>
    </row>
    <row customHeight="1" ht="15.75" r="978" s="452" spans="1:32">
      <c r="A978" s="44" t="n"/>
      <c r="W978" s="537" t="n"/>
      <c r="X978" s="537" t="n"/>
      <c r="Z978" s="537" t="n"/>
      <c r="AA978" s="537" t="n"/>
    </row>
    <row customHeight="1" ht="15.75" r="979" s="452" spans="1:32">
      <c r="A979" s="44" t="n"/>
      <c r="W979" s="537" t="n"/>
      <c r="X979" s="537" t="n"/>
      <c r="Z979" s="537" t="n"/>
      <c r="AA979" s="537" t="n"/>
    </row>
    <row customHeight="1" ht="15.75" r="980" s="452" spans="1:32">
      <c r="A980" s="44" t="n"/>
      <c r="W980" s="537" t="n"/>
      <c r="X980" s="537" t="n"/>
      <c r="Z980" s="537" t="n"/>
      <c r="AA980" s="537" t="n"/>
    </row>
    <row customHeight="1" ht="15.75" r="981" s="452" spans="1:32">
      <c r="A981" s="44" t="n"/>
      <c r="W981" s="537" t="n"/>
      <c r="X981" s="537" t="n"/>
      <c r="Z981" s="537" t="n"/>
      <c r="AA981" s="537" t="n"/>
    </row>
    <row customHeight="1" ht="15.75" r="982" s="452" spans="1:32">
      <c r="A982" s="44" t="n"/>
      <c r="W982" s="537" t="n"/>
      <c r="X982" s="537" t="n"/>
      <c r="Z982" s="537" t="n"/>
      <c r="AA982" s="537" t="n"/>
    </row>
    <row customHeight="1" ht="15.75" r="983" s="452" spans="1:32">
      <c r="A983" s="44" t="n"/>
      <c r="W983" s="537" t="n"/>
      <c r="X983" s="537" t="n"/>
      <c r="Z983" s="537" t="n"/>
      <c r="AA983" s="537" t="n"/>
    </row>
    <row customHeight="1" ht="15.75" r="984" s="452" spans="1:32">
      <c r="A984" s="44" t="n"/>
      <c r="W984" s="537" t="n"/>
      <c r="X984" s="537" t="n"/>
      <c r="Z984" s="537" t="n"/>
      <c r="AA984" s="537" t="n"/>
    </row>
    <row customHeight="1" ht="15.75" r="985" s="452" spans="1:32">
      <c r="A985" s="44" t="n"/>
      <c r="W985" s="537" t="n"/>
      <c r="X985" s="537" t="n"/>
      <c r="Z985" s="537" t="n"/>
      <c r="AA985" s="537" t="n"/>
    </row>
    <row customHeight="1" ht="15.75" r="986" s="452" spans="1:32">
      <c r="A986" s="44" t="n"/>
      <c r="W986" s="537" t="n"/>
      <c r="X986" s="537" t="n"/>
      <c r="Z986" s="537" t="n"/>
      <c r="AA986" s="537" t="n"/>
    </row>
    <row customHeight="1" ht="15.75" r="987" s="452" spans="1:32">
      <c r="A987" s="44" t="n"/>
      <c r="W987" s="537" t="n"/>
      <c r="X987" s="537" t="n"/>
      <c r="Z987" s="537" t="n"/>
      <c r="AA987" s="537" t="n"/>
    </row>
    <row customHeight="1" ht="15.75" r="988" s="452" spans="1:32">
      <c r="A988" s="44" t="n"/>
      <c r="W988" s="537" t="n"/>
      <c r="X988" s="537" t="n"/>
      <c r="Z988" s="537" t="n"/>
      <c r="AA988" s="537" t="n"/>
    </row>
    <row customHeight="1" ht="15.75" r="989" s="452" spans="1:32">
      <c r="A989" s="44" t="n"/>
      <c r="W989" s="537" t="n"/>
      <c r="X989" s="537" t="n"/>
      <c r="Z989" s="537" t="n"/>
      <c r="AA989" s="537" t="n"/>
    </row>
    <row customHeight="1" ht="15.75" r="990" s="452" spans="1:32">
      <c r="A990" s="44" t="n"/>
      <c r="W990" s="537" t="n"/>
      <c r="X990" s="537" t="n"/>
      <c r="Z990" s="537" t="n"/>
      <c r="AA990" s="537" t="n"/>
    </row>
    <row customHeight="1" ht="15.75" r="991" s="452" spans="1:32">
      <c r="A991" s="44" t="n"/>
      <c r="W991" s="537" t="n"/>
      <c r="X991" s="537" t="n"/>
      <c r="Z991" s="537" t="n"/>
      <c r="AA991" s="537" t="n"/>
    </row>
    <row customHeight="1" ht="15.75" r="992" s="452" spans="1:32">
      <c r="A992" s="44" t="n"/>
      <c r="W992" s="537" t="n"/>
      <c r="X992" s="537" t="n"/>
      <c r="Z992" s="537" t="n"/>
      <c r="AA992" s="537" t="n"/>
    </row>
    <row customHeight="1" ht="15.75" r="993" s="452" spans="1:32">
      <c r="A993" s="44" t="n"/>
      <c r="W993" s="537" t="n"/>
      <c r="X993" s="537" t="n"/>
      <c r="Z993" s="537" t="n"/>
      <c r="AA993" s="537" t="n"/>
    </row>
    <row customHeight="1" ht="15.75" r="994" s="452" spans="1:32">
      <c r="A994" s="44" t="n"/>
      <c r="W994" s="537" t="n"/>
      <c r="X994" s="537" t="n"/>
      <c r="Z994" s="537" t="n"/>
      <c r="AA994" s="537" t="n"/>
    </row>
    <row customHeight="1" ht="15.75" r="995" s="452" spans="1:32">
      <c r="A995" s="44" t="n"/>
      <c r="W995" s="537" t="n"/>
      <c r="X995" s="537" t="n"/>
      <c r="Z995" s="537" t="n"/>
      <c r="AA995" s="537" t="n"/>
    </row>
    <row customHeight="1" ht="15.75" r="996" s="452" spans="1:32">
      <c r="A996" s="44" t="n"/>
      <c r="W996" s="537" t="n"/>
      <c r="X996" s="537" t="n"/>
      <c r="Z996" s="537" t="n"/>
      <c r="AA996" s="537" t="n"/>
    </row>
    <row customHeight="1" ht="15.75" r="997" s="452" spans="1:32">
      <c r="A997" s="44" t="n"/>
      <c r="W997" s="537" t="n"/>
      <c r="X997" s="537" t="n"/>
      <c r="Z997" s="537" t="n"/>
      <c r="AA997" s="537" t="n"/>
    </row>
    <row customHeight="1" ht="15.75" r="998" s="452" spans="1:32">
      <c r="A998" s="44" t="n"/>
      <c r="W998" s="537" t="n"/>
      <c r="X998" s="537" t="n"/>
      <c r="Z998" s="537" t="n"/>
      <c r="AA998" s="537" t="n"/>
    </row>
    <row customHeight="1" ht="15.75" r="999" s="452" spans="1:32">
      <c r="A999" s="44" t="n"/>
      <c r="W999" s="537" t="n"/>
      <c r="X999" s="537" t="n"/>
      <c r="Z999" s="537" t="n"/>
      <c r="AA999" s="537" t="n"/>
    </row>
    <row customHeight="1" ht="15.75" r="1000" s="452" spans="1:32">
      <c r="A1000" s="44" t="n"/>
      <c r="W1000" s="537" t="n"/>
      <c r="X1000" s="537" t="n"/>
      <c r="Z1000" s="537" t="n"/>
      <c r="AA1000" s="537" t="n"/>
    </row>
    <row customHeight="1" ht="15.75" r="1001" s="452" spans="1:32">
      <c r="A1001" s="44" t="n"/>
      <c r="W1001" s="537" t="n"/>
      <c r="X1001" s="537" t="n"/>
      <c r="Z1001" s="537" t="n"/>
      <c r="AA1001" s="537" t="n"/>
    </row>
    <row customHeight="1" ht="15.75" r="1002" s="452" spans="1:32">
      <c r="A1002" s="44" t="n"/>
      <c r="W1002" s="537" t="n"/>
      <c r="X1002" s="537" t="n"/>
      <c r="Z1002" s="537" t="n"/>
      <c r="AA1002" s="537" t="n"/>
    </row>
    <row customHeight="1" ht="15.75" r="1003" s="452" spans="1:32">
      <c r="A1003" s="44" t="n"/>
      <c r="W1003" s="537" t="n"/>
      <c r="X1003" s="537" t="n"/>
      <c r="Z1003" s="537" t="n"/>
      <c r="AA1003" s="537" t="n"/>
    </row>
    <row customHeight="1" ht="15.75" r="1004" s="452" spans="1:32">
      <c r="A1004" s="44" t="n"/>
      <c r="W1004" s="537" t="n"/>
      <c r="X1004" s="537" t="n"/>
      <c r="Z1004" s="537" t="n"/>
      <c r="AA1004" s="537" t="n"/>
    </row>
    <row customHeight="1" ht="15.75" r="1005" s="452" spans="1:32">
      <c r="A1005" s="44" t="n"/>
      <c r="W1005" s="537" t="n"/>
      <c r="X1005" s="537" t="n"/>
      <c r="Z1005" s="537" t="n"/>
      <c r="AA1005" s="537" t="n"/>
    </row>
    <row customHeight="1" ht="15.75" r="1006" s="452" spans="1:32">
      <c r="A1006" s="44" t="n"/>
      <c r="W1006" s="537" t="n"/>
      <c r="X1006" s="537" t="n"/>
      <c r="Z1006" s="537" t="n"/>
      <c r="AA1006" s="537" t="n"/>
    </row>
    <row customHeight="1" ht="15.75" r="1007" s="452" spans="1:32">
      <c r="A1007" s="44" t="n"/>
      <c r="W1007" s="537" t="n"/>
      <c r="X1007" s="537" t="n"/>
      <c r="Z1007" s="537" t="n"/>
      <c r="AA1007" s="537" t="n"/>
    </row>
    <row customHeight="1" ht="15.75" r="1008" s="452" spans="1:32">
      <c r="A1008" s="44" t="n"/>
      <c r="W1008" s="537" t="n"/>
      <c r="X1008" s="537" t="n"/>
      <c r="Z1008" s="537" t="n"/>
      <c r="AA1008" s="537" t="n"/>
    </row>
    <row customHeight="1" ht="15.75" r="1009" s="452" spans="1:32">
      <c r="A1009" s="44" t="n"/>
      <c r="W1009" s="537" t="n"/>
      <c r="X1009" s="537" t="n"/>
      <c r="Z1009" s="537" t="n"/>
      <c r="AA1009" s="537" t="n"/>
    </row>
    <row customHeight="1" ht="15.75" r="1010" s="452" spans="1:32">
      <c r="A1010" s="44" t="n"/>
      <c r="W1010" s="537" t="n"/>
      <c r="X1010" s="537" t="n"/>
      <c r="Z1010" s="537" t="n"/>
      <c r="AA1010" s="537" t="n"/>
    </row>
    <row customHeight="1" ht="15.75" r="1011" s="452" spans="1:32">
      <c r="A1011" s="44" t="n"/>
      <c r="W1011" s="537" t="n"/>
      <c r="X1011" s="537" t="n"/>
      <c r="Z1011" s="537" t="n"/>
      <c r="AA1011" s="537" t="n"/>
    </row>
    <row customHeight="1" ht="15.75" r="1012" s="452" spans="1:32">
      <c r="A1012" s="44" t="n"/>
      <c r="W1012" s="537" t="n"/>
      <c r="X1012" s="537" t="n"/>
      <c r="Z1012" s="537" t="n"/>
      <c r="AA1012" s="537" t="n"/>
    </row>
    <row customHeight="1" ht="15.75" r="1013" s="452" spans="1:32">
      <c r="A1013" s="44" t="n"/>
      <c r="W1013" s="537" t="n"/>
      <c r="X1013" s="537" t="n"/>
      <c r="Z1013" s="537" t="n"/>
      <c r="AA1013" s="537" t="n"/>
    </row>
    <row customHeight="1" ht="15.75" r="1014" s="452" spans="1:32">
      <c r="A1014" s="44" t="n"/>
      <c r="W1014" s="537" t="n"/>
      <c r="X1014" s="537" t="n"/>
      <c r="Z1014" s="537" t="n"/>
      <c r="AA1014" s="537" t="n"/>
    </row>
    <row customHeight="1" ht="15.75" r="1015" s="452" spans="1:32">
      <c r="A1015" s="44" t="n"/>
      <c r="W1015" s="537" t="n"/>
      <c r="X1015" s="537" t="n"/>
      <c r="Z1015" s="537" t="n"/>
      <c r="AA1015" s="537" t="n"/>
    </row>
    <row customHeight="1" ht="15.75" r="1016" s="452" spans="1:32">
      <c r="A1016" s="44" t="n"/>
      <c r="W1016" s="537" t="n"/>
      <c r="X1016" s="537" t="n"/>
      <c r="Z1016" s="537" t="n"/>
      <c r="AA1016" s="537" t="n"/>
    </row>
    <row customHeight="1" ht="15.75" r="1017" s="452" spans="1:32">
      <c r="A1017" s="44" t="n"/>
      <c r="W1017" s="537" t="n"/>
      <c r="X1017" s="537" t="n"/>
      <c r="Z1017" s="537" t="n"/>
      <c r="AA1017" s="537" t="n"/>
    </row>
    <row customHeight="1" ht="15.75" r="1018" s="452" spans="1:32">
      <c r="A1018" s="44" t="n"/>
      <c r="W1018" s="537" t="n"/>
      <c r="X1018" s="537" t="n"/>
      <c r="Z1018" s="537" t="n"/>
      <c r="AA1018" s="537" t="n"/>
    </row>
    <row customHeight="1" ht="15.75" r="1019" s="452" spans="1:32">
      <c r="A1019" s="44" t="n"/>
      <c r="W1019" s="537" t="n"/>
      <c r="X1019" s="537" t="n"/>
      <c r="Z1019" s="537" t="n"/>
      <c r="AA1019" s="537" t="n"/>
    </row>
    <row customHeight="1" ht="15.75" r="1020" s="452" spans="1:32">
      <c r="A1020" s="44" t="n"/>
      <c r="W1020" s="537" t="n"/>
      <c r="X1020" s="537" t="n"/>
      <c r="Z1020" s="537" t="n"/>
      <c r="AA1020" s="537" t="n"/>
    </row>
    <row customHeight="1" ht="15.75" r="1021" s="452" spans="1:32">
      <c r="A1021" s="44" t="n"/>
      <c r="W1021" s="537" t="n"/>
      <c r="X1021" s="537" t="n"/>
      <c r="Z1021" s="537" t="n"/>
      <c r="AA1021" s="537" t="n"/>
    </row>
    <row customHeight="1" ht="15.75" r="1022" s="452" spans="1:32">
      <c r="A1022" s="44" t="n"/>
      <c r="W1022" s="537" t="n"/>
      <c r="X1022" s="537" t="n"/>
      <c r="Z1022" s="537" t="n"/>
      <c r="AA1022" s="537" t="n"/>
    </row>
    <row customHeight="1" ht="15.75" r="1023" s="452" spans="1:32">
      <c r="A1023" s="44" t="n"/>
      <c r="W1023" s="537" t="n"/>
      <c r="X1023" s="537" t="n"/>
      <c r="Z1023" s="537" t="n"/>
      <c r="AA1023" s="537" t="n"/>
    </row>
    <row customHeight="1" ht="15.75" r="1024" s="452" spans="1:32">
      <c r="A1024" s="44" t="n"/>
      <c r="W1024" s="537" t="n"/>
      <c r="X1024" s="537" t="n"/>
      <c r="Z1024" s="537" t="n"/>
      <c r="AA1024" s="537" t="n"/>
    </row>
    <row customHeight="1" ht="15.75" r="1025" s="452" spans="1:32">
      <c r="A1025" s="44" t="n"/>
      <c r="W1025" s="537" t="n"/>
      <c r="X1025" s="537" t="n"/>
      <c r="Z1025" s="537" t="n"/>
      <c r="AA1025" s="537" t="n"/>
    </row>
    <row customHeight="1" ht="15.75" r="1026" s="452" spans="1:32">
      <c r="A1026" s="44" t="n"/>
      <c r="W1026" s="537" t="n"/>
      <c r="X1026" s="537" t="n"/>
      <c r="Z1026" s="537" t="n"/>
      <c r="AA1026" s="537" t="n"/>
    </row>
    <row customHeight="1" ht="15.75" r="1027" s="452" spans="1:32">
      <c r="A1027" s="44" t="n"/>
      <c r="W1027" s="537" t="n"/>
      <c r="X1027" s="537" t="n"/>
      <c r="Z1027" s="537" t="n"/>
      <c r="AA1027" s="537" t="n"/>
    </row>
    <row customHeight="1" ht="15.75" r="1028" s="452" spans="1:32">
      <c r="A1028" s="44" t="n"/>
      <c r="W1028" s="537" t="n"/>
      <c r="X1028" s="537" t="n"/>
      <c r="Z1028" s="537" t="n"/>
      <c r="AA1028" s="537" t="n"/>
    </row>
    <row customHeight="1" ht="15.75" r="1029" s="452" spans="1:32">
      <c r="A1029" s="44" t="n"/>
      <c r="W1029" s="537" t="n"/>
      <c r="X1029" s="537" t="n"/>
      <c r="Z1029" s="537" t="n"/>
      <c r="AA1029" s="537" t="n"/>
    </row>
    <row customHeight="1" ht="15.75" r="1030" s="452" spans="1:32">
      <c r="A1030" s="44" t="n"/>
      <c r="W1030" s="537" t="n"/>
      <c r="X1030" s="537" t="n"/>
      <c r="Z1030" s="537" t="n"/>
      <c r="AA1030" s="537" t="n"/>
    </row>
    <row customHeight="1" ht="15.75" r="1031" s="452" spans="1:32">
      <c r="A1031" s="44" t="n"/>
      <c r="W1031" s="537" t="n"/>
      <c r="X1031" s="537" t="n"/>
      <c r="Z1031" s="537" t="n"/>
      <c r="AA1031" s="537" t="n"/>
    </row>
    <row customHeight="1" ht="15.75" r="1032" s="452" spans="1:32">
      <c r="A1032" s="44" t="n"/>
      <c r="W1032" s="537" t="n"/>
      <c r="X1032" s="537" t="n"/>
      <c r="Z1032" s="537" t="n"/>
      <c r="AA1032" s="537" t="n"/>
    </row>
    <row customHeight="1" ht="15.75" r="1033" s="452" spans="1:32">
      <c r="A1033" s="44" t="n"/>
      <c r="W1033" s="537" t="n"/>
      <c r="X1033" s="537" t="n"/>
      <c r="Z1033" s="537" t="n"/>
      <c r="AA1033" s="537" t="n"/>
    </row>
    <row customHeight="1" ht="15.75" r="1034" s="452" spans="1:32">
      <c r="A1034" s="44" t="n"/>
      <c r="W1034" s="537" t="n"/>
      <c r="X1034" s="537" t="n"/>
      <c r="Z1034" s="537" t="n"/>
      <c r="AA1034" s="537" t="n"/>
    </row>
    <row customHeight="1" ht="15.75" r="1035" s="452" spans="1:32">
      <c r="A1035" s="44" t="n"/>
      <c r="W1035" s="537" t="n"/>
      <c r="X1035" s="537" t="n"/>
      <c r="Z1035" s="537" t="n"/>
      <c r="AA1035" s="537" t="n"/>
    </row>
    <row customHeight="1" ht="15.75" r="1036" s="452" spans="1:32">
      <c r="A1036" s="44" t="n"/>
      <c r="W1036" s="537" t="n"/>
      <c r="X1036" s="537" t="n"/>
      <c r="Z1036" s="537" t="n"/>
      <c r="AA1036" s="537" t="n"/>
    </row>
    <row customHeight="1" ht="15.75" r="1037" s="452" spans="1:32">
      <c r="A1037" s="44" t="n"/>
      <c r="W1037" s="537" t="n"/>
      <c r="X1037" s="537" t="n"/>
      <c r="Z1037" s="537" t="n"/>
      <c r="AA1037" s="537" t="n"/>
    </row>
    <row customHeight="1" ht="15.75" r="1038" s="452" spans="1:32">
      <c r="A1038" s="44" t="n"/>
      <c r="W1038" s="537" t="n"/>
      <c r="X1038" s="537" t="n"/>
      <c r="Z1038" s="537" t="n"/>
      <c r="AA1038" s="537" t="n"/>
    </row>
    <row customHeight="1" ht="15.75" r="1039" s="452" spans="1:32">
      <c r="A1039" s="44" t="n"/>
      <c r="W1039" s="537" t="n"/>
      <c r="X1039" s="537" t="n"/>
      <c r="Z1039" s="537" t="n"/>
      <c r="AA1039" s="537" t="n"/>
    </row>
    <row customHeight="1" ht="15.75" r="1040" s="452" spans="1:32">
      <c r="A1040" s="44" t="n"/>
      <c r="W1040" s="537" t="n"/>
      <c r="X1040" s="537" t="n"/>
      <c r="Z1040" s="537" t="n"/>
      <c r="AA1040" s="537" t="n"/>
    </row>
    <row customHeight="1" ht="15.75" r="1041" s="452" spans="1:32">
      <c r="A1041" s="44" t="n"/>
      <c r="W1041" s="537" t="n"/>
      <c r="X1041" s="537" t="n"/>
      <c r="Z1041" s="537" t="n"/>
      <c r="AA1041" s="537" t="n"/>
    </row>
    <row customHeight="1" ht="15.75" r="1042" s="452" spans="1:32">
      <c r="A1042" s="44" t="n"/>
      <c r="W1042" s="537" t="n"/>
      <c r="X1042" s="537" t="n"/>
      <c r="Z1042" s="537" t="n"/>
      <c r="AA1042" s="537" t="n"/>
    </row>
    <row customHeight="1" ht="15.75" r="1043" s="452" spans="1:32">
      <c r="A1043" s="44" t="n"/>
      <c r="W1043" s="537" t="n"/>
      <c r="X1043" s="537" t="n"/>
      <c r="Z1043" s="537" t="n"/>
      <c r="AA1043" s="537" t="n"/>
    </row>
    <row customHeight="1" ht="15.75" r="1044" s="452" spans="1:32">
      <c r="A1044" s="44" t="n"/>
      <c r="W1044" s="537" t="n"/>
      <c r="X1044" s="537" t="n"/>
      <c r="Z1044" s="537" t="n"/>
      <c r="AA1044" s="537" t="n"/>
    </row>
    <row customHeight="1" ht="15.75" r="1045" s="452" spans="1:32">
      <c r="A1045" s="44" t="n"/>
      <c r="W1045" s="537" t="n"/>
      <c r="X1045" s="537" t="n"/>
      <c r="Z1045" s="537" t="n"/>
      <c r="AA1045" s="537" t="n"/>
    </row>
    <row customHeight="1" ht="15.75" r="1046" s="452" spans="1:32">
      <c r="A1046" s="44" t="n"/>
      <c r="W1046" s="537" t="n"/>
      <c r="X1046" s="537" t="n"/>
      <c r="Z1046" s="537" t="n"/>
      <c r="AA1046" s="537" t="n"/>
    </row>
    <row customHeight="1" ht="15.75" r="1047" s="452" spans="1:32">
      <c r="A1047" s="44" t="n"/>
      <c r="W1047" s="537" t="n"/>
      <c r="X1047" s="537" t="n"/>
      <c r="Z1047" s="537" t="n"/>
      <c r="AA1047" s="537" t="n"/>
    </row>
    <row customHeight="1" ht="15.75" r="1048" s="452" spans="1:32">
      <c r="A1048" s="44" t="n"/>
      <c r="W1048" s="537" t="n"/>
      <c r="X1048" s="537" t="n"/>
      <c r="Z1048" s="537" t="n"/>
      <c r="AA1048" s="537" t="n"/>
    </row>
    <row customHeight="1" ht="15.75" r="1049" s="452" spans="1:32">
      <c r="A1049" s="44" t="n"/>
      <c r="W1049" s="537" t="n"/>
      <c r="X1049" s="537" t="n"/>
      <c r="Z1049" s="537" t="n"/>
      <c r="AA1049" s="537" t="n"/>
    </row>
    <row customHeight="1" ht="15.75" r="1050" s="452" spans="1:32">
      <c r="A1050" s="44" t="n"/>
      <c r="W1050" s="537" t="n"/>
      <c r="X1050" s="537" t="n"/>
      <c r="Z1050" s="537" t="n"/>
      <c r="AA1050" s="537" t="n"/>
    </row>
    <row customHeight="1" ht="15.75" r="1051" s="452" spans="1:32">
      <c r="A1051" s="44" t="n"/>
      <c r="W1051" s="537" t="n"/>
      <c r="X1051" s="537" t="n"/>
      <c r="Z1051" s="537" t="n"/>
      <c r="AA1051" s="537" t="n"/>
    </row>
    <row customHeight="1" ht="15.75" r="1052" s="452" spans="1:32">
      <c r="A1052" s="44" t="n"/>
      <c r="W1052" s="537" t="n"/>
      <c r="X1052" s="537" t="n"/>
      <c r="Z1052" s="537" t="n"/>
      <c r="AA1052" s="537" t="n"/>
    </row>
    <row customHeight="1" ht="15.75" r="1053" s="452" spans="1:32">
      <c r="A1053" s="44" t="n"/>
      <c r="W1053" s="537" t="n"/>
      <c r="X1053" s="537" t="n"/>
      <c r="Z1053" s="537" t="n"/>
      <c r="AA1053" s="537" t="n"/>
    </row>
    <row customHeight="1" ht="15.75" r="1054" s="452" spans="1:32">
      <c r="A1054" s="44" t="n"/>
      <c r="W1054" s="537" t="n"/>
      <c r="X1054" s="537" t="n"/>
      <c r="Z1054" s="537" t="n"/>
      <c r="AA1054" s="537" t="n"/>
    </row>
    <row customHeight="1" ht="15.75" r="1055" s="452" spans="1:32">
      <c r="A1055" s="44" t="n"/>
      <c r="W1055" s="537" t="n"/>
      <c r="X1055" s="537" t="n"/>
      <c r="Z1055" s="537" t="n"/>
      <c r="AA1055" s="537" t="n"/>
    </row>
    <row customHeight="1" ht="15.75" r="1056" s="452" spans="1:32">
      <c r="A1056" s="44" t="n"/>
      <c r="W1056" s="537" t="n"/>
      <c r="X1056" s="537" t="n"/>
      <c r="Z1056" s="537" t="n"/>
      <c r="AA1056" s="537" t="n"/>
    </row>
    <row customHeight="1" ht="15.75" r="1057" s="452" spans="1:32">
      <c r="A1057" s="44" t="n"/>
      <c r="W1057" s="537" t="n"/>
      <c r="X1057" s="537" t="n"/>
      <c r="Z1057" s="537" t="n"/>
      <c r="AA1057" s="537" t="n"/>
    </row>
    <row customHeight="1" ht="15.75" r="1058" s="452" spans="1:32">
      <c r="A1058" s="44" t="n"/>
      <c r="W1058" s="537" t="n"/>
      <c r="X1058" s="537" t="n"/>
      <c r="Z1058" s="537" t="n"/>
      <c r="AA1058" s="537" t="n"/>
    </row>
    <row customHeight="1" ht="15.75" r="1059" s="452" spans="1:32">
      <c r="A1059" s="44" t="n"/>
      <c r="W1059" s="537" t="n"/>
      <c r="X1059" s="537" t="n"/>
      <c r="Z1059" s="537" t="n"/>
      <c r="AA1059" s="537" t="n"/>
    </row>
    <row customHeight="1" ht="15.75" r="1060" s="452" spans="1:32">
      <c r="A1060" s="44" t="n"/>
      <c r="W1060" s="537" t="n"/>
      <c r="X1060" s="537" t="n"/>
      <c r="Z1060" s="537" t="n"/>
      <c r="AA1060" s="537" t="n"/>
    </row>
    <row customHeight="1" ht="15.75" r="1061" s="452" spans="1:32">
      <c r="A1061" s="44" t="n"/>
      <c r="W1061" s="537" t="n"/>
      <c r="X1061" s="537" t="n"/>
      <c r="Z1061" s="537" t="n"/>
      <c r="AA1061" s="537" t="n"/>
    </row>
    <row customHeight="1" ht="15.75" r="1062" s="452" spans="1:32">
      <c r="A1062" s="44" t="n"/>
      <c r="W1062" s="537" t="n"/>
      <c r="X1062" s="537" t="n"/>
      <c r="Z1062" s="537" t="n"/>
      <c r="AA1062" s="537" t="n"/>
    </row>
    <row customHeight="1" ht="15.75" r="1063" s="452" spans="1:32">
      <c r="A1063" s="44" t="n"/>
      <c r="W1063" s="537" t="n"/>
      <c r="X1063" s="537" t="n"/>
      <c r="Z1063" s="537" t="n"/>
      <c r="AA1063" s="537" t="n"/>
    </row>
    <row customHeight="1" ht="15.75" r="1064" s="452" spans="1:32">
      <c r="A1064" s="44" t="n"/>
      <c r="W1064" s="537" t="n"/>
      <c r="X1064" s="537" t="n"/>
      <c r="Z1064" s="537" t="n"/>
      <c r="AA1064" s="537" t="n"/>
    </row>
    <row customHeight="1" ht="15.75" r="1065" s="452" spans="1:32">
      <c r="A1065" s="44" t="n"/>
      <c r="W1065" s="537" t="n"/>
      <c r="X1065" s="537" t="n"/>
      <c r="Z1065" s="537" t="n"/>
      <c r="AA1065" s="537" t="n"/>
    </row>
    <row customHeight="1" ht="15.75" r="1066" s="452" spans="1:32">
      <c r="A1066" s="44" t="n"/>
      <c r="W1066" s="537" t="n"/>
      <c r="X1066" s="537" t="n"/>
      <c r="Z1066" s="537" t="n"/>
      <c r="AA1066" s="537" t="n"/>
    </row>
    <row customHeight="1" ht="15.75" r="1067" s="452" spans="1:32">
      <c r="A1067" s="44" t="n"/>
      <c r="W1067" s="537" t="n"/>
      <c r="X1067" s="537" t="n"/>
      <c r="Z1067" s="537" t="n"/>
      <c r="AA1067" s="537" t="n"/>
    </row>
    <row customHeight="1" ht="15.75" r="1068" s="452" spans="1:32">
      <c r="A1068" s="44" t="n"/>
      <c r="W1068" s="537" t="n"/>
      <c r="X1068" s="537" t="n"/>
      <c r="Z1068" s="537" t="n"/>
      <c r="AA1068" s="537" t="n"/>
    </row>
    <row customHeight="1" ht="15.75" r="1069" s="452" spans="1:32">
      <c r="A1069" s="44" t="n"/>
      <c r="W1069" s="537" t="n"/>
      <c r="X1069" s="537" t="n"/>
      <c r="Z1069" s="537" t="n"/>
      <c r="AA1069" s="537" t="n"/>
    </row>
    <row customHeight="1" ht="15.75" r="1070" s="452" spans="1:32">
      <c r="A1070" s="44" t="n"/>
      <c r="W1070" s="537" t="n"/>
      <c r="X1070" s="537" t="n"/>
      <c r="Z1070" s="537" t="n"/>
      <c r="AA1070" s="537" t="n"/>
    </row>
    <row customHeight="1" ht="15.75" r="1071" s="452" spans="1:32">
      <c r="A1071" s="44" t="n"/>
      <c r="W1071" s="537" t="n"/>
      <c r="X1071" s="537" t="n"/>
      <c r="Z1071" s="537" t="n"/>
      <c r="AA1071" s="537" t="n"/>
    </row>
    <row customHeight="1" ht="15.75" r="1072" s="452" spans="1:32">
      <c r="A1072" s="44" t="n"/>
      <c r="W1072" s="537" t="n"/>
      <c r="X1072" s="537" t="n"/>
      <c r="Z1072" s="537" t="n"/>
      <c r="AA1072" s="537" t="n"/>
    </row>
    <row customHeight="1" ht="15.75" r="1073" s="452" spans="1:32">
      <c r="A1073" s="44" t="n"/>
      <c r="W1073" s="537" t="n"/>
      <c r="X1073" s="537" t="n"/>
      <c r="Z1073" s="537" t="n"/>
      <c r="AA1073" s="537" t="n"/>
    </row>
    <row customHeight="1" ht="15.75" r="1074" s="452" spans="1:32">
      <c r="A1074" s="44" t="n"/>
      <c r="W1074" s="537" t="n"/>
      <c r="X1074" s="537" t="n"/>
      <c r="Z1074" s="537" t="n"/>
      <c r="AA1074" s="537" t="n"/>
    </row>
    <row customHeight="1" ht="15.75" r="1075" s="452" spans="1:32">
      <c r="A1075" s="44" t="n"/>
      <c r="W1075" s="537" t="n"/>
      <c r="X1075" s="537" t="n"/>
      <c r="Z1075" s="537" t="n"/>
      <c r="AA1075" s="537" t="n"/>
    </row>
    <row customHeight="1" ht="15.75" r="1076" s="452" spans="1:32">
      <c r="A1076" s="44" t="n"/>
      <c r="W1076" s="537" t="n"/>
      <c r="X1076" s="537" t="n"/>
      <c r="Z1076" s="537" t="n"/>
      <c r="AA1076" s="537" t="n"/>
    </row>
    <row customHeight="1" ht="15.75" r="1077" s="452" spans="1:32">
      <c r="A1077" s="44" t="n"/>
      <c r="W1077" s="537" t="n"/>
      <c r="X1077" s="537" t="n"/>
      <c r="Z1077" s="537" t="n"/>
      <c r="AA1077" s="537" t="n"/>
    </row>
    <row customHeight="1" ht="15.75" r="1078" s="452" spans="1:32">
      <c r="A1078" s="44" t="n"/>
      <c r="W1078" s="537" t="n"/>
      <c r="X1078" s="537" t="n"/>
      <c r="Z1078" s="537" t="n"/>
      <c r="AA1078" s="537" t="n"/>
    </row>
    <row customHeight="1" ht="15.75" r="1079" s="452" spans="1:32">
      <c r="A1079" s="44" t="n"/>
      <c r="W1079" s="537" t="n"/>
      <c r="X1079" s="537" t="n"/>
      <c r="Z1079" s="537" t="n"/>
      <c r="AA1079" s="537" t="n"/>
    </row>
    <row customHeight="1" ht="15.75" r="1080" s="452" spans="1:32">
      <c r="A1080" s="44" t="n"/>
      <c r="W1080" s="537" t="n"/>
      <c r="X1080" s="537" t="n"/>
      <c r="Z1080" s="537" t="n"/>
      <c r="AA1080" s="537" t="n"/>
    </row>
    <row customHeight="1" ht="15.75" r="1081" s="452" spans="1:32">
      <c r="A1081" s="44" t="n"/>
      <c r="W1081" s="537" t="n"/>
      <c r="X1081" s="537" t="n"/>
      <c r="Z1081" s="537" t="n"/>
      <c r="AA1081" s="537" t="n"/>
    </row>
    <row customHeight="1" ht="15.75" r="1082" s="452" spans="1:32">
      <c r="A1082" s="44" t="n"/>
      <c r="W1082" s="537" t="n"/>
      <c r="X1082" s="537" t="n"/>
      <c r="Z1082" s="537" t="n"/>
      <c r="AA1082" s="537" t="n"/>
    </row>
    <row customHeight="1" ht="15.75" r="1083" s="452" spans="1:32">
      <c r="A1083" s="44" t="n"/>
      <c r="W1083" s="537" t="n"/>
      <c r="X1083" s="537" t="n"/>
      <c r="Z1083" s="537" t="n"/>
      <c r="AA1083" s="537" t="n"/>
    </row>
    <row customHeight="1" ht="15.75" r="1084" s="452" spans="1:32">
      <c r="A1084" s="44" t="n"/>
      <c r="W1084" s="537" t="n"/>
      <c r="X1084" s="537" t="n"/>
      <c r="Z1084" s="537" t="n"/>
      <c r="AA1084" s="537" t="n"/>
    </row>
    <row customHeight="1" ht="15.75" r="1085" s="452" spans="1:32">
      <c r="A1085" s="44" t="n"/>
      <c r="W1085" s="537" t="n"/>
      <c r="X1085" s="537" t="n"/>
      <c r="Z1085" s="537" t="n"/>
      <c r="AA1085" s="537" t="n"/>
    </row>
    <row customHeight="1" ht="15.75" r="1086" s="452" spans="1:32">
      <c r="A1086" s="44" t="n"/>
      <c r="W1086" s="537" t="n"/>
      <c r="X1086" s="537" t="n"/>
      <c r="Z1086" s="537" t="n"/>
      <c r="AA1086" s="537" t="n"/>
    </row>
    <row customHeight="1" ht="15.75" r="1087" s="452" spans="1:32">
      <c r="A1087" s="44" t="n"/>
      <c r="W1087" s="537" t="n"/>
      <c r="X1087" s="537" t="n"/>
      <c r="Z1087" s="537" t="n"/>
      <c r="AA1087" s="537" t="n"/>
    </row>
    <row customHeight="1" ht="15.75" r="1088" s="452" spans="1:32">
      <c r="A1088" s="44" t="n"/>
      <c r="W1088" s="537" t="n"/>
      <c r="X1088" s="537" t="n"/>
      <c r="Z1088" s="537" t="n"/>
      <c r="AA1088" s="537" t="n"/>
    </row>
    <row customHeight="1" ht="15.75" r="1089" s="452" spans="1:32">
      <c r="A1089" s="44" t="n"/>
      <c r="W1089" s="537" t="n"/>
      <c r="X1089" s="537" t="n"/>
      <c r="Z1089" s="537" t="n"/>
      <c r="AA1089" s="537" t="n"/>
    </row>
    <row customHeight="1" ht="15.75" r="1090" s="452" spans="1:32">
      <c r="A1090" s="44" t="n"/>
      <c r="W1090" s="537" t="n"/>
      <c r="X1090" s="537" t="n"/>
      <c r="Z1090" s="537" t="n"/>
      <c r="AA1090" s="537" t="n"/>
    </row>
    <row customHeight="1" ht="15.75" r="1091" s="452" spans="1:32">
      <c r="A1091" s="44" t="n"/>
      <c r="W1091" s="537" t="n"/>
      <c r="X1091" s="537" t="n"/>
      <c r="Z1091" s="537" t="n"/>
      <c r="AA1091" s="537" t="n"/>
    </row>
    <row customHeight="1" ht="15.75" r="1092" s="452" spans="1:32">
      <c r="A1092" s="44" t="n"/>
      <c r="W1092" s="537" t="n"/>
      <c r="X1092" s="537" t="n"/>
      <c r="Z1092" s="537" t="n"/>
      <c r="AA1092" s="537" t="n"/>
    </row>
    <row customHeight="1" ht="15.75" r="1093" s="452" spans="1:32">
      <c r="A1093" s="44" t="n"/>
      <c r="W1093" s="537" t="n"/>
      <c r="X1093" s="537" t="n"/>
      <c r="Z1093" s="537" t="n"/>
      <c r="AA1093" s="537" t="n"/>
    </row>
    <row customHeight="1" ht="15.75" r="1094" s="452" spans="1:32">
      <c r="A1094" s="44" t="n"/>
      <c r="W1094" s="537" t="n"/>
      <c r="X1094" s="537" t="n"/>
      <c r="Z1094" s="537" t="n"/>
      <c r="AA1094" s="537" t="n"/>
    </row>
    <row customHeight="1" ht="15.75" r="1095" s="452" spans="1:32">
      <c r="A1095" s="44" t="n"/>
      <c r="W1095" s="537" t="n"/>
      <c r="X1095" s="537" t="n"/>
      <c r="Z1095" s="537" t="n"/>
      <c r="AA1095" s="537" t="n"/>
    </row>
    <row customHeight="1" ht="15.75" r="1096" s="452" spans="1:32">
      <c r="A1096" s="44" t="n"/>
      <c r="W1096" s="537" t="n"/>
      <c r="X1096" s="537" t="n"/>
      <c r="Z1096" s="537" t="n"/>
      <c r="AA1096" s="537" t="n"/>
    </row>
    <row customHeight="1" ht="15.75" r="1097" s="452" spans="1:32">
      <c r="A1097" s="44" t="n"/>
      <c r="W1097" s="537" t="n"/>
      <c r="X1097" s="537" t="n"/>
      <c r="Z1097" s="537" t="n"/>
      <c r="AA1097" s="537" t="n"/>
    </row>
    <row customHeight="1" ht="15.75" r="1098" s="452" spans="1:32">
      <c r="A1098" s="44" t="n"/>
      <c r="W1098" s="537" t="n"/>
      <c r="X1098" s="537" t="n"/>
      <c r="Z1098" s="537" t="n"/>
      <c r="AA1098" s="537" t="n"/>
    </row>
    <row customHeight="1" ht="15.75" r="1099" s="452" spans="1:32">
      <c r="A1099" s="44" t="n"/>
      <c r="W1099" s="537" t="n"/>
      <c r="X1099" s="537" t="n"/>
      <c r="Z1099" s="537" t="n"/>
      <c r="AA1099" s="537" t="n"/>
    </row>
    <row customHeight="1" ht="15.75" r="1100" s="452" spans="1:32">
      <c r="A1100" s="44" t="n"/>
      <c r="W1100" s="537" t="n"/>
      <c r="X1100" s="537" t="n"/>
      <c r="Z1100" s="537" t="n"/>
      <c r="AA1100" s="537" t="n"/>
    </row>
    <row customHeight="1" ht="15.75" r="1101" s="452" spans="1:32">
      <c r="A1101" s="44" t="n"/>
      <c r="W1101" s="537" t="n"/>
      <c r="X1101" s="537" t="n"/>
      <c r="Z1101" s="537" t="n"/>
      <c r="AA1101" s="537" t="n"/>
    </row>
    <row customHeight="1" ht="15.75" r="1102" s="452" spans="1:32">
      <c r="A1102" s="44" t="n"/>
      <c r="W1102" s="537" t="n"/>
      <c r="X1102" s="537" t="n"/>
      <c r="Z1102" s="537" t="n"/>
      <c r="AA1102" s="537" t="n"/>
    </row>
    <row customHeight="1" ht="15.75" r="1103" s="452" spans="1:32">
      <c r="A1103" s="44" t="n"/>
      <c r="W1103" s="537" t="n"/>
      <c r="X1103" s="537" t="n"/>
      <c r="Z1103" s="537" t="n"/>
      <c r="AA1103" s="537" t="n"/>
    </row>
    <row customHeight="1" ht="15.75" r="1104" s="452" spans="1:32">
      <c r="A1104" s="44" t="n"/>
      <c r="W1104" s="537" t="n"/>
      <c r="X1104" s="537" t="n"/>
      <c r="Z1104" s="537" t="n"/>
      <c r="AA1104" s="537" t="n"/>
    </row>
    <row customHeight="1" ht="15.75" r="1105" s="452" spans="1:32">
      <c r="A1105" s="44" t="n"/>
      <c r="W1105" s="537" t="n"/>
      <c r="X1105" s="537" t="n"/>
      <c r="Z1105" s="537" t="n"/>
      <c r="AA1105" s="537" t="n"/>
    </row>
    <row customHeight="1" ht="15.75" r="1106" s="452" spans="1:32">
      <c r="A1106" s="44" t="n"/>
      <c r="W1106" s="537" t="n"/>
      <c r="X1106" s="537" t="n"/>
      <c r="Z1106" s="537" t="n"/>
      <c r="AA1106" s="537" t="n"/>
    </row>
    <row customHeight="1" ht="15.75" r="1107" s="452" spans="1:32">
      <c r="A1107" s="44" t="n"/>
      <c r="W1107" s="537" t="n"/>
      <c r="X1107" s="537" t="n"/>
      <c r="Z1107" s="537" t="n"/>
      <c r="AA1107" s="537" t="n"/>
    </row>
    <row customHeight="1" ht="15.75" r="1108" s="452" spans="1:32">
      <c r="A1108" s="44" t="n"/>
      <c r="W1108" s="537" t="n"/>
      <c r="X1108" s="537" t="n"/>
      <c r="Z1108" s="537" t="n"/>
      <c r="AA1108" s="537" t="n"/>
    </row>
    <row customHeight="1" ht="15.75" r="1109" s="452" spans="1:32">
      <c r="A1109" s="44" t="n"/>
      <c r="W1109" s="537" t="n"/>
      <c r="X1109" s="537" t="n"/>
      <c r="Z1109" s="537" t="n"/>
      <c r="AA1109" s="537" t="n"/>
    </row>
    <row customHeight="1" ht="15.75" r="1110" s="452" spans="1:32">
      <c r="A1110" s="44" t="n"/>
      <c r="W1110" s="537" t="n"/>
      <c r="X1110" s="537" t="n"/>
      <c r="Z1110" s="537" t="n"/>
      <c r="AA1110" s="537" t="n"/>
    </row>
    <row customHeight="1" ht="15.75" r="1111" s="452" spans="1:32">
      <c r="A1111" s="44" t="n"/>
      <c r="W1111" s="537" t="n"/>
      <c r="X1111" s="537" t="n"/>
      <c r="Z1111" s="537" t="n"/>
      <c r="AA1111" s="537" t="n"/>
    </row>
    <row customHeight="1" ht="15.75" r="1112" s="452" spans="1:32">
      <c r="A1112" s="44" t="n"/>
      <c r="W1112" s="537" t="n"/>
      <c r="X1112" s="537" t="n"/>
      <c r="Z1112" s="537" t="n"/>
      <c r="AA1112" s="537" t="n"/>
    </row>
    <row customHeight="1" ht="15.75" r="1113" s="452" spans="1:32">
      <c r="A1113" s="44" t="n"/>
      <c r="W1113" s="537" t="n"/>
      <c r="X1113" s="537" t="n"/>
      <c r="Z1113" s="537" t="n"/>
      <c r="AA1113" s="537" t="n"/>
    </row>
    <row customHeight="1" ht="15.75" r="1114" s="452" spans="1:32">
      <c r="A1114" s="44" t="n"/>
      <c r="W1114" s="537" t="n"/>
      <c r="X1114" s="537" t="n"/>
      <c r="Z1114" s="537" t="n"/>
      <c r="AA1114" s="537" t="n"/>
    </row>
    <row customHeight="1" ht="15.75" r="1115" s="452" spans="1:32">
      <c r="A1115" s="44" t="n"/>
      <c r="W1115" s="537" t="n"/>
      <c r="X1115" s="537" t="n"/>
      <c r="Z1115" s="537" t="n"/>
      <c r="AA1115" s="537" t="n"/>
    </row>
    <row customHeight="1" ht="15.75" r="1116" s="452" spans="1:32">
      <c r="A1116" s="44" t="n"/>
      <c r="W1116" s="537" t="n"/>
      <c r="X1116" s="537" t="n"/>
      <c r="Z1116" s="537" t="n"/>
      <c r="AA1116" s="537" t="n"/>
    </row>
    <row customHeight="1" ht="15.75" r="1117" s="452" spans="1:32">
      <c r="A1117" s="44" t="n"/>
      <c r="W1117" s="537" t="n"/>
      <c r="X1117" s="537" t="n"/>
      <c r="Z1117" s="537" t="n"/>
      <c r="AA1117" s="537" t="n"/>
    </row>
    <row customHeight="1" ht="15.75" r="1118" s="452" spans="1:32">
      <c r="A1118" s="44" t="n"/>
      <c r="W1118" s="537" t="n"/>
      <c r="X1118" s="537" t="n"/>
      <c r="Z1118" s="537" t="n"/>
      <c r="AA1118" s="537" t="n"/>
    </row>
    <row customHeight="1" ht="15.75" r="1119" s="452" spans="1:32">
      <c r="A1119" s="44" t="n"/>
      <c r="W1119" s="537" t="n"/>
      <c r="X1119" s="537" t="n"/>
      <c r="Z1119" s="537" t="n"/>
      <c r="AA1119" s="537" t="n"/>
    </row>
    <row customHeight="1" ht="15.75" r="1120" s="452" spans="1:32">
      <c r="A1120" s="44" t="n"/>
      <c r="W1120" s="537" t="n"/>
      <c r="X1120" s="537" t="n"/>
      <c r="Z1120" s="537" t="n"/>
      <c r="AA1120" s="537" t="n"/>
    </row>
    <row customHeight="1" ht="15.75" r="1121" s="452" spans="1:32">
      <c r="A1121" s="44" t="n"/>
      <c r="W1121" s="537" t="n"/>
      <c r="X1121" s="537" t="n"/>
      <c r="Z1121" s="537" t="n"/>
      <c r="AA1121" s="537" t="n"/>
    </row>
    <row customHeight="1" ht="15.75" r="1122" s="452" spans="1:32">
      <c r="A1122" s="44" t="n"/>
      <c r="W1122" s="537" t="n"/>
      <c r="X1122" s="537" t="n"/>
      <c r="Z1122" s="537" t="n"/>
      <c r="AA1122" s="537" t="n"/>
    </row>
    <row customHeight="1" ht="15.75" r="1123" s="452" spans="1:32">
      <c r="A1123" s="44" t="n"/>
      <c r="W1123" s="537" t="n"/>
      <c r="X1123" s="537" t="n"/>
      <c r="Z1123" s="537" t="n"/>
      <c r="AA1123" s="537" t="n"/>
    </row>
    <row customHeight="1" ht="15.75" r="1124" s="452" spans="1:32">
      <c r="A1124" s="44" t="n"/>
      <c r="W1124" s="537" t="n"/>
      <c r="X1124" s="537" t="n"/>
      <c r="Z1124" s="537" t="n"/>
      <c r="AA1124" s="537" t="n"/>
    </row>
    <row customHeight="1" ht="15.75" r="1125" s="452" spans="1:32">
      <c r="A1125" s="44" t="n"/>
      <c r="W1125" s="537" t="n"/>
      <c r="X1125" s="537" t="n"/>
      <c r="Z1125" s="537" t="n"/>
      <c r="AA1125" s="537" t="n"/>
    </row>
    <row customHeight="1" ht="15.75" r="1126" s="452" spans="1:32">
      <c r="A1126" s="44" t="n"/>
      <c r="W1126" s="537" t="n"/>
      <c r="X1126" s="537" t="n"/>
      <c r="Z1126" s="537" t="n"/>
      <c r="AA1126" s="537" t="n"/>
    </row>
    <row customHeight="1" ht="15.75" r="1127" s="452" spans="1:32">
      <c r="A1127" s="44" t="n"/>
      <c r="W1127" s="537" t="n"/>
      <c r="X1127" s="537" t="n"/>
      <c r="Z1127" s="537" t="n"/>
      <c r="AA1127" s="537" t="n"/>
    </row>
    <row customHeight="1" ht="15.75" r="1128" s="452" spans="1:32">
      <c r="A1128" s="44" t="n"/>
      <c r="W1128" s="537" t="n"/>
      <c r="X1128" s="537" t="n"/>
      <c r="Z1128" s="537" t="n"/>
      <c r="AA1128" s="537" t="n"/>
    </row>
    <row customHeight="1" ht="15.75" r="1129" s="452" spans="1:32">
      <c r="A1129" s="44" t="n"/>
      <c r="W1129" s="537" t="n"/>
      <c r="X1129" s="537" t="n"/>
      <c r="Z1129" s="537" t="n"/>
      <c r="AA1129" s="537" t="n"/>
    </row>
    <row customHeight="1" ht="15.75" r="1130" s="452" spans="1:32">
      <c r="A1130" s="44" t="n"/>
      <c r="W1130" s="537" t="n"/>
      <c r="X1130" s="537" t="n"/>
      <c r="Z1130" s="537" t="n"/>
      <c r="AA1130" s="537" t="n"/>
    </row>
    <row customHeight="1" ht="15.75" r="1131" s="452" spans="1:32">
      <c r="A1131" s="44" t="n"/>
      <c r="W1131" s="537" t="n"/>
      <c r="X1131" s="537" t="n"/>
      <c r="Z1131" s="537" t="n"/>
      <c r="AA1131" s="537" t="n"/>
    </row>
    <row customHeight="1" ht="15.75" r="1132" s="452" spans="1:32">
      <c r="A1132" s="44" t="n"/>
      <c r="W1132" s="537" t="n"/>
      <c r="X1132" s="537" t="n"/>
      <c r="Z1132" s="537" t="n"/>
      <c r="AA1132" s="537" t="n"/>
    </row>
    <row customHeight="1" ht="15.75" r="1133" s="452" spans="1:32">
      <c r="A1133" s="44" t="n"/>
      <c r="W1133" s="537" t="n"/>
      <c r="X1133" s="537" t="n"/>
      <c r="Z1133" s="537" t="n"/>
      <c r="AA1133" s="537" t="n"/>
    </row>
    <row customHeight="1" ht="15.75" r="1134" s="452" spans="1:32">
      <c r="A1134" s="44" t="n"/>
      <c r="W1134" s="537" t="n"/>
      <c r="X1134" s="537" t="n"/>
      <c r="Z1134" s="537" t="n"/>
      <c r="AA1134" s="537" t="n"/>
    </row>
    <row customHeight="1" ht="15.75" r="1135" s="452" spans="1:32">
      <c r="A1135" s="44" t="n"/>
      <c r="W1135" s="537" t="n"/>
      <c r="X1135" s="537" t="n"/>
      <c r="Z1135" s="537" t="n"/>
      <c r="AA1135" s="537" t="n"/>
    </row>
    <row customHeight="1" ht="15.75" r="1136" s="452" spans="1:32">
      <c r="A1136" s="44" t="n"/>
      <c r="W1136" s="537" t="n"/>
      <c r="X1136" s="537" t="n"/>
      <c r="Z1136" s="537" t="n"/>
      <c r="AA1136" s="537" t="n"/>
    </row>
    <row customHeight="1" ht="15.75" r="1137" s="452" spans="1:32">
      <c r="A1137" s="44" t="n"/>
      <c r="W1137" s="537" t="n"/>
      <c r="X1137" s="537" t="n"/>
      <c r="Z1137" s="537" t="n"/>
      <c r="AA1137" s="537" t="n"/>
    </row>
    <row customHeight="1" ht="15.75" r="1138" s="452" spans="1:32">
      <c r="A1138" s="44" t="n"/>
      <c r="W1138" s="537" t="n"/>
      <c r="X1138" s="537" t="n"/>
      <c r="Z1138" s="537" t="n"/>
      <c r="AA1138" s="537" t="n"/>
    </row>
    <row customHeight="1" ht="15.75" r="1139" s="452" spans="1:32">
      <c r="A1139" s="44" t="n"/>
      <c r="W1139" s="537" t="n"/>
      <c r="X1139" s="537" t="n"/>
      <c r="Z1139" s="537" t="n"/>
      <c r="AA1139" s="537" t="n"/>
    </row>
    <row customHeight="1" ht="15.75" r="1140" s="452" spans="1:32">
      <c r="A1140" s="44" t="n"/>
      <c r="W1140" s="537" t="n"/>
      <c r="X1140" s="537" t="n"/>
      <c r="Z1140" s="537" t="n"/>
      <c r="AA1140" s="537" t="n"/>
    </row>
    <row customHeight="1" ht="15.75" r="1141" s="452" spans="1:32">
      <c r="A1141" s="44" t="n"/>
      <c r="W1141" s="537" t="n"/>
      <c r="X1141" s="537" t="n"/>
      <c r="Z1141" s="537" t="n"/>
      <c r="AA1141" s="537" t="n"/>
    </row>
    <row customHeight="1" ht="15.75" r="1142" s="452" spans="1:32">
      <c r="A1142" s="44" t="n"/>
      <c r="W1142" s="537" t="n"/>
      <c r="X1142" s="537" t="n"/>
      <c r="Z1142" s="537" t="n"/>
      <c r="AA1142" s="537" t="n"/>
    </row>
    <row customHeight="1" ht="15.75" r="1143" s="452" spans="1:32">
      <c r="A1143" s="44" t="n"/>
      <c r="W1143" s="537" t="n"/>
      <c r="X1143" s="537" t="n"/>
      <c r="Z1143" s="537" t="n"/>
      <c r="AA1143" s="537" t="n"/>
    </row>
    <row customHeight="1" ht="15.75" r="1144" s="452" spans="1:32">
      <c r="A1144" s="44" t="n"/>
      <c r="W1144" s="537" t="n"/>
      <c r="X1144" s="537" t="n"/>
      <c r="Z1144" s="537" t="n"/>
      <c r="AA1144" s="537" t="n"/>
    </row>
    <row customHeight="1" ht="15.75" r="1145" s="452" spans="1:32">
      <c r="A1145" s="44" t="n"/>
      <c r="W1145" s="537" t="n"/>
      <c r="X1145" s="537" t="n"/>
      <c r="Z1145" s="537" t="n"/>
      <c r="AA1145" s="537" t="n"/>
    </row>
    <row customHeight="1" ht="15.75" r="1146" s="452" spans="1:32">
      <c r="A1146" s="44" t="n"/>
      <c r="W1146" s="537" t="n"/>
      <c r="X1146" s="537" t="n"/>
      <c r="Z1146" s="537" t="n"/>
      <c r="AA1146" s="537" t="n"/>
    </row>
    <row customHeight="1" ht="15.75" r="1147" s="452" spans="1:32">
      <c r="A1147" s="44" t="n"/>
      <c r="W1147" s="537" t="n"/>
      <c r="X1147" s="537" t="n"/>
      <c r="Z1147" s="537" t="n"/>
      <c r="AA1147" s="537" t="n"/>
    </row>
    <row customHeight="1" ht="15.75" r="1148" s="452" spans="1:32">
      <c r="A1148" s="44" t="n"/>
      <c r="W1148" s="537" t="n"/>
      <c r="X1148" s="537" t="n"/>
      <c r="Z1148" s="537" t="n"/>
      <c r="AA1148" s="537" t="n"/>
    </row>
    <row customHeight="1" ht="15.75" r="1149" s="452" spans="1:32">
      <c r="A1149" s="44" t="n"/>
      <c r="W1149" s="537" t="n"/>
      <c r="X1149" s="537" t="n"/>
      <c r="Z1149" s="537" t="n"/>
      <c r="AA1149" s="537" t="n"/>
    </row>
    <row customHeight="1" ht="15.75" r="1150" s="452" spans="1:32">
      <c r="A1150" s="44" t="n"/>
      <c r="W1150" s="537" t="n"/>
      <c r="X1150" s="537" t="n"/>
      <c r="Z1150" s="537" t="n"/>
      <c r="AA1150" s="537" t="n"/>
    </row>
    <row customHeight="1" ht="15.75" r="1151" s="452" spans="1:32">
      <c r="A1151" s="44" t="n"/>
      <c r="W1151" s="537" t="n"/>
      <c r="X1151" s="537" t="n"/>
      <c r="Z1151" s="537" t="n"/>
      <c r="AA1151" s="537" t="n"/>
    </row>
    <row customHeight="1" ht="15.75" r="1152" s="452" spans="1:32">
      <c r="A1152" s="44" t="n"/>
      <c r="W1152" s="537" t="n"/>
      <c r="X1152" s="537" t="n"/>
      <c r="Z1152" s="537" t="n"/>
      <c r="AA1152" s="537" t="n"/>
    </row>
    <row customHeight="1" ht="15.75" r="1153" s="452" spans="1:32">
      <c r="A1153" s="44" t="n"/>
      <c r="W1153" s="537" t="n"/>
      <c r="X1153" s="537" t="n"/>
      <c r="Z1153" s="537" t="n"/>
      <c r="AA1153" s="537" t="n"/>
    </row>
    <row customHeight="1" ht="15.75" r="1154" s="452" spans="1:32">
      <c r="A1154" s="44" t="n"/>
      <c r="W1154" s="537" t="n"/>
      <c r="X1154" s="537" t="n"/>
      <c r="Z1154" s="537" t="n"/>
      <c r="AA1154" s="537" t="n"/>
    </row>
    <row customHeight="1" ht="15.75" r="1155" s="452" spans="1:32">
      <c r="A1155" s="44" t="n"/>
      <c r="W1155" s="537" t="n"/>
      <c r="X1155" s="537" t="n"/>
      <c r="Z1155" s="537" t="n"/>
      <c r="AA1155" s="537" t="n"/>
    </row>
    <row customHeight="1" ht="15.75" r="1156" s="452" spans="1:32">
      <c r="A1156" s="44" t="n"/>
      <c r="W1156" s="537" t="n"/>
      <c r="X1156" s="537" t="n"/>
      <c r="Z1156" s="537" t="n"/>
      <c r="AA1156" s="537" t="n"/>
    </row>
  </sheetData>
  <autoFilter ref="A1:AF210"/>
  <conditionalFormatting sqref="AB11:AB13 AB15:AB17 AB19:AB21 AB23:AB25 AB27:AB29 AB31:AB33 AB35:AB37 AB39:AB41 AB43:AB45 AB47:AB49 AB51:AB53 AB55:AB57 AB59:AB61 AB63:AB65 AB67:AB69 AB71:AB73 AB75:AB77 AB79:AB81 AB83:AB85 AB87:AB89 AB91:AB93 AB95:AB97 AB99:AB101 AB103:AB105 AB107:AB109 AB111:AB113 AB115:AB117 AB119:AB121 AB123:AB125 AB127:AB129 AB131:AB133 AB135:AB137 AB139:AB141 AB143:AB145 AB147:AB149 AB151:AB153 AB155:AB157 AB159:AB161 AB163:AB165 AB167:AB169 AB171:AB173 AB175:AB177 AB179:AB181 AB183:AB185 AB187:AB189 AB191:AB193 AB195:AB197 AB199:AB201 AB203:AB205 AB207:AB209">
    <cfRule dxfId="1" operator="lessThan" priority="593" type="cellIs">
      <formula>0</formula>
    </cfRule>
    <cfRule dxfId="0" operator="greaterThanOrEqual" priority="594" type="cellIs">
      <formula>0</formula>
    </cfRule>
  </conditionalFormatting>
  <conditionalFormatting sqref="J11:J13 J15:J17 J19:J21 J23:J25 J27:J29 J31:J33 J35:J37 J39:J41 J43:J45 J47:J49 J51:J53 J55:J57 J59:J61 J63:J65 J67:J69 J71:J73 J75:J77 J79:J81 J83:J85 J87:J89 J91:J93 J95:J97 J99:J101 J103:J105 J107:J109 J111:J113 J115:J117 J119:J121 J123:J125 J127:J129 J131:J133 J135:J137 J139:J141 J143:J145 J147:J149 J151:J153 J155:J157 J159:J161 J163:J165 J167:J169 J171:J173 J175:J177 J179:J181 J183:J185 J187:J189 J191:J193 J195:J197 J199:J201 J203:J205 J207:J209">
    <cfRule dxfId="0" operator="lessThanOrEqual" priority="595" type="cellIs">
      <formula>0</formula>
    </cfRule>
    <cfRule dxfId="1" operator="greaterThan" priority="596" type="cellIs">
      <formula>0</formula>
    </cfRule>
  </conditionalFormatting>
  <conditionalFormatting sqref="J2:J5">
    <cfRule dxfId="1" operator="lessThan" priority="605" type="cellIs">
      <formula>0</formula>
    </cfRule>
    <cfRule dxfId="0" operator="greaterThanOrEqual" priority="606" type="cellIs">
      <formula>0</formula>
    </cfRule>
  </conditionalFormatting>
  <conditionalFormatting sqref="J7:J9">
    <cfRule dxfId="1" operator="lessThan" priority="611" type="cellIs">
      <formula>0</formula>
    </cfRule>
    <cfRule dxfId="0" operator="greaterThanOrEqual" priority="612" type="cellIs">
      <formula>0</formula>
    </cfRule>
  </conditionalFormatting>
  <conditionalFormatting sqref="AB2:AB5">
    <cfRule dxfId="1" operator="lessThan" priority="625" type="cellIs">
      <formula>0</formula>
    </cfRule>
    <cfRule dxfId="0" operator="greaterThanOrEqual" priority="626" type="cellIs">
      <formula>0</formula>
    </cfRule>
  </conditionalFormatting>
  <conditionalFormatting sqref="AB7:AB9">
    <cfRule dxfId="1" operator="lessThan" priority="627" type="cellIs">
      <formula>0</formula>
    </cfRule>
    <cfRule dxfId="0" operator="greaterThanOrEqual" priority="628" type="cellIs">
      <formula>0</formula>
    </cfRule>
  </conditionalFormatting>
  <conditionalFormatting sqref="G210">
    <cfRule dxfId="1" operator="lessThan" priority="553" type="cellIs">
      <formula>0</formula>
    </cfRule>
    <cfRule dxfId="0" operator="greaterThanOrEqual" priority="554" type="cellIs">
      <formula>0</formula>
    </cfRule>
  </conditionalFormatting>
  <conditionalFormatting sqref="G11:G13 G15:G17 G19:G21 G23:G25 G27:G29 G31:G33 G35:G37 G39:G41 G43:G45 G47:G49 G51:G53 G55:G57 G59:G61 G63:G65 G67:G69 G71:G73 G75:G77 G79:G81 G83:G85 G87:G89 G91:G93 G95:G97 G99:G101 G103:G105 G107:G109 G111:G113 G115:G117 G119:G121 G123:G125 G127:G129 G131:G133 G135:G137 G139:G141 G143:G145 G147:G149 G151:G153 G155:G157 G159:G161 G163:G165 G167:G169 G171:G173 G175:G177 G179:G181 G183:G185 G187:G189 G191:G193 G195:G197 G199:G201 G203:G205 G207:G209">
    <cfRule dxfId="1" operator="lessThan" priority="555" type="cellIs">
      <formula>0</formula>
    </cfRule>
    <cfRule dxfId="0" operator="greaterThanOrEqual" priority="556" type="cellIs">
      <formula>0</formula>
    </cfRule>
  </conditionalFormatting>
  <conditionalFormatting sqref="AE11:AE13 AE15:AE17 AE19:AE21 AE23:AE25 AE27:AE29 AE31:AE33 AE35:AE37 AE39:AE41 AE43:AE45 AE47:AE49 AE51:AE53 AE55:AE57 AE59:AE61 AE63:AE65 AE67:AE69 AE71:AE73 AE75:AE77 AE79:AE81 AE83:AE85 AE87:AE89 AE91:AE93 AE95:AE97 AE99:AE101 AE103:AE105 AE107:AE109 AE111:AE113 AE115:AE117 AE119:AE121 AE123:AE125 AE127:AE129 AE131:AE133 AE135:AE137 AE139:AE141 AE143:AE145 AE147:AE149 AE151:AE153 AE155:AE157 AE159:AE161 AE163:AE165 AE167:AE169 AE171:AE173 AE175:AE177 AE179:AE181 AE183:AE185 AE187:AE189 AE191:AE193 AE195:AE197 AE199:AE201 AE203:AE205 AE207:AE209">
    <cfRule dxfId="1" operator="lessThan" priority="579" type="cellIs">
      <formula>0</formula>
    </cfRule>
    <cfRule dxfId="0" operator="greaterThanOrEqual" priority="580" type="cellIs">
      <formula>0</formula>
    </cfRule>
  </conditionalFormatting>
  <conditionalFormatting sqref="AE2:AE5">
    <cfRule dxfId="1" operator="lessThan" priority="581" type="cellIs">
      <formula>0</formula>
    </cfRule>
    <cfRule dxfId="0" operator="greaterThanOrEqual" priority="582" type="cellIs">
      <formula>0</formula>
    </cfRule>
  </conditionalFormatting>
  <conditionalFormatting sqref="AE7:AE9">
    <cfRule dxfId="1" operator="lessThan" priority="583" type="cellIs">
      <formula>0</formula>
    </cfRule>
    <cfRule dxfId="0" operator="greaterThanOrEqual" priority="584" type="cellIs">
      <formula>0</formula>
    </cfRule>
  </conditionalFormatting>
  <conditionalFormatting sqref="Y11:Y13 Y15:Y17 Y19:Y21 Y23:Y25 Y27:Y29 Y31:Y33 Y35:Y37 Y39:Y41 Y43:Y45 Y47:Y49 Y51:Y53 Y55:Y57 Y59:Y61 Y63:Y65 Y67:Y69 Y71:Y73 Y75:Y77 Y79:Y81 Y83:Y85 Y87:Y89 Y91:Y93 Y95:Y97 Y99:Y101 Y103:Y105 Y107:Y109 Y111:Y113 Y115:Y117 Y119:Y121 Y123:Y125 Y127:Y129 Y131:Y133 Y135:Y137 Y139:Y141 Y143:Y145 Y147:Y149 Y151:Y153 Y155:Y157 Y159:Y161 Y163:Y165 Y167:Y169 Y171:Y173 Y175:Y177 Y179:Y181 Y183:Y185 Y187:Y189 Y191:Y193 Y195:Y197 Y199:Y201 Y203:Y205 Y207:Y209">
    <cfRule dxfId="1" operator="lessThan" priority="573" type="cellIs">
      <formula>0</formula>
    </cfRule>
    <cfRule dxfId="0" operator="greaterThanOrEqual" priority="574" type="cellIs">
      <formula>0</formula>
    </cfRule>
  </conditionalFormatting>
  <conditionalFormatting sqref="Y2:Y5">
    <cfRule dxfId="1" operator="lessThan" priority="575" type="cellIs">
      <formula>0</formula>
    </cfRule>
    <cfRule dxfId="0" operator="greaterThanOrEqual" priority="576" type="cellIs">
      <formula>0</formula>
    </cfRule>
  </conditionalFormatting>
  <conditionalFormatting sqref="Y7:Y9">
    <cfRule dxfId="1" operator="lessThan" priority="577" type="cellIs">
      <formula>0</formula>
    </cfRule>
    <cfRule dxfId="0" operator="greaterThanOrEqual" priority="578" type="cellIs">
      <formula>0</formula>
    </cfRule>
  </conditionalFormatting>
  <conditionalFormatting sqref="S11:S13 S15:S17 S19:S21 S23:S25 S27:S29 S31:S33 S35:S37 S39:S41 S43:S45 S47:S49 S51:S53 S55:S57 S59:S61 S63:S65 S67:S69 S71:S73 S75:S77 S79:S81 S83:S85 S87:S89 S91:S93 S95:S97 S99:S101 S103:S105 S107:S109 S111:S113 S115:S117 S119:S121 S123:S125 S127:S129 S131:S133 S135:S137 S139:S141 S143:S145 S147:S149 S151:S153 S155:S157 S159:S161 S163:S165 S167:S169 S171:S173 S175:S177 S179:S181 S183:S185 S187:S189 S191:S193 S195:S197 S199:S201 S203:S205 S207:S209">
    <cfRule dxfId="1" operator="lessThan" priority="567" type="cellIs">
      <formula>0</formula>
    </cfRule>
    <cfRule dxfId="0" operator="greaterThanOrEqual" priority="568" type="cellIs">
      <formula>0</formula>
    </cfRule>
  </conditionalFormatting>
  <conditionalFormatting sqref="S2:S5">
    <cfRule dxfId="1" operator="lessThan" priority="569" type="cellIs">
      <formula>0</formula>
    </cfRule>
    <cfRule dxfId="0" operator="greaterThanOrEqual" priority="570" type="cellIs">
      <formula>0</formula>
    </cfRule>
  </conditionalFormatting>
  <conditionalFormatting sqref="S7:S9">
    <cfRule dxfId="1" operator="lessThan" priority="571" type="cellIs">
      <formula>0</formula>
    </cfRule>
    <cfRule dxfId="0" operator="greaterThanOrEqual" priority="572" type="cellIs">
      <formula>0</formula>
    </cfRule>
  </conditionalFormatting>
  <conditionalFormatting sqref="P11:P13 P15:P17 P19:P21 P23:P25 P27:P29 P31:P33 P35:P37 P39:P41 P43:P45 P47:P49 P51:P53 P55:P57 P59:P61 P63:P65 P67:P69 P71:P73 P75:P77 P79:P81 P83:P85 P87:P89 P91:P93 P95:P97 P99:P101 P103:P105 P107:P109 P111:P113 P115:P117 P119:P121 P123:P125 P127:P129 P131:P133 P135:P137 P139:P141 P143:P145 P147:P149 P151:P153 P155:P157 P159:P161 P163:P165 P167:P169 P171:P173 P175:P177 P179:P181 P183:P185 P187:P189 P191:P193 P195:P197 P199:P201 P203:P205 P207:P209">
    <cfRule dxfId="1" operator="lessThan" priority="561" type="cellIs">
      <formula>0</formula>
    </cfRule>
    <cfRule dxfId="0" operator="greaterThanOrEqual" priority="562" type="cellIs">
      <formula>0</formula>
    </cfRule>
  </conditionalFormatting>
  <conditionalFormatting sqref="P2:P5">
    <cfRule dxfId="1" operator="lessThan" priority="563" type="cellIs">
      <formula>0</formula>
    </cfRule>
    <cfRule dxfId="0" operator="greaterThanOrEqual" priority="564" type="cellIs">
      <formula>0</formula>
    </cfRule>
  </conditionalFormatting>
  <conditionalFormatting sqref="P7:P9">
    <cfRule dxfId="1" operator="lessThan" priority="565" type="cellIs">
      <formula>0</formula>
    </cfRule>
    <cfRule dxfId="0" operator="greaterThanOrEqual" priority="566" type="cellIs">
      <formula>0</formula>
    </cfRule>
  </conditionalFormatting>
  <conditionalFormatting sqref="G2:G5">
    <cfRule dxfId="1" operator="lessThan" priority="557" type="cellIs">
      <formula>0</formula>
    </cfRule>
    <cfRule dxfId="0" operator="greaterThanOrEqual" priority="558" type="cellIs">
      <formula>0</formula>
    </cfRule>
  </conditionalFormatting>
  <conditionalFormatting sqref="G7:G9">
    <cfRule dxfId="1" operator="lessThan" priority="559" type="cellIs">
      <formula>0</formula>
    </cfRule>
    <cfRule dxfId="0" operator="greaterThanOrEqual" priority="560" type="cellIs">
      <formula>0</formula>
    </cfRule>
  </conditionalFormatting>
  <conditionalFormatting sqref="P210">
    <cfRule dxfId="1" operator="lessThan" priority="551" type="cellIs">
      <formula>0</formula>
    </cfRule>
    <cfRule dxfId="0" operator="greaterThanOrEqual" priority="552" type="cellIs">
      <formula>0</formula>
    </cfRule>
  </conditionalFormatting>
  <conditionalFormatting sqref="S210">
    <cfRule dxfId="1" operator="lessThan" priority="549" type="cellIs">
      <formula>0</formula>
    </cfRule>
    <cfRule dxfId="0" operator="greaterThanOrEqual" priority="550" type="cellIs">
      <formula>0</formula>
    </cfRule>
  </conditionalFormatting>
  <conditionalFormatting sqref="V11:V13 V15:V17 V19:V21 V23:V25 V27:V29 V31:V33 V35:V37 V39:V41 V43:V45 V47:V49 V51:V53 V55:V57 V59:V61 V63:V65 V67:V69 V71:V73 V75:V77 V79:V81 V83:V85 V87:V89 V91:V93 V95:V97 V99:V101 V103:V105 V107:V109 V111:V113 V115:V117 V119:V121 V123:V125 V127:V129 V131:V133 V135:V137 V139:V141 V143:V145 V147:V149 V151:V153 V155:V157 V159:V161 V163:V165 V167:V169 V171:V173 V175:V177 V179:V181 V183:V185 V187:V189 V191:V193 V195:V197 V199:V201 V203:V205 V207:V209">
    <cfRule dxfId="1" operator="lessThan" priority="541" type="cellIs">
      <formula>0</formula>
    </cfRule>
    <cfRule dxfId="0" operator="greaterThanOrEqual" priority="542" type="cellIs">
      <formula>0</formula>
    </cfRule>
  </conditionalFormatting>
  <conditionalFormatting sqref="V2:V5">
    <cfRule dxfId="1" operator="lessThan" priority="543" type="cellIs">
      <formula>0</formula>
    </cfRule>
    <cfRule dxfId="0" operator="greaterThanOrEqual" priority="544" type="cellIs">
      <formula>0</formula>
    </cfRule>
  </conditionalFormatting>
  <conditionalFormatting sqref="V7:V9">
    <cfRule dxfId="1" operator="lessThan" priority="545" type="cellIs">
      <formula>0</formula>
    </cfRule>
    <cfRule dxfId="0" operator="greaterThanOrEqual" priority="546" type="cellIs">
      <formula>0</formula>
    </cfRule>
  </conditionalFormatting>
  <conditionalFormatting sqref="V210">
    <cfRule dxfId="1" operator="lessThan" priority="539" type="cellIs">
      <formula>0</formula>
    </cfRule>
    <cfRule dxfId="0" operator="greaterThanOrEqual" priority="540" type="cellIs">
      <formula>0</formula>
    </cfRule>
  </conditionalFormatting>
  <conditionalFormatting sqref="Y210">
    <cfRule dxfId="1" operator="lessThan" priority="537" type="cellIs">
      <formula>0</formula>
    </cfRule>
    <cfRule dxfId="0" operator="greaterThanOrEqual" priority="538" type="cellIs">
      <formula>0</formula>
    </cfRule>
  </conditionalFormatting>
  <conditionalFormatting sqref="AB210">
    <cfRule dxfId="1" operator="lessThan" priority="535" type="cellIs">
      <formula>0</formula>
    </cfRule>
    <cfRule dxfId="0" operator="greaterThanOrEqual" priority="536" type="cellIs">
      <formula>0</formula>
    </cfRule>
  </conditionalFormatting>
  <conditionalFormatting sqref="AE210">
    <cfRule dxfId="1" operator="lessThan" priority="533" type="cellIs">
      <formula>0</formula>
    </cfRule>
    <cfRule dxfId="0" operator="greaterThanOrEqual" priority="534" type="cellIs">
      <formula>0</formula>
    </cfRule>
  </conditionalFormatting>
  <conditionalFormatting sqref="M11:M13 M15:M17 M19:M21 M23:M25 M27:M29 M31:M33 M35:M37 M39:M41 M43:M45 M47:M49 M51:M53 M55:M57 M59:M61 M63:M65 M67:M69 M71:M73 M75:M77 M79:M81 M83:M85 M87:M89 M91:M93 M95:M97 M99:M101 M103:M105 M107:M109 M111:M113 M115:M117 M119:M121 M123:M125 M127:M129 M131:M133 M135:M137 M139:M141 M143:M145 M147:M149 M151:M153 M155:M157 M159:M161 M163:M165 M167:M169 M171:M173 M175:M177 M179:M181 M183:M185 M187:M189 M191:M193 M195:M197 M199:M201 M203:M205 M207:M209">
    <cfRule dxfId="1" operator="lessThan" priority="525" type="cellIs">
      <formula>0</formula>
    </cfRule>
    <cfRule dxfId="0" operator="greaterThanOrEqual" priority="526" type="cellIs">
      <formula>0</formula>
    </cfRule>
  </conditionalFormatting>
  <conditionalFormatting sqref="M2:M5">
    <cfRule dxfId="1" operator="lessThan" priority="527" type="cellIs">
      <formula>0</formula>
    </cfRule>
    <cfRule dxfId="0" operator="greaterThanOrEqual" priority="528" type="cellIs">
      <formula>0</formula>
    </cfRule>
  </conditionalFormatting>
  <conditionalFormatting sqref="M7:M9">
    <cfRule dxfId="1" operator="lessThan" priority="529" type="cellIs">
      <formula>0</formula>
    </cfRule>
    <cfRule dxfId="0" operator="greaterThanOrEqual" priority="530" type="cellIs">
      <formula>0</formula>
    </cfRule>
  </conditionalFormatting>
  <conditionalFormatting sqref="M210">
    <cfRule dxfId="1" operator="lessThan" priority="523" type="cellIs">
      <formula>0</formula>
    </cfRule>
    <cfRule dxfId="0" operator="greaterThanOrEqual" priority="524" type="cellIs">
      <formula>0</formula>
    </cfRule>
  </conditionalFormatting>
  <conditionalFormatting sqref="J6">
    <cfRule dxfId="1" operator="lessThan" priority="501" type="cellIs">
      <formula>0</formula>
    </cfRule>
    <cfRule dxfId="0" operator="greaterThanOrEqual" priority="502" type="cellIs">
      <formula>0</formula>
    </cfRule>
  </conditionalFormatting>
  <conditionalFormatting sqref="AB6">
    <cfRule dxfId="1" operator="lessThan" priority="503" type="cellIs">
      <formula>0</formula>
    </cfRule>
    <cfRule dxfId="0" operator="greaterThanOrEqual" priority="504" type="cellIs">
      <formula>0</formula>
    </cfRule>
  </conditionalFormatting>
  <conditionalFormatting sqref="AE6">
    <cfRule dxfId="1" operator="lessThan" priority="499" type="cellIs">
      <formula>0</formula>
    </cfRule>
    <cfRule dxfId="0" operator="greaterThanOrEqual" priority="500" type="cellIs">
      <formula>0</formula>
    </cfRule>
  </conditionalFormatting>
  <conditionalFormatting sqref="Y6">
    <cfRule dxfId="1" operator="lessThan" priority="497" type="cellIs">
      <formula>0</formula>
    </cfRule>
    <cfRule dxfId="0" operator="greaterThanOrEqual" priority="498" type="cellIs">
      <formula>0</formula>
    </cfRule>
  </conditionalFormatting>
  <conditionalFormatting sqref="S6">
    <cfRule dxfId="1" operator="lessThan" priority="495" type="cellIs">
      <formula>0</formula>
    </cfRule>
    <cfRule dxfId="0" operator="greaterThanOrEqual" priority="496" type="cellIs">
      <formula>0</formula>
    </cfRule>
  </conditionalFormatting>
  <conditionalFormatting sqref="P6">
    <cfRule dxfId="1" operator="lessThan" priority="493" type="cellIs">
      <formula>0</formula>
    </cfRule>
    <cfRule dxfId="0" operator="greaterThanOrEqual" priority="494" type="cellIs">
      <formula>0</formula>
    </cfRule>
  </conditionalFormatting>
  <conditionalFormatting sqref="G6">
    <cfRule dxfId="1" operator="lessThan" priority="491" type="cellIs">
      <formula>0</formula>
    </cfRule>
    <cfRule dxfId="0" operator="greaterThanOrEqual" priority="492" type="cellIs">
      <formula>0</formula>
    </cfRule>
  </conditionalFormatting>
  <conditionalFormatting sqref="V6">
    <cfRule dxfId="1" operator="lessThan" priority="489" type="cellIs">
      <formula>0</formula>
    </cfRule>
    <cfRule dxfId="0" operator="greaterThanOrEqual" priority="490" type="cellIs">
      <formula>0</formula>
    </cfRule>
  </conditionalFormatting>
  <conditionalFormatting sqref="M6">
    <cfRule dxfId="1" operator="lessThan" priority="487" type="cellIs">
      <formula>0</formula>
    </cfRule>
    <cfRule dxfId="0" operator="greaterThanOrEqual" priority="488" type="cellIs">
      <formula>0</formula>
    </cfRule>
  </conditionalFormatting>
  <conditionalFormatting sqref="J10">
    <cfRule dxfId="1" operator="lessThan" priority="483" type="cellIs">
      <formula>0</formula>
    </cfRule>
    <cfRule dxfId="0" operator="greaterThanOrEqual" priority="484" type="cellIs">
      <formula>0</formula>
    </cfRule>
  </conditionalFormatting>
  <conditionalFormatting sqref="AB10">
    <cfRule dxfId="1" operator="lessThan" priority="485" type="cellIs">
      <formula>0</formula>
    </cfRule>
    <cfRule dxfId="0" operator="greaterThanOrEqual" priority="486" type="cellIs">
      <formula>0</formula>
    </cfRule>
  </conditionalFormatting>
  <conditionalFormatting sqref="AE10">
    <cfRule dxfId="1" operator="lessThan" priority="481" type="cellIs">
      <formula>0</formula>
    </cfRule>
    <cfRule dxfId="0" operator="greaterThanOrEqual" priority="482" type="cellIs">
      <formula>0</formula>
    </cfRule>
  </conditionalFormatting>
  <conditionalFormatting sqref="Y10">
    <cfRule dxfId="1" operator="lessThan" priority="479" type="cellIs">
      <formula>0</formula>
    </cfRule>
    <cfRule dxfId="0" operator="greaterThanOrEqual" priority="480" type="cellIs">
      <formula>0</formula>
    </cfRule>
  </conditionalFormatting>
  <conditionalFormatting sqref="S10">
    <cfRule dxfId="1" operator="lessThan" priority="477" type="cellIs">
      <formula>0</formula>
    </cfRule>
    <cfRule dxfId="0" operator="greaterThanOrEqual" priority="478" type="cellIs">
      <formula>0</formula>
    </cfRule>
  </conditionalFormatting>
  <conditionalFormatting sqref="P10">
    <cfRule dxfId="1" operator="lessThan" priority="475" type="cellIs">
      <formula>0</formula>
    </cfRule>
    <cfRule dxfId="0" operator="greaterThanOrEqual" priority="476" type="cellIs">
      <formula>0</formula>
    </cfRule>
  </conditionalFormatting>
  <conditionalFormatting sqref="G10">
    <cfRule dxfId="1" operator="lessThan" priority="473" type="cellIs">
      <formula>0</formula>
    </cfRule>
    <cfRule dxfId="0" operator="greaterThanOrEqual" priority="474" type="cellIs">
      <formula>0</formula>
    </cfRule>
  </conditionalFormatting>
  <conditionalFormatting sqref="V10">
    <cfRule dxfId="1" operator="lessThan" priority="471" type="cellIs">
      <formula>0</formula>
    </cfRule>
    <cfRule dxfId="0" operator="greaterThanOrEqual" priority="472" type="cellIs">
      <formula>0</formula>
    </cfRule>
  </conditionalFormatting>
  <conditionalFormatting sqref="M10">
    <cfRule dxfId="1" operator="lessThan" priority="469" type="cellIs">
      <formula>0</formula>
    </cfRule>
    <cfRule dxfId="0" operator="greaterThanOrEqual" priority="470" type="cellIs">
      <formula>0</formula>
    </cfRule>
  </conditionalFormatting>
  <conditionalFormatting sqref="J14">
    <cfRule dxfId="1" operator="lessThan" priority="465" type="cellIs">
      <formula>0</formula>
    </cfRule>
    <cfRule dxfId="0" operator="greaterThanOrEqual" priority="466" type="cellIs">
      <formula>0</formula>
    </cfRule>
  </conditionalFormatting>
  <conditionalFormatting sqref="AB14">
    <cfRule dxfId="1" operator="lessThan" priority="467" type="cellIs">
      <formula>0</formula>
    </cfRule>
    <cfRule dxfId="0" operator="greaterThanOrEqual" priority="468" type="cellIs">
      <formula>0</formula>
    </cfRule>
  </conditionalFormatting>
  <conditionalFormatting sqref="AE14">
    <cfRule dxfId="1" operator="lessThan" priority="463" type="cellIs">
      <formula>0</formula>
    </cfRule>
    <cfRule dxfId="0" operator="greaterThanOrEqual" priority="464" type="cellIs">
      <formula>0</formula>
    </cfRule>
  </conditionalFormatting>
  <conditionalFormatting sqref="Y14">
    <cfRule dxfId="1" operator="lessThan" priority="461" type="cellIs">
      <formula>0</formula>
    </cfRule>
    <cfRule dxfId="0" operator="greaterThanOrEqual" priority="462" type="cellIs">
      <formula>0</formula>
    </cfRule>
  </conditionalFormatting>
  <conditionalFormatting sqref="S14">
    <cfRule dxfId="1" operator="lessThan" priority="459" type="cellIs">
      <formula>0</formula>
    </cfRule>
    <cfRule dxfId="0" operator="greaterThanOrEqual" priority="460" type="cellIs">
      <formula>0</formula>
    </cfRule>
  </conditionalFormatting>
  <conditionalFormatting sqref="P14">
    <cfRule dxfId="1" operator="lessThan" priority="457" type="cellIs">
      <formula>0</formula>
    </cfRule>
    <cfRule dxfId="0" operator="greaterThanOrEqual" priority="458" type="cellIs">
      <formula>0</formula>
    </cfRule>
  </conditionalFormatting>
  <conditionalFormatting sqref="G14">
    <cfRule dxfId="1" operator="lessThan" priority="455" type="cellIs">
      <formula>0</formula>
    </cfRule>
    <cfRule dxfId="0" operator="greaterThanOrEqual" priority="456" type="cellIs">
      <formula>0</formula>
    </cfRule>
  </conditionalFormatting>
  <conditionalFormatting sqref="V14">
    <cfRule dxfId="1" operator="lessThan" priority="453" type="cellIs">
      <formula>0</formula>
    </cfRule>
    <cfRule dxfId="0" operator="greaterThanOrEqual" priority="454" type="cellIs">
      <formula>0</formula>
    </cfRule>
  </conditionalFormatting>
  <conditionalFormatting sqref="M14">
    <cfRule dxfId="1" operator="lessThan" priority="451" type="cellIs">
      <formula>0</formula>
    </cfRule>
    <cfRule dxfId="0" operator="greaterThanOrEqual" priority="452" type="cellIs">
      <formula>0</formula>
    </cfRule>
  </conditionalFormatting>
  <conditionalFormatting sqref="J18">
    <cfRule dxfId="1" operator="lessThan" priority="447" type="cellIs">
      <formula>0</formula>
    </cfRule>
    <cfRule dxfId="0" operator="greaterThanOrEqual" priority="448" type="cellIs">
      <formula>0</formula>
    </cfRule>
  </conditionalFormatting>
  <conditionalFormatting sqref="AB18">
    <cfRule dxfId="1" operator="lessThan" priority="449" type="cellIs">
      <formula>0</formula>
    </cfRule>
    <cfRule dxfId="0" operator="greaterThanOrEqual" priority="450" type="cellIs">
      <formula>0</formula>
    </cfRule>
  </conditionalFormatting>
  <conditionalFormatting sqref="AE18">
    <cfRule dxfId="1" operator="lessThan" priority="445" type="cellIs">
      <formula>0</formula>
    </cfRule>
    <cfRule dxfId="0" operator="greaterThanOrEqual" priority="446" type="cellIs">
      <formula>0</formula>
    </cfRule>
  </conditionalFormatting>
  <conditionalFormatting sqref="Y18">
    <cfRule dxfId="1" operator="lessThan" priority="443" type="cellIs">
      <formula>0</formula>
    </cfRule>
    <cfRule dxfId="0" operator="greaterThanOrEqual" priority="444" type="cellIs">
      <formula>0</formula>
    </cfRule>
  </conditionalFormatting>
  <conditionalFormatting sqref="S18">
    <cfRule dxfId="1" operator="lessThan" priority="441" type="cellIs">
      <formula>0</formula>
    </cfRule>
    <cfRule dxfId="0" operator="greaterThanOrEqual" priority="442" type="cellIs">
      <formula>0</formula>
    </cfRule>
  </conditionalFormatting>
  <conditionalFormatting sqref="P18">
    <cfRule dxfId="1" operator="lessThan" priority="439" type="cellIs">
      <formula>0</formula>
    </cfRule>
    <cfRule dxfId="0" operator="greaterThanOrEqual" priority="440" type="cellIs">
      <formula>0</formula>
    </cfRule>
  </conditionalFormatting>
  <conditionalFormatting sqref="G18">
    <cfRule dxfId="1" operator="lessThan" priority="437" type="cellIs">
      <formula>0</formula>
    </cfRule>
    <cfRule dxfId="0" operator="greaterThanOrEqual" priority="438" type="cellIs">
      <formula>0</formula>
    </cfRule>
  </conditionalFormatting>
  <conditionalFormatting sqref="V18">
    <cfRule dxfId="1" operator="lessThan" priority="435" type="cellIs">
      <formula>0</formula>
    </cfRule>
    <cfRule dxfId="0" operator="greaterThanOrEqual" priority="436" type="cellIs">
      <formula>0</formula>
    </cfRule>
  </conditionalFormatting>
  <conditionalFormatting sqref="M18">
    <cfRule dxfId="1" operator="lessThan" priority="433" type="cellIs">
      <formula>0</formula>
    </cfRule>
    <cfRule dxfId="0" operator="greaterThanOrEqual" priority="434" type="cellIs">
      <formula>0</formula>
    </cfRule>
  </conditionalFormatting>
  <conditionalFormatting sqref="J22">
    <cfRule dxfId="1" operator="lessThan" priority="429" type="cellIs">
      <formula>0</formula>
    </cfRule>
    <cfRule dxfId="0" operator="greaterThanOrEqual" priority="430" type="cellIs">
      <formula>0</formula>
    </cfRule>
  </conditionalFormatting>
  <conditionalFormatting sqref="AB22">
    <cfRule dxfId="1" operator="lessThan" priority="431" type="cellIs">
      <formula>0</formula>
    </cfRule>
    <cfRule dxfId="0" operator="greaterThanOrEqual" priority="432" type="cellIs">
      <formula>0</formula>
    </cfRule>
  </conditionalFormatting>
  <conditionalFormatting sqref="AE22">
    <cfRule dxfId="1" operator="lessThan" priority="427" type="cellIs">
      <formula>0</formula>
    </cfRule>
    <cfRule dxfId="0" operator="greaterThanOrEqual" priority="428" type="cellIs">
      <formula>0</formula>
    </cfRule>
  </conditionalFormatting>
  <conditionalFormatting sqref="Y22">
    <cfRule dxfId="1" operator="lessThan" priority="425" type="cellIs">
      <formula>0</formula>
    </cfRule>
    <cfRule dxfId="0" operator="greaterThanOrEqual" priority="426" type="cellIs">
      <formula>0</formula>
    </cfRule>
  </conditionalFormatting>
  <conditionalFormatting sqref="S22">
    <cfRule dxfId="1" operator="lessThan" priority="423" type="cellIs">
      <formula>0</formula>
    </cfRule>
    <cfRule dxfId="0" operator="greaterThanOrEqual" priority="424" type="cellIs">
      <formula>0</formula>
    </cfRule>
  </conditionalFormatting>
  <conditionalFormatting sqref="P22">
    <cfRule dxfId="1" operator="lessThan" priority="421" type="cellIs">
      <formula>0</formula>
    </cfRule>
    <cfRule dxfId="0" operator="greaterThanOrEqual" priority="422" type="cellIs">
      <formula>0</formula>
    </cfRule>
  </conditionalFormatting>
  <conditionalFormatting sqref="G22">
    <cfRule dxfId="1" operator="lessThan" priority="419" type="cellIs">
      <formula>0</formula>
    </cfRule>
    <cfRule dxfId="0" operator="greaterThanOrEqual" priority="420" type="cellIs">
      <formula>0</formula>
    </cfRule>
  </conditionalFormatting>
  <conditionalFormatting sqref="V22">
    <cfRule dxfId="1" operator="lessThan" priority="417" type="cellIs">
      <formula>0</formula>
    </cfRule>
    <cfRule dxfId="0" operator="greaterThanOrEqual" priority="418" type="cellIs">
      <formula>0</formula>
    </cfRule>
  </conditionalFormatting>
  <conditionalFormatting sqref="M22">
    <cfRule dxfId="1" operator="lessThan" priority="415" type="cellIs">
      <formula>0</formula>
    </cfRule>
    <cfRule dxfId="0" operator="greaterThanOrEqual" priority="416" type="cellIs">
      <formula>0</formula>
    </cfRule>
  </conditionalFormatting>
  <conditionalFormatting sqref="J26">
    <cfRule dxfId="1" operator="lessThan" priority="411" type="cellIs">
      <formula>0</formula>
    </cfRule>
    <cfRule dxfId="0" operator="greaterThanOrEqual" priority="412" type="cellIs">
      <formula>0</formula>
    </cfRule>
  </conditionalFormatting>
  <conditionalFormatting sqref="AB26">
    <cfRule dxfId="1" operator="lessThan" priority="413" type="cellIs">
      <formula>0</formula>
    </cfRule>
    <cfRule dxfId="0" operator="greaterThanOrEqual" priority="414" type="cellIs">
      <formula>0</formula>
    </cfRule>
  </conditionalFormatting>
  <conditionalFormatting sqref="AE26">
    <cfRule dxfId="1" operator="lessThan" priority="409" type="cellIs">
      <formula>0</formula>
    </cfRule>
    <cfRule dxfId="0" operator="greaterThanOrEqual" priority="410" type="cellIs">
      <formula>0</formula>
    </cfRule>
  </conditionalFormatting>
  <conditionalFormatting sqref="Y26">
    <cfRule dxfId="1" operator="lessThan" priority="407" type="cellIs">
      <formula>0</formula>
    </cfRule>
    <cfRule dxfId="0" operator="greaterThanOrEqual" priority="408" type="cellIs">
      <formula>0</formula>
    </cfRule>
  </conditionalFormatting>
  <conditionalFormatting sqref="S26">
    <cfRule dxfId="1" operator="lessThan" priority="405" type="cellIs">
      <formula>0</formula>
    </cfRule>
    <cfRule dxfId="0" operator="greaterThanOrEqual" priority="406" type="cellIs">
      <formula>0</formula>
    </cfRule>
  </conditionalFormatting>
  <conditionalFormatting sqref="P26">
    <cfRule dxfId="1" operator="lessThan" priority="403" type="cellIs">
      <formula>0</formula>
    </cfRule>
    <cfRule dxfId="0" operator="greaterThanOrEqual" priority="404" type="cellIs">
      <formula>0</formula>
    </cfRule>
  </conditionalFormatting>
  <conditionalFormatting sqref="G26">
    <cfRule dxfId="1" operator="lessThan" priority="401" type="cellIs">
      <formula>0</formula>
    </cfRule>
    <cfRule dxfId="0" operator="greaterThanOrEqual" priority="402" type="cellIs">
      <formula>0</formula>
    </cfRule>
  </conditionalFormatting>
  <conditionalFormatting sqref="V26">
    <cfRule dxfId="1" operator="lessThan" priority="399" type="cellIs">
      <formula>0</formula>
    </cfRule>
    <cfRule dxfId="0" operator="greaterThanOrEqual" priority="400" type="cellIs">
      <formula>0</formula>
    </cfRule>
  </conditionalFormatting>
  <conditionalFormatting sqref="M26">
    <cfRule dxfId="1" operator="lessThan" priority="397" type="cellIs">
      <formula>0</formula>
    </cfRule>
    <cfRule dxfId="0" operator="greaterThanOrEqual" priority="398" type="cellIs">
      <formula>0</formula>
    </cfRule>
  </conditionalFormatting>
  <conditionalFormatting sqref="J30">
    <cfRule dxfId="1" operator="lessThan" priority="393" type="cellIs">
      <formula>0</formula>
    </cfRule>
    <cfRule dxfId="0" operator="greaterThanOrEqual" priority="394" type="cellIs">
      <formula>0</formula>
    </cfRule>
  </conditionalFormatting>
  <conditionalFormatting sqref="AB30">
    <cfRule dxfId="1" operator="lessThan" priority="395" type="cellIs">
      <formula>0</formula>
    </cfRule>
    <cfRule dxfId="0" operator="greaterThanOrEqual" priority="396" type="cellIs">
      <formula>0</formula>
    </cfRule>
  </conditionalFormatting>
  <conditionalFormatting sqref="AE30">
    <cfRule dxfId="1" operator="lessThan" priority="391" type="cellIs">
      <formula>0</formula>
    </cfRule>
    <cfRule dxfId="0" operator="greaterThanOrEqual" priority="392" type="cellIs">
      <formula>0</formula>
    </cfRule>
  </conditionalFormatting>
  <conditionalFormatting sqref="Y30">
    <cfRule dxfId="1" operator="lessThan" priority="389" type="cellIs">
      <formula>0</formula>
    </cfRule>
    <cfRule dxfId="0" operator="greaterThanOrEqual" priority="390" type="cellIs">
      <formula>0</formula>
    </cfRule>
  </conditionalFormatting>
  <conditionalFormatting sqref="S30">
    <cfRule dxfId="1" operator="lessThan" priority="387" type="cellIs">
      <formula>0</formula>
    </cfRule>
    <cfRule dxfId="0" operator="greaterThanOrEqual" priority="388" type="cellIs">
      <formula>0</formula>
    </cfRule>
  </conditionalFormatting>
  <conditionalFormatting sqref="P30">
    <cfRule dxfId="1" operator="lessThan" priority="385" type="cellIs">
      <formula>0</formula>
    </cfRule>
    <cfRule dxfId="0" operator="greaterThanOrEqual" priority="386" type="cellIs">
      <formula>0</formula>
    </cfRule>
  </conditionalFormatting>
  <conditionalFormatting sqref="G30">
    <cfRule dxfId="1" operator="lessThan" priority="383" type="cellIs">
      <formula>0</formula>
    </cfRule>
    <cfRule dxfId="0" operator="greaterThanOrEqual" priority="384" type="cellIs">
      <formula>0</formula>
    </cfRule>
  </conditionalFormatting>
  <conditionalFormatting sqref="V30">
    <cfRule dxfId="1" operator="lessThan" priority="381" type="cellIs">
      <formula>0</formula>
    </cfRule>
    <cfRule dxfId="0" operator="greaterThanOrEqual" priority="382" type="cellIs">
      <formula>0</formula>
    </cfRule>
  </conditionalFormatting>
  <conditionalFormatting sqref="M30">
    <cfRule dxfId="1" operator="lessThan" priority="379" type="cellIs">
      <formula>0</formula>
    </cfRule>
    <cfRule dxfId="0" operator="greaterThanOrEqual" priority="380" type="cellIs">
      <formula>0</formula>
    </cfRule>
  </conditionalFormatting>
  <conditionalFormatting sqref="J34">
    <cfRule dxfId="1" operator="lessThan" priority="375" type="cellIs">
      <formula>0</formula>
    </cfRule>
    <cfRule dxfId="0" operator="greaterThanOrEqual" priority="376" type="cellIs">
      <formula>0</formula>
    </cfRule>
  </conditionalFormatting>
  <conditionalFormatting sqref="AB34">
    <cfRule dxfId="1" operator="lessThan" priority="377" type="cellIs">
      <formula>0</formula>
    </cfRule>
    <cfRule dxfId="0" operator="greaterThanOrEqual" priority="378" type="cellIs">
      <formula>0</formula>
    </cfRule>
  </conditionalFormatting>
  <conditionalFormatting sqref="AE34">
    <cfRule dxfId="1" operator="lessThan" priority="373" type="cellIs">
      <formula>0</formula>
    </cfRule>
    <cfRule dxfId="0" operator="greaterThanOrEqual" priority="374" type="cellIs">
      <formula>0</formula>
    </cfRule>
  </conditionalFormatting>
  <conditionalFormatting sqref="Y34">
    <cfRule dxfId="1" operator="lessThan" priority="371" type="cellIs">
      <formula>0</formula>
    </cfRule>
    <cfRule dxfId="0" operator="greaterThanOrEqual" priority="372" type="cellIs">
      <formula>0</formula>
    </cfRule>
  </conditionalFormatting>
  <conditionalFormatting sqref="S34">
    <cfRule dxfId="1" operator="lessThan" priority="369" type="cellIs">
      <formula>0</formula>
    </cfRule>
    <cfRule dxfId="0" operator="greaterThanOrEqual" priority="370" type="cellIs">
      <formula>0</formula>
    </cfRule>
  </conditionalFormatting>
  <conditionalFormatting sqref="P34">
    <cfRule dxfId="1" operator="lessThan" priority="367" type="cellIs">
      <formula>0</formula>
    </cfRule>
    <cfRule dxfId="0" operator="greaterThanOrEqual" priority="368" type="cellIs">
      <formula>0</formula>
    </cfRule>
  </conditionalFormatting>
  <conditionalFormatting sqref="G34">
    <cfRule dxfId="1" operator="lessThan" priority="365" type="cellIs">
      <formula>0</formula>
    </cfRule>
    <cfRule dxfId="0" operator="greaterThanOrEqual" priority="366" type="cellIs">
      <formula>0</formula>
    </cfRule>
  </conditionalFormatting>
  <conditionalFormatting sqref="V34">
    <cfRule dxfId="1" operator="lessThan" priority="363" type="cellIs">
      <formula>0</formula>
    </cfRule>
    <cfRule dxfId="0" operator="greaterThanOrEqual" priority="364" type="cellIs">
      <formula>0</formula>
    </cfRule>
  </conditionalFormatting>
  <conditionalFormatting sqref="M34">
    <cfRule dxfId="1" operator="lessThan" priority="361" type="cellIs">
      <formula>0</formula>
    </cfRule>
    <cfRule dxfId="0" operator="greaterThanOrEqual" priority="362" type="cellIs">
      <formula>0</formula>
    </cfRule>
  </conditionalFormatting>
  <conditionalFormatting sqref="J38">
    <cfRule dxfId="1" operator="lessThan" priority="357" type="cellIs">
      <formula>0</formula>
    </cfRule>
    <cfRule dxfId="0" operator="greaterThanOrEqual" priority="358" type="cellIs">
      <formula>0</formula>
    </cfRule>
  </conditionalFormatting>
  <conditionalFormatting sqref="AB38">
    <cfRule dxfId="1" operator="lessThan" priority="359" type="cellIs">
      <formula>0</formula>
    </cfRule>
    <cfRule dxfId="0" operator="greaterThanOrEqual" priority="360" type="cellIs">
      <formula>0</formula>
    </cfRule>
  </conditionalFormatting>
  <conditionalFormatting sqref="AE38">
    <cfRule dxfId="1" operator="lessThan" priority="355" type="cellIs">
      <formula>0</formula>
    </cfRule>
    <cfRule dxfId="0" operator="greaterThanOrEqual" priority="356" type="cellIs">
      <formula>0</formula>
    </cfRule>
  </conditionalFormatting>
  <conditionalFormatting sqref="Y38">
    <cfRule dxfId="1" operator="lessThan" priority="353" type="cellIs">
      <formula>0</formula>
    </cfRule>
    <cfRule dxfId="0" operator="greaterThanOrEqual" priority="354" type="cellIs">
      <formula>0</formula>
    </cfRule>
  </conditionalFormatting>
  <conditionalFormatting sqref="S38">
    <cfRule dxfId="1" operator="lessThan" priority="351" type="cellIs">
      <formula>0</formula>
    </cfRule>
    <cfRule dxfId="0" operator="greaterThanOrEqual" priority="352" type="cellIs">
      <formula>0</formula>
    </cfRule>
  </conditionalFormatting>
  <conditionalFormatting sqref="P38">
    <cfRule dxfId="1" operator="lessThan" priority="349" type="cellIs">
      <formula>0</formula>
    </cfRule>
    <cfRule dxfId="0" operator="greaterThanOrEqual" priority="350" type="cellIs">
      <formula>0</formula>
    </cfRule>
  </conditionalFormatting>
  <conditionalFormatting sqref="G38">
    <cfRule dxfId="1" operator="lessThan" priority="347" type="cellIs">
      <formula>0</formula>
    </cfRule>
    <cfRule dxfId="0" operator="greaterThanOrEqual" priority="348" type="cellIs">
      <formula>0</formula>
    </cfRule>
  </conditionalFormatting>
  <conditionalFormatting sqref="V38">
    <cfRule dxfId="1" operator="lessThan" priority="345" type="cellIs">
      <formula>0</formula>
    </cfRule>
    <cfRule dxfId="0" operator="greaterThanOrEqual" priority="346" type="cellIs">
      <formula>0</formula>
    </cfRule>
  </conditionalFormatting>
  <conditionalFormatting sqref="M38">
    <cfRule dxfId="1" operator="lessThan" priority="343" type="cellIs">
      <formula>0</formula>
    </cfRule>
    <cfRule dxfId="0" operator="greaterThanOrEqual" priority="344" type="cellIs">
      <formula>0</formula>
    </cfRule>
  </conditionalFormatting>
  <conditionalFormatting sqref="J42">
    <cfRule dxfId="1" operator="lessThan" priority="339" type="cellIs">
      <formula>0</formula>
    </cfRule>
    <cfRule dxfId="0" operator="greaterThanOrEqual" priority="340" type="cellIs">
      <formula>0</formula>
    </cfRule>
  </conditionalFormatting>
  <conditionalFormatting sqref="AB42">
    <cfRule dxfId="1" operator="lessThan" priority="341" type="cellIs">
      <formula>0</formula>
    </cfRule>
    <cfRule dxfId="0" operator="greaterThanOrEqual" priority="342" type="cellIs">
      <formula>0</formula>
    </cfRule>
  </conditionalFormatting>
  <conditionalFormatting sqref="AE42">
    <cfRule dxfId="1" operator="lessThan" priority="337" type="cellIs">
      <formula>0</formula>
    </cfRule>
    <cfRule dxfId="0" operator="greaterThanOrEqual" priority="338" type="cellIs">
      <formula>0</formula>
    </cfRule>
  </conditionalFormatting>
  <conditionalFormatting sqref="Y42">
    <cfRule dxfId="1" operator="lessThan" priority="335" type="cellIs">
      <formula>0</formula>
    </cfRule>
    <cfRule dxfId="0" operator="greaterThanOrEqual" priority="336" type="cellIs">
      <formula>0</formula>
    </cfRule>
  </conditionalFormatting>
  <conditionalFormatting sqref="S42">
    <cfRule dxfId="1" operator="lessThan" priority="333" type="cellIs">
      <formula>0</formula>
    </cfRule>
    <cfRule dxfId="0" operator="greaterThanOrEqual" priority="334" type="cellIs">
      <formula>0</formula>
    </cfRule>
  </conditionalFormatting>
  <conditionalFormatting sqref="P42">
    <cfRule dxfId="1" operator="lessThan" priority="331" type="cellIs">
      <formula>0</formula>
    </cfRule>
    <cfRule dxfId="0" operator="greaterThanOrEqual" priority="332" type="cellIs">
      <formula>0</formula>
    </cfRule>
  </conditionalFormatting>
  <conditionalFormatting sqref="G42">
    <cfRule dxfId="1" operator="lessThan" priority="329" type="cellIs">
      <formula>0</formula>
    </cfRule>
    <cfRule dxfId="0" operator="greaterThanOrEqual" priority="330" type="cellIs">
      <formula>0</formula>
    </cfRule>
  </conditionalFormatting>
  <conditionalFormatting sqref="V42">
    <cfRule dxfId="1" operator="lessThan" priority="327" type="cellIs">
      <formula>0</formula>
    </cfRule>
    <cfRule dxfId="0" operator="greaterThanOrEqual" priority="328" type="cellIs">
      <formula>0</formula>
    </cfRule>
  </conditionalFormatting>
  <conditionalFormatting sqref="M42">
    <cfRule dxfId="1" operator="lessThan" priority="325" type="cellIs">
      <formula>0</formula>
    </cfRule>
    <cfRule dxfId="0" operator="greaterThanOrEqual" priority="326" type="cellIs">
      <formula>0</formula>
    </cfRule>
  </conditionalFormatting>
  <conditionalFormatting sqref="J46">
    <cfRule dxfId="1" operator="lessThan" priority="321" type="cellIs">
      <formula>0</formula>
    </cfRule>
    <cfRule dxfId="0" operator="greaterThanOrEqual" priority="322" type="cellIs">
      <formula>0</formula>
    </cfRule>
  </conditionalFormatting>
  <conditionalFormatting sqref="AB46">
    <cfRule dxfId="1" operator="lessThan" priority="323" type="cellIs">
      <formula>0</formula>
    </cfRule>
    <cfRule dxfId="0" operator="greaterThanOrEqual" priority="324" type="cellIs">
      <formula>0</formula>
    </cfRule>
  </conditionalFormatting>
  <conditionalFormatting sqref="AE46">
    <cfRule dxfId="1" operator="lessThan" priority="319" type="cellIs">
      <formula>0</formula>
    </cfRule>
    <cfRule dxfId="0" operator="greaterThanOrEqual" priority="320" type="cellIs">
      <formula>0</formula>
    </cfRule>
  </conditionalFormatting>
  <conditionalFormatting sqref="Y46">
    <cfRule dxfId="1" operator="lessThan" priority="317" type="cellIs">
      <formula>0</formula>
    </cfRule>
    <cfRule dxfId="0" operator="greaterThanOrEqual" priority="318" type="cellIs">
      <formula>0</formula>
    </cfRule>
  </conditionalFormatting>
  <conditionalFormatting sqref="S46">
    <cfRule dxfId="1" operator="lessThan" priority="315" type="cellIs">
      <formula>0</formula>
    </cfRule>
    <cfRule dxfId="0" operator="greaterThanOrEqual" priority="316" type="cellIs">
      <formula>0</formula>
    </cfRule>
  </conditionalFormatting>
  <conditionalFormatting sqref="P46">
    <cfRule dxfId="1" operator="lessThan" priority="313" type="cellIs">
      <formula>0</formula>
    </cfRule>
    <cfRule dxfId="0" operator="greaterThanOrEqual" priority="314" type="cellIs">
      <formula>0</formula>
    </cfRule>
  </conditionalFormatting>
  <conditionalFormatting sqref="G46">
    <cfRule dxfId="1" operator="lessThan" priority="311" type="cellIs">
      <formula>0</formula>
    </cfRule>
    <cfRule dxfId="0" operator="greaterThanOrEqual" priority="312" type="cellIs">
      <formula>0</formula>
    </cfRule>
  </conditionalFormatting>
  <conditionalFormatting sqref="V46">
    <cfRule dxfId="1" operator="lessThan" priority="309" type="cellIs">
      <formula>0</formula>
    </cfRule>
    <cfRule dxfId="0" operator="greaterThanOrEqual" priority="310" type="cellIs">
      <formula>0</formula>
    </cfRule>
  </conditionalFormatting>
  <conditionalFormatting sqref="M46">
    <cfRule dxfId="1" operator="lessThan" priority="307" type="cellIs">
      <formula>0</formula>
    </cfRule>
    <cfRule dxfId="0" operator="greaterThanOrEqual" priority="308" type="cellIs">
      <formula>0</formula>
    </cfRule>
  </conditionalFormatting>
  <conditionalFormatting sqref="J50">
    <cfRule dxfId="1" operator="lessThan" priority="303" type="cellIs">
      <formula>0</formula>
    </cfRule>
    <cfRule dxfId="0" operator="greaterThanOrEqual" priority="304" type="cellIs">
      <formula>0</formula>
    </cfRule>
  </conditionalFormatting>
  <conditionalFormatting sqref="AB50">
    <cfRule dxfId="1" operator="lessThan" priority="305" type="cellIs">
      <formula>0</formula>
    </cfRule>
    <cfRule dxfId="0" operator="greaterThanOrEqual" priority="306" type="cellIs">
      <formula>0</formula>
    </cfRule>
  </conditionalFormatting>
  <conditionalFormatting sqref="AE50">
    <cfRule dxfId="1" operator="lessThan" priority="301" type="cellIs">
      <formula>0</formula>
    </cfRule>
    <cfRule dxfId="0" operator="greaterThanOrEqual" priority="302" type="cellIs">
      <formula>0</formula>
    </cfRule>
  </conditionalFormatting>
  <conditionalFormatting sqref="Y50">
    <cfRule dxfId="1" operator="lessThan" priority="299" type="cellIs">
      <formula>0</formula>
    </cfRule>
    <cfRule dxfId="0" operator="greaterThanOrEqual" priority="300" type="cellIs">
      <formula>0</formula>
    </cfRule>
  </conditionalFormatting>
  <conditionalFormatting sqref="S50">
    <cfRule dxfId="1" operator="lessThan" priority="297" type="cellIs">
      <formula>0</formula>
    </cfRule>
    <cfRule dxfId="0" operator="greaterThanOrEqual" priority="298" type="cellIs">
      <formula>0</formula>
    </cfRule>
  </conditionalFormatting>
  <conditionalFormatting sqref="P50">
    <cfRule dxfId="1" operator="lessThan" priority="295" type="cellIs">
      <formula>0</formula>
    </cfRule>
    <cfRule dxfId="0" operator="greaterThanOrEqual" priority="296" type="cellIs">
      <formula>0</formula>
    </cfRule>
  </conditionalFormatting>
  <conditionalFormatting sqref="G50">
    <cfRule dxfId="1" operator="lessThan" priority="293" type="cellIs">
      <formula>0</formula>
    </cfRule>
    <cfRule dxfId="0" operator="greaterThanOrEqual" priority="294" type="cellIs">
      <formula>0</formula>
    </cfRule>
  </conditionalFormatting>
  <conditionalFormatting sqref="V50">
    <cfRule dxfId="1" operator="lessThan" priority="291" type="cellIs">
      <formula>0</formula>
    </cfRule>
    <cfRule dxfId="0" operator="greaterThanOrEqual" priority="292" type="cellIs">
      <formula>0</formula>
    </cfRule>
  </conditionalFormatting>
  <conditionalFormatting sqref="M50">
    <cfRule dxfId="1" operator="lessThan" priority="289" type="cellIs">
      <formula>0</formula>
    </cfRule>
    <cfRule dxfId="0" operator="greaterThanOrEqual" priority="290" type="cellIs">
      <formula>0</formula>
    </cfRule>
  </conditionalFormatting>
  <conditionalFormatting sqref="J54">
    <cfRule dxfId="1" operator="lessThan" priority="285" type="cellIs">
      <formula>0</formula>
    </cfRule>
    <cfRule dxfId="0" operator="greaterThanOrEqual" priority="286" type="cellIs">
      <formula>0</formula>
    </cfRule>
  </conditionalFormatting>
  <conditionalFormatting sqref="AB54">
    <cfRule dxfId="1" operator="lessThan" priority="287" type="cellIs">
      <formula>0</formula>
    </cfRule>
    <cfRule dxfId="0" operator="greaterThanOrEqual" priority="288" type="cellIs">
      <formula>0</formula>
    </cfRule>
  </conditionalFormatting>
  <conditionalFormatting sqref="AE54">
    <cfRule dxfId="1" operator="lessThan" priority="283" type="cellIs">
      <formula>0</formula>
    </cfRule>
    <cfRule dxfId="0" operator="greaterThanOrEqual" priority="284" type="cellIs">
      <formula>0</formula>
    </cfRule>
  </conditionalFormatting>
  <conditionalFormatting sqref="Y54">
    <cfRule dxfId="1" operator="lessThan" priority="281" type="cellIs">
      <formula>0</formula>
    </cfRule>
    <cfRule dxfId="0" operator="greaterThanOrEqual" priority="282" type="cellIs">
      <formula>0</formula>
    </cfRule>
  </conditionalFormatting>
  <conditionalFormatting sqref="S54">
    <cfRule dxfId="1" operator="lessThan" priority="279" type="cellIs">
      <formula>0</formula>
    </cfRule>
    <cfRule dxfId="0" operator="greaterThanOrEqual" priority="280" type="cellIs">
      <formula>0</formula>
    </cfRule>
  </conditionalFormatting>
  <conditionalFormatting sqref="P54">
    <cfRule dxfId="1" operator="lessThan" priority="277" type="cellIs">
      <formula>0</formula>
    </cfRule>
    <cfRule dxfId="0" operator="greaterThanOrEqual" priority="278" type="cellIs">
      <formula>0</formula>
    </cfRule>
  </conditionalFormatting>
  <conditionalFormatting sqref="G54">
    <cfRule dxfId="1" operator="lessThan" priority="275" type="cellIs">
      <formula>0</formula>
    </cfRule>
    <cfRule dxfId="0" operator="greaterThanOrEqual" priority="276" type="cellIs">
      <formula>0</formula>
    </cfRule>
  </conditionalFormatting>
  <conditionalFormatting sqref="V54">
    <cfRule dxfId="1" operator="lessThan" priority="273" type="cellIs">
      <formula>0</formula>
    </cfRule>
    <cfRule dxfId="0" operator="greaterThanOrEqual" priority="274" type="cellIs">
      <formula>0</formula>
    </cfRule>
  </conditionalFormatting>
  <conditionalFormatting sqref="M54">
    <cfRule dxfId="1" operator="lessThan" priority="271" type="cellIs">
      <formula>0</formula>
    </cfRule>
    <cfRule dxfId="0" operator="greaterThanOrEqual" priority="272" type="cellIs">
      <formula>0</formula>
    </cfRule>
  </conditionalFormatting>
  <conditionalFormatting sqref="J58">
    <cfRule dxfId="1" operator="lessThan" priority="267" type="cellIs">
      <formula>0</formula>
    </cfRule>
    <cfRule dxfId="0" operator="greaterThanOrEqual" priority="268" type="cellIs">
      <formula>0</formula>
    </cfRule>
  </conditionalFormatting>
  <conditionalFormatting sqref="AB58">
    <cfRule dxfId="1" operator="lessThan" priority="269" type="cellIs">
      <formula>0</formula>
    </cfRule>
    <cfRule dxfId="0" operator="greaterThanOrEqual" priority="270" type="cellIs">
      <formula>0</formula>
    </cfRule>
  </conditionalFormatting>
  <conditionalFormatting sqref="AE58">
    <cfRule dxfId="1" operator="lessThan" priority="265" type="cellIs">
      <formula>0</formula>
    </cfRule>
    <cfRule dxfId="0" operator="greaterThanOrEqual" priority="266" type="cellIs">
      <formula>0</formula>
    </cfRule>
  </conditionalFormatting>
  <conditionalFormatting sqref="Y58">
    <cfRule dxfId="1" operator="lessThan" priority="263" type="cellIs">
      <formula>0</formula>
    </cfRule>
    <cfRule dxfId="0" operator="greaterThanOrEqual" priority="264" type="cellIs">
      <formula>0</formula>
    </cfRule>
  </conditionalFormatting>
  <conditionalFormatting sqref="S58">
    <cfRule dxfId="1" operator="lessThan" priority="261" type="cellIs">
      <formula>0</formula>
    </cfRule>
    <cfRule dxfId="0" operator="greaterThanOrEqual" priority="262" type="cellIs">
      <formula>0</formula>
    </cfRule>
  </conditionalFormatting>
  <conditionalFormatting sqref="P58">
    <cfRule dxfId="1" operator="lessThan" priority="259" type="cellIs">
      <formula>0</formula>
    </cfRule>
    <cfRule dxfId="0" operator="greaterThanOrEqual" priority="260" type="cellIs">
      <formula>0</formula>
    </cfRule>
  </conditionalFormatting>
  <conditionalFormatting sqref="G58">
    <cfRule dxfId="1" operator="lessThan" priority="257" type="cellIs">
      <formula>0</formula>
    </cfRule>
    <cfRule dxfId="0" operator="greaterThanOrEqual" priority="258" type="cellIs">
      <formula>0</formula>
    </cfRule>
  </conditionalFormatting>
  <conditionalFormatting sqref="V58">
    <cfRule dxfId="1" operator="lessThan" priority="255" type="cellIs">
      <formula>0</formula>
    </cfRule>
    <cfRule dxfId="0" operator="greaterThanOrEqual" priority="256" type="cellIs">
      <formula>0</formula>
    </cfRule>
  </conditionalFormatting>
  <conditionalFormatting sqref="M58">
    <cfRule dxfId="1" operator="lessThan" priority="253" type="cellIs">
      <formula>0</formula>
    </cfRule>
    <cfRule dxfId="0" operator="greaterThanOrEqual" priority="254" type="cellIs">
      <formula>0</formula>
    </cfRule>
  </conditionalFormatting>
  <conditionalFormatting sqref="J62">
    <cfRule dxfId="1" operator="lessThan" priority="249" type="cellIs">
      <formula>0</formula>
    </cfRule>
    <cfRule dxfId="0" operator="greaterThanOrEqual" priority="250" type="cellIs">
      <formula>0</formula>
    </cfRule>
  </conditionalFormatting>
  <conditionalFormatting sqref="AB62">
    <cfRule dxfId="1" operator="lessThan" priority="251" type="cellIs">
      <formula>0</formula>
    </cfRule>
    <cfRule dxfId="0" operator="greaterThanOrEqual" priority="252" type="cellIs">
      <formula>0</formula>
    </cfRule>
  </conditionalFormatting>
  <conditionalFormatting sqref="AE62">
    <cfRule dxfId="1" operator="lessThan" priority="247" type="cellIs">
      <formula>0</formula>
    </cfRule>
    <cfRule dxfId="0" operator="greaterThanOrEqual" priority="248" type="cellIs">
      <formula>0</formula>
    </cfRule>
  </conditionalFormatting>
  <conditionalFormatting sqref="Y62">
    <cfRule dxfId="1" operator="lessThan" priority="245" type="cellIs">
      <formula>0</formula>
    </cfRule>
    <cfRule dxfId="0" operator="greaterThanOrEqual" priority="246" type="cellIs">
      <formula>0</formula>
    </cfRule>
  </conditionalFormatting>
  <conditionalFormatting sqref="S62">
    <cfRule dxfId="1" operator="lessThan" priority="243" type="cellIs">
      <formula>0</formula>
    </cfRule>
    <cfRule dxfId="0" operator="greaterThanOrEqual" priority="244" type="cellIs">
      <formula>0</formula>
    </cfRule>
  </conditionalFormatting>
  <conditionalFormatting sqref="P62">
    <cfRule dxfId="1" operator="lessThan" priority="241" type="cellIs">
      <formula>0</formula>
    </cfRule>
    <cfRule dxfId="0" operator="greaterThanOrEqual" priority="242" type="cellIs">
      <formula>0</formula>
    </cfRule>
  </conditionalFormatting>
  <conditionalFormatting sqref="G62">
    <cfRule dxfId="1" operator="lessThan" priority="239" type="cellIs">
      <formula>0</formula>
    </cfRule>
    <cfRule dxfId="0" operator="greaterThanOrEqual" priority="240" type="cellIs">
      <formula>0</formula>
    </cfRule>
  </conditionalFormatting>
  <conditionalFormatting sqref="V62">
    <cfRule dxfId="1" operator="lessThan" priority="237" type="cellIs">
      <formula>0</formula>
    </cfRule>
    <cfRule dxfId="0" operator="greaterThanOrEqual" priority="238" type="cellIs">
      <formula>0</formula>
    </cfRule>
  </conditionalFormatting>
  <conditionalFormatting sqref="M62">
    <cfRule dxfId="1" operator="lessThan" priority="235" type="cellIs">
      <formula>0</formula>
    </cfRule>
    <cfRule dxfId="0" operator="greaterThanOrEqual" priority="236" type="cellIs">
      <formula>0</formula>
    </cfRule>
  </conditionalFormatting>
  <conditionalFormatting sqref="J66">
    <cfRule dxfId="1" operator="lessThan" priority="231" type="cellIs">
      <formula>0</formula>
    </cfRule>
    <cfRule dxfId="0" operator="greaterThanOrEqual" priority="232" type="cellIs">
      <formula>0</formula>
    </cfRule>
  </conditionalFormatting>
  <conditionalFormatting sqref="AB66">
    <cfRule dxfId="1" operator="lessThan" priority="233" type="cellIs">
      <formula>0</formula>
    </cfRule>
    <cfRule dxfId="0" operator="greaterThanOrEqual" priority="234" type="cellIs">
      <formula>0</formula>
    </cfRule>
  </conditionalFormatting>
  <conditionalFormatting sqref="AE66">
    <cfRule dxfId="1" operator="lessThan" priority="229" type="cellIs">
      <formula>0</formula>
    </cfRule>
    <cfRule dxfId="0" operator="greaterThanOrEqual" priority="230" type="cellIs">
      <formula>0</formula>
    </cfRule>
  </conditionalFormatting>
  <conditionalFormatting sqref="Y66">
    <cfRule dxfId="1" operator="lessThan" priority="227" type="cellIs">
      <formula>0</formula>
    </cfRule>
    <cfRule dxfId="0" operator="greaterThanOrEqual" priority="228" type="cellIs">
      <formula>0</formula>
    </cfRule>
  </conditionalFormatting>
  <conditionalFormatting sqref="S66">
    <cfRule dxfId="1" operator="lessThan" priority="225" type="cellIs">
      <formula>0</formula>
    </cfRule>
    <cfRule dxfId="0" operator="greaterThanOrEqual" priority="226" type="cellIs">
      <formula>0</formula>
    </cfRule>
  </conditionalFormatting>
  <conditionalFormatting sqref="P66">
    <cfRule dxfId="1" operator="lessThan" priority="223" type="cellIs">
      <formula>0</formula>
    </cfRule>
    <cfRule dxfId="0" operator="greaterThanOrEqual" priority="224" type="cellIs">
      <formula>0</formula>
    </cfRule>
  </conditionalFormatting>
  <conditionalFormatting sqref="G66">
    <cfRule dxfId="1" operator="lessThan" priority="221" type="cellIs">
      <formula>0</formula>
    </cfRule>
    <cfRule dxfId="0" operator="greaterThanOrEqual" priority="222" type="cellIs">
      <formula>0</formula>
    </cfRule>
  </conditionalFormatting>
  <conditionalFormatting sqref="V66">
    <cfRule dxfId="1" operator="lessThan" priority="219" type="cellIs">
      <formula>0</formula>
    </cfRule>
    <cfRule dxfId="0" operator="greaterThanOrEqual" priority="220" type="cellIs">
      <formula>0</formula>
    </cfRule>
  </conditionalFormatting>
  <conditionalFormatting sqref="M66">
    <cfRule dxfId="1" operator="lessThan" priority="217" type="cellIs">
      <formula>0</formula>
    </cfRule>
    <cfRule dxfId="0" operator="greaterThanOrEqual" priority="218" type="cellIs">
      <formula>0</formula>
    </cfRule>
  </conditionalFormatting>
  <conditionalFormatting sqref="J70">
    <cfRule dxfId="1" operator="lessThan" priority="213" type="cellIs">
      <formula>0</formula>
    </cfRule>
    <cfRule dxfId="0" operator="greaterThanOrEqual" priority="214" type="cellIs">
      <formula>0</formula>
    </cfRule>
  </conditionalFormatting>
  <conditionalFormatting sqref="AB70">
    <cfRule dxfId="1" operator="lessThan" priority="215" type="cellIs">
      <formula>0</formula>
    </cfRule>
    <cfRule dxfId="0" operator="greaterThanOrEqual" priority="216" type="cellIs">
      <formula>0</formula>
    </cfRule>
  </conditionalFormatting>
  <conditionalFormatting sqref="AE70">
    <cfRule dxfId="1" operator="lessThan" priority="211" type="cellIs">
      <formula>0</formula>
    </cfRule>
    <cfRule dxfId="0" operator="greaterThanOrEqual" priority="212" type="cellIs">
      <formula>0</formula>
    </cfRule>
  </conditionalFormatting>
  <conditionalFormatting sqref="Y70">
    <cfRule dxfId="1" operator="lessThan" priority="209" type="cellIs">
      <formula>0</formula>
    </cfRule>
    <cfRule dxfId="0" operator="greaterThanOrEqual" priority="210" type="cellIs">
      <formula>0</formula>
    </cfRule>
  </conditionalFormatting>
  <conditionalFormatting sqref="S70">
    <cfRule dxfId="1" operator="lessThan" priority="207" type="cellIs">
      <formula>0</formula>
    </cfRule>
    <cfRule dxfId="0" operator="greaterThanOrEqual" priority="208" type="cellIs">
      <formula>0</formula>
    </cfRule>
  </conditionalFormatting>
  <conditionalFormatting sqref="P70">
    <cfRule dxfId="1" operator="lessThan" priority="205" type="cellIs">
      <formula>0</formula>
    </cfRule>
    <cfRule dxfId="0" operator="greaterThanOrEqual" priority="206" type="cellIs">
      <formula>0</formula>
    </cfRule>
  </conditionalFormatting>
  <conditionalFormatting sqref="G70">
    <cfRule dxfId="1" operator="lessThan" priority="203" type="cellIs">
      <formula>0</formula>
    </cfRule>
    <cfRule dxfId="0" operator="greaterThanOrEqual" priority="204" type="cellIs">
      <formula>0</formula>
    </cfRule>
  </conditionalFormatting>
  <conditionalFormatting sqref="V70">
    <cfRule dxfId="1" operator="lessThan" priority="201" type="cellIs">
      <formula>0</formula>
    </cfRule>
    <cfRule dxfId="0" operator="greaterThanOrEqual" priority="202" type="cellIs">
      <formula>0</formula>
    </cfRule>
  </conditionalFormatting>
  <conditionalFormatting sqref="M70">
    <cfRule dxfId="1" operator="lessThan" priority="199" type="cellIs">
      <formula>0</formula>
    </cfRule>
    <cfRule dxfId="0" operator="greaterThanOrEqual" priority="200" type="cellIs">
      <formula>0</formula>
    </cfRule>
  </conditionalFormatting>
  <conditionalFormatting sqref="J74">
    <cfRule dxfId="1" operator="lessThan" priority="195" type="cellIs">
      <formula>0</formula>
    </cfRule>
    <cfRule dxfId="0" operator="greaterThanOrEqual" priority="196" type="cellIs">
      <formula>0</formula>
    </cfRule>
  </conditionalFormatting>
  <conditionalFormatting sqref="AB74">
    <cfRule dxfId="1" operator="lessThan" priority="197" type="cellIs">
      <formula>0</formula>
    </cfRule>
    <cfRule dxfId="0" operator="greaterThanOrEqual" priority="198" type="cellIs">
      <formula>0</formula>
    </cfRule>
  </conditionalFormatting>
  <conditionalFormatting sqref="AE74">
    <cfRule dxfId="1" operator="lessThan" priority="193" type="cellIs">
      <formula>0</formula>
    </cfRule>
    <cfRule dxfId="0" operator="greaterThanOrEqual" priority="194" type="cellIs">
      <formula>0</formula>
    </cfRule>
  </conditionalFormatting>
  <conditionalFormatting sqref="Y74">
    <cfRule dxfId="1" operator="lessThan" priority="191" type="cellIs">
      <formula>0</formula>
    </cfRule>
    <cfRule dxfId="0" operator="greaterThanOrEqual" priority="192" type="cellIs">
      <formula>0</formula>
    </cfRule>
  </conditionalFormatting>
  <conditionalFormatting sqref="S74">
    <cfRule dxfId="1" operator="lessThan" priority="189" type="cellIs">
      <formula>0</formula>
    </cfRule>
    <cfRule dxfId="0" operator="greaterThanOrEqual" priority="190" type="cellIs">
      <formula>0</formula>
    </cfRule>
  </conditionalFormatting>
  <conditionalFormatting sqref="P74">
    <cfRule dxfId="1" operator="lessThan" priority="187" type="cellIs">
      <formula>0</formula>
    </cfRule>
    <cfRule dxfId="0" operator="greaterThanOrEqual" priority="188" type="cellIs">
      <formula>0</formula>
    </cfRule>
  </conditionalFormatting>
  <conditionalFormatting sqref="G74">
    <cfRule dxfId="1" operator="lessThan" priority="185" type="cellIs">
      <formula>0</formula>
    </cfRule>
    <cfRule dxfId="0" operator="greaterThanOrEqual" priority="186" type="cellIs">
      <formula>0</formula>
    </cfRule>
  </conditionalFormatting>
  <conditionalFormatting sqref="V74">
    <cfRule dxfId="1" operator="lessThan" priority="183" type="cellIs">
      <formula>0</formula>
    </cfRule>
    <cfRule dxfId="0" operator="greaterThanOrEqual" priority="184" type="cellIs">
      <formula>0</formula>
    </cfRule>
  </conditionalFormatting>
  <conditionalFormatting sqref="M74">
    <cfRule dxfId="1" operator="lessThan" priority="181" type="cellIs">
      <formula>0</formula>
    </cfRule>
    <cfRule dxfId="0" operator="greaterThanOrEqual" priority="182" type="cellIs">
      <formula>0</formula>
    </cfRule>
  </conditionalFormatting>
  <conditionalFormatting sqref="J78">
    <cfRule dxfId="1" operator="lessThan" priority="177" type="cellIs">
      <formula>0</formula>
    </cfRule>
    <cfRule dxfId="0" operator="greaterThanOrEqual" priority="178" type="cellIs">
      <formula>0</formula>
    </cfRule>
  </conditionalFormatting>
  <conditionalFormatting sqref="AB78">
    <cfRule dxfId="1" operator="lessThan" priority="179" type="cellIs">
      <formula>0</formula>
    </cfRule>
    <cfRule dxfId="0" operator="greaterThanOrEqual" priority="180" type="cellIs">
      <formula>0</formula>
    </cfRule>
  </conditionalFormatting>
  <conditionalFormatting sqref="AE78">
    <cfRule dxfId="1" operator="lessThan" priority="175" type="cellIs">
      <formula>0</formula>
    </cfRule>
    <cfRule dxfId="0" operator="greaterThanOrEqual" priority="176" type="cellIs">
      <formula>0</formula>
    </cfRule>
  </conditionalFormatting>
  <conditionalFormatting sqref="Y78">
    <cfRule dxfId="1" operator="lessThan" priority="173" type="cellIs">
      <formula>0</formula>
    </cfRule>
    <cfRule dxfId="0" operator="greaterThanOrEqual" priority="174" type="cellIs">
      <formula>0</formula>
    </cfRule>
  </conditionalFormatting>
  <conditionalFormatting sqref="S78">
    <cfRule dxfId="1" operator="lessThan" priority="171" type="cellIs">
      <formula>0</formula>
    </cfRule>
    <cfRule dxfId="0" operator="greaterThanOrEqual" priority="172" type="cellIs">
      <formula>0</formula>
    </cfRule>
  </conditionalFormatting>
  <conditionalFormatting sqref="P78">
    <cfRule dxfId="1" operator="lessThan" priority="169" type="cellIs">
      <formula>0</formula>
    </cfRule>
    <cfRule dxfId="0" operator="greaterThanOrEqual" priority="170" type="cellIs">
      <formula>0</formula>
    </cfRule>
  </conditionalFormatting>
  <conditionalFormatting sqref="G78">
    <cfRule dxfId="1" operator="lessThan" priority="167" type="cellIs">
      <formula>0</formula>
    </cfRule>
    <cfRule dxfId="0" operator="greaterThanOrEqual" priority="168" type="cellIs">
      <formula>0</formula>
    </cfRule>
  </conditionalFormatting>
  <conditionalFormatting sqref="V78">
    <cfRule dxfId="1" operator="lessThan" priority="165" type="cellIs">
      <formula>0</formula>
    </cfRule>
    <cfRule dxfId="0" operator="greaterThanOrEqual" priority="166" type="cellIs">
      <formula>0</formula>
    </cfRule>
  </conditionalFormatting>
  <conditionalFormatting sqref="M78">
    <cfRule dxfId="1" operator="lessThan" priority="163" type="cellIs">
      <formula>0</formula>
    </cfRule>
    <cfRule dxfId="0" operator="greaterThanOrEqual" priority="164" type="cellIs">
      <formula>0</formula>
    </cfRule>
  </conditionalFormatting>
  <conditionalFormatting sqref="J82">
    <cfRule dxfId="1" operator="lessThan" priority="159" type="cellIs">
      <formula>0</formula>
    </cfRule>
    <cfRule dxfId="0" operator="greaterThanOrEqual" priority="160" type="cellIs">
      <formula>0</formula>
    </cfRule>
  </conditionalFormatting>
  <conditionalFormatting sqref="AB82">
    <cfRule dxfId="1" operator="lessThan" priority="161" type="cellIs">
      <formula>0</formula>
    </cfRule>
    <cfRule dxfId="0" operator="greaterThanOrEqual" priority="162" type="cellIs">
      <formula>0</formula>
    </cfRule>
  </conditionalFormatting>
  <conditionalFormatting sqref="AE82">
    <cfRule dxfId="1" operator="lessThan" priority="157" type="cellIs">
      <formula>0</formula>
    </cfRule>
    <cfRule dxfId="0" operator="greaterThanOrEqual" priority="158" type="cellIs">
      <formula>0</formula>
    </cfRule>
  </conditionalFormatting>
  <conditionalFormatting sqref="Y82">
    <cfRule dxfId="1" operator="lessThan" priority="155" type="cellIs">
      <formula>0</formula>
    </cfRule>
    <cfRule dxfId="0" operator="greaterThanOrEqual" priority="156" type="cellIs">
      <formula>0</formula>
    </cfRule>
  </conditionalFormatting>
  <conditionalFormatting sqref="S82">
    <cfRule dxfId="1" operator="lessThan" priority="153" type="cellIs">
      <formula>0</formula>
    </cfRule>
    <cfRule dxfId="0" operator="greaterThanOrEqual" priority="154" type="cellIs">
      <formula>0</formula>
    </cfRule>
  </conditionalFormatting>
  <conditionalFormatting sqref="P82">
    <cfRule dxfId="1" operator="lessThan" priority="151" type="cellIs">
      <formula>0</formula>
    </cfRule>
    <cfRule dxfId="0" operator="greaterThanOrEqual" priority="152" type="cellIs">
      <formula>0</formula>
    </cfRule>
  </conditionalFormatting>
  <conditionalFormatting sqref="G82">
    <cfRule dxfId="1" operator="lessThan" priority="149" type="cellIs">
      <formula>0</formula>
    </cfRule>
    <cfRule dxfId="0" operator="greaterThanOrEqual" priority="150" type="cellIs">
      <formula>0</formula>
    </cfRule>
  </conditionalFormatting>
  <conditionalFormatting sqref="V82">
    <cfRule dxfId="1" operator="lessThan" priority="147" type="cellIs">
      <formula>0</formula>
    </cfRule>
    <cfRule dxfId="0" operator="greaterThanOrEqual" priority="148" type="cellIs">
      <formula>0</formula>
    </cfRule>
  </conditionalFormatting>
  <conditionalFormatting sqref="M82">
    <cfRule dxfId="1" operator="lessThan" priority="145" type="cellIs">
      <formula>0</formula>
    </cfRule>
    <cfRule dxfId="0" operator="greaterThanOrEqual" priority="146" type="cellIs">
      <formula>0</formula>
    </cfRule>
  </conditionalFormatting>
  <conditionalFormatting sqref="J86">
    <cfRule dxfId="1" operator="lessThan" priority="141" type="cellIs">
      <formula>0</formula>
    </cfRule>
    <cfRule dxfId="0" operator="greaterThanOrEqual" priority="142" type="cellIs">
      <formula>0</formula>
    </cfRule>
  </conditionalFormatting>
  <conditionalFormatting sqref="AB86">
    <cfRule dxfId="1" operator="lessThan" priority="143" type="cellIs">
      <formula>0</formula>
    </cfRule>
    <cfRule dxfId="0" operator="greaterThanOrEqual" priority="144" type="cellIs">
      <formula>0</formula>
    </cfRule>
  </conditionalFormatting>
  <conditionalFormatting sqref="AE86">
    <cfRule dxfId="1" operator="lessThan" priority="139" type="cellIs">
      <formula>0</formula>
    </cfRule>
    <cfRule dxfId="0" operator="greaterThanOrEqual" priority="140" type="cellIs">
      <formula>0</formula>
    </cfRule>
  </conditionalFormatting>
  <conditionalFormatting sqref="Y86">
    <cfRule dxfId="1" operator="lessThan" priority="137" type="cellIs">
      <formula>0</formula>
    </cfRule>
    <cfRule dxfId="0" operator="greaterThanOrEqual" priority="138" type="cellIs">
      <formula>0</formula>
    </cfRule>
  </conditionalFormatting>
  <conditionalFormatting sqref="S86">
    <cfRule dxfId="1" operator="lessThan" priority="135" type="cellIs">
      <formula>0</formula>
    </cfRule>
    <cfRule dxfId="0" operator="greaterThanOrEqual" priority="136" type="cellIs">
      <formula>0</formula>
    </cfRule>
  </conditionalFormatting>
  <conditionalFormatting sqref="P86">
    <cfRule dxfId="1" operator="lessThan" priority="133" type="cellIs">
      <formula>0</formula>
    </cfRule>
    <cfRule dxfId="0" operator="greaterThanOrEqual" priority="134" type="cellIs">
      <formula>0</formula>
    </cfRule>
  </conditionalFormatting>
  <conditionalFormatting sqref="G86">
    <cfRule dxfId="1" operator="lessThan" priority="131" type="cellIs">
      <formula>0</formula>
    </cfRule>
    <cfRule dxfId="0" operator="greaterThanOrEqual" priority="132" type="cellIs">
      <formula>0</formula>
    </cfRule>
  </conditionalFormatting>
  <conditionalFormatting sqref="V86">
    <cfRule dxfId="1" operator="lessThan" priority="129" type="cellIs">
      <formula>0</formula>
    </cfRule>
    <cfRule dxfId="0" operator="greaterThanOrEqual" priority="130" type="cellIs">
      <formula>0</formula>
    </cfRule>
  </conditionalFormatting>
  <conditionalFormatting sqref="M86">
    <cfRule dxfId="1" operator="lessThan" priority="127" type="cellIs">
      <formula>0</formula>
    </cfRule>
    <cfRule dxfId="0" operator="greaterThanOrEqual" priority="128" type="cellIs">
      <formula>0</formula>
    </cfRule>
  </conditionalFormatting>
  <conditionalFormatting sqref="J90">
    <cfRule dxfId="1" operator="lessThan" priority="123" type="cellIs">
      <formula>0</formula>
    </cfRule>
    <cfRule dxfId="0" operator="greaterThanOrEqual" priority="124" type="cellIs">
      <formula>0</formula>
    </cfRule>
  </conditionalFormatting>
  <conditionalFormatting sqref="AB90">
    <cfRule dxfId="1" operator="lessThan" priority="125" type="cellIs">
      <formula>0</formula>
    </cfRule>
    <cfRule dxfId="0" operator="greaterThanOrEqual" priority="126" type="cellIs">
      <formula>0</formula>
    </cfRule>
  </conditionalFormatting>
  <conditionalFormatting sqref="AE90">
    <cfRule dxfId="1" operator="lessThan" priority="121" type="cellIs">
      <formula>0</formula>
    </cfRule>
    <cfRule dxfId="0" operator="greaterThanOrEqual" priority="122" type="cellIs">
      <formula>0</formula>
    </cfRule>
  </conditionalFormatting>
  <conditionalFormatting sqref="Y90">
    <cfRule dxfId="1" operator="lessThan" priority="119" type="cellIs">
      <formula>0</formula>
    </cfRule>
    <cfRule dxfId="0" operator="greaterThanOrEqual" priority="120" type="cellIs">
      <formula>0</formula>
    </cfRule>
  </conditionalFormatting>
  <conditionalFormatting sqref="S90">
    <cfRule dxfId="1" operator="lessThan" priority="117" type="cellIs">
      <formula>0</formula>
    </cfRule>
    <cfRule dxfId="0" operator="greaterThanOrEqual" priority="118" type="cellIs">
      <formula>0</formula>
    </cfRule>
  </conditionalFormatting>
  <conditionalFormatting sqref="P90">
    <cfRule dxfId="1" operator="lessThan" priority="115" type="cellIs">
      <formula>0</formula>
    </cfRule>
    <cfRule dxfId="0" operator="greaterThanOrEqual" priority="116" type="cellIs">
      <formula>0</formula>
    </cfRule>
  </conditionalFormatting>
  <conditionalFormatting sqref="G90">
    <cfRule dxfId="1" operator="lessThan" priority="113" type="cellIs">
      <formula>0</formula>
    </cfRule>
    <cfRule dxfId="0" operator="greaterThanOrEqual" priority="114" type="cellIs">
      <formula>0</formula>
    </cfRule>
  </conditionalFormatting>
  <conditionalFormatting sqref="V90">
    <cfRule dxfId="1" operator="lessThan" priority="111" type="cellIs">
      <formula>0</formula>
    </cfRule>
    <cfRule dxfId="0" operator="greaterThanOrEqual" priority="112" type="cellIs">
      <formula>0</formula>
    </cfRule>
  </conditionalFormatting>
  <conditionalFormatting sqref="M90">
    <cfRule dxfId="1" operator="lessThan" priority="109" type="cellIs">
      <formula>0</formula>
    </cfRule>
    <cfRule dxfId="0" operator="greaterThanOrEqual" priority="110" type="cellIs">
      <formula>0</formula>
    </cfRule>
  </conditionalFormatting>
  <conditionalFormatting sqref="J94">
    <cfRule dxfId="1" operator="lessThan" priority="105" type="cellIs">
      <formula>0</formula>
    </cfRule>
    <cfRule dxfId="0" operator="greaterThanOrEqual" priority="106" type="cellIs">
      <formula>0</formula>
    </cfRule>
  </conditionalFormatting>
  <conditionalFormatting sqref="AB94">
    <cfRule dxfId="1" operator="lessThan" priority="107" type="cellIs">
      <formula>0</formula>
    </cfRule>
    <cfRule dxfId="0" operator="greaterThanOrEqual" priority="108" type="cellIs">
      <formula>0</formula>
    </cfRule>
  </conditionalFormatting>
  <conditionalFormatting sqref="AE94">
    <cfRule dxfId="1" operator="lessThan" priority="103" type="cellIs">
      <formula>0</formula>
    </cfRule>
    <cfRule dxfId="0" operator="greaterThanOrEqual" priority="104" type="cellIs">
      <formula>0</formula>
    </cfRule>
  </conditionalFormatting>
  <conditionalFormatting sqref="Y94">
    <cfRule dxfId="1" operator="lessThan" priority="101" type="cellIs">
      <formula>0</formula>
    </cfRule>
    <cfRule dxfId="0" operator="greaterThanOrEqual" priority="102" type="cellIs">
      <formula>0</formula>
    </cfRule>
  </conditionalFormatting>
  <conditionalFormatting sqref="S94">
    <cfRule dxfId="1" operator="lessThan" priority="99" type="cellIs">
      <formula>0</formula>
    </cfRule>
    <cfRule dxfId="0" operator="greaterThanOrEqual" priority="100" type="cellIs">
      <formula>0</formula>
    </cfRule>
  </conditionalFormatting>
  <conditionalFormatting sqref="P94">
    <cfRule dxfId="1" operator="lessThan" priority="97" type="cellIs">
      <formula>0</formula>
    </cfRule>
    <cfRule dxfId="0" operator="greaterThanOrEqual" priority="98" type="cellIs">
      <formula>0</formula>
    </cfRule>
  </conditionalFormatting>
  <conditionalFormatting sqref="G94">
    <cfRule dxfId="1" operator="lessThan" priority="95" type="cellIs">
      <formula>0</formula>
    </cfRule>
    <cfRule dxfId="0" operator="greaterThanOrEqual" priority="96" type="cellIs">
      <formula>0</formula>
    </cfRule>
  </conditionalFormatting>
  <conditionalFormatting sqref="V94">
    <cfRule dxfId="1" operator="lessThan" priority="93" type="cellIs">
      <formula>0</formula>
    </cfRule>
    <cfRule dxfId="0" operator="greaterThanOrEqual" priority="94" type="cellIs">
      <formula>0</formula>
    </cfRule>
  </conditionalFormatting>
  <conditionalFormatting sqref="M94">
    <cfRule dxfId="1" operator="lessThan" priority="91" type="cellIs">
      <formula>0</formula>
    </cfRule>
    <cfRule dxfId="0" operator="greaterThanOrEqual" priority="92" type="cellIs">
      <formula>0</formula>
    </cfRule>
  </conditionalFormatting>
  <conditionalFormatting sqref="J98">
    <cfRule dxfId="1" operator="lessThan" priority="87" type="cellIs">
      <formula>0</formula>
    </cfRule>
    <cfRule dxfId="0" operator="greaterThanOrEqual" priority="88" type="cellIs">
      <formula>0</formula>
    </cfRule>
  </conditionalFormatting>
  <conditionalFormatting sqref="AB98">
    <cfRule dxfId="1" operator="lessThan" priority="89" type="cellIs">
      <formula>0</formula>
    </cfRule>
    <cfRule dxfId="0" operator="greaterThanOrEqual" priority="90" type="cellIs">
      <formula>0</formula>
    </cfRule>
  </conditionalFormatting>
  <conditionalFormatting sqref="AE98">
    <cfRule dxfId="1" operator="lessThan" priority="85" type="cellIs">
      <formula>0</formula>
    </cfRule>
    <cfRule dxfId="0" operator="greaterThanOrEqual" priority="86" type="cellIs">
      <formula>0</formula>
    </cfRule>
  </conditionalFormatting>
  <conditionalFormatting sqref="Y98">
    <cfRule dxfId="1" operator="lessThan" priority="83" type="cellIs">
      <formula>0</formula>
    </cfRule>
    <cfRule dxfId="0" operator="greaterThanOrEqual" priority="84" type="cellIs">
      <formula>0</formula>
    </cfRule>
  </conditionalFormatting>
  <conditionalFormatting sqref="S98">
    <cfRule dxfId="1" operator="lessThan" priority="81" type="cellIs">
      <formula>0</formula>
    </cfRule>
    <cfRule dxfId="0" operator="greaterThanOrEqual" priority="82" type="cellIs">
      <formula>0</formula>
    </cfRule>
  </conditionalFormatting>
  <conditionalFormatting sqref="P98">
    <cfRule dxfId="1" operator="lessThan" priority="79" type="cellIs">
      <formula>0</formula>
    </cfRule>
    <cfRule dxfId="0" operator="greaterThanOrEqual" priority="80" type="cellIs">
      <formula>0</formula>
    </cfRule>
  </conditionalFormatting>
  <conditionalFormatting sqref="G98">
    <cfRule dxfId="1" operator="lessThan" priority="77" type="cellIs">
      <formula>0</formula>
    </cfRule>
    <cfRule dxfId="0" operator="greaterThanOrEqual" priority="78" type="cellIs">
      <formula>0</formula>
    </cfRule>
  </conditionalFormatting>
  <conditionalFormatting sqref="V98">
    <cfRule dxfId="1" operator="lessThan" priority="75" type="cellIs">
      <formula>0</formula>
    </cfRule>
    <cfRule dxfId="0" operator="greaterThanOrEqual" priority="76" type="cellIs">
      <formula>0</formula>
    </cfRule>
  </conditionalFormatting>
  <conditionalFormatting sqref="M98">
    <cfRule dxfId="1" operator="lessThan" priority="73" type="cellIs">
      <formula>0</formula>
    </cfRule>
    <cfRule dxfId="0" operator="greaterThanOrEqual" priority="74" type="cellIs">
      <formula>0</formula>
    </cfRule>
  </conditionalFormatting>
  <conditionalFormatting sqref="J102">
    <cfRule dxfId="1" operator="lessThan" priority="69" type="cellIs">
      <formula>0</formula>
    </cfRule>
    <cfRule dxfId="0" operator="greaterThanOrEqual" priority="70" type="cellIs">
      <formula>0</formula>
    </cfRule>
  </conditionalFormatting>
  <conditionalFormatting sqref="AB102">
    <cfRule dxfId="1" operator="lessThan" priority="71" type="cellIs">
      <formula>0</formula>
    </cfRule>
    <cfRule dxfId="0" operator="greaterThanOrEqual" priority="72" type="cellIs">
      <formula>0</formula>
    </cfRule>
  </conditionalFormatting>
  <conditionalFormatting sqref="AE102">
    <cfRule dxfId="1" operator="lessThan" priority="67" type="cellIs">
      <formula>0</formula>
    </cfRule>
    <cfRule dxfId="0" operator="greaterThanOrEqual" priority="68" type="cellIs">
      <formula>0</formula>
    </cfRule>
  </conditionalFormatting>
  <conditionalFormatting sqref="Y102">
    <cfRule dxfId="1" operator="lessThan" priority="65" type="cellIs">
      <formula>0</formula>
    </cfRule>
    <cfRule dxfId="0" operator="greaterThanOrEqual" priority="66" type="cellIs">
      <formula>0</formula>
    </cfRule>
  </conditionalFormatting>
  <conditionalFormatting sqref="S102">
    <cfRule dxfId="1" operator="lessThan" priority="63" type="cellIs">
      <formula>0</formula>
    </cfRule>
    <cfRule dxfId="0" operator="greaterThanOrEqual" priority="64" type="cellIs">
      <formula>0</formula>
    </cfRule>
  </conditionalFormatting>
  <conditionalFormatting sqref="P102">
    <cfRule dxfId="1" operator="lessThan" priority="61" type="cellIs">
      <formula>0</formula>
    </cfRule>
    <cfRule dxfId="0" operator="greaterThanOrEqual" priority="62" type="cellIs">
      <formula>0</formula>
    </cfRule>
  </conditionalFormatting>
  <conditionalFormatting sqref="G102">
    <cfRule dxfId="1" operator="lessThan" priority="59" type="cellIs">
      <formula>0</formula>
    </cfRule>
    <cfRule dxfId="0" operator="greaterThanOrEqual" priority="60" type="cellIs">
      <formula>0</formula>
    </cfRule>
  </conditionalFormatting>
  <conditionalFormatting sqref="V102">
    <cfRule dxfId="1" operator="lessThan" priority="57" type="cellIs">
      <formula>0</formula>
    </cfRule>
    <cfRule dxfId="0" operator="greaterThanOrEqual" priority="58" type="cellIs">
      <formula>0</formula>
    </cfRule>
  </conditionalFormatting>
  <conditionalFormatting sqref="M102">
    <cfRule dxfId="1" operator="lessThan" priority="55" type="cellIs">
      <formula>0</formula>
    </cfRule>
    <cfRule dxfId="0" operator="greaterThanOrEqual" priority="56" type="cellIs">
      <formula>0</formula>
    </cfRule>
  </conditionalFormatting>
  <conditionalFormatting sqref="J126 J122 J118 J114 J110 J106">
    <cfRule dxfId="1" operator="lessThan" priority="51" type="cellIs">
      <formula>0</formula>
    </cfRule>
    <cfRule dxfId="0" operator="greaterThanOrEqual" priority="52" type="cellIs">
      <formula>0</formula>
    </cfRule>
  </conditionalFormatting>
  <conditionalFormatting sqref="AB126 AB122 AB118 AB114 AB110 AB106">
    <cfRule dxfId="1" operator="lessThan" priority="53" type="cellIs">
      <formula>0</formula>
    </cfRule>
    <cfRule dxfId="0" operator="greaterThanOrEqual" priority="54" type="cellIs">
      <formula>0</formula>
    </cfRule>
  </conditionalFormatting>
  <conditionalFormatting sqref="AE126 AE122 AE118 AE114 AE110 AE106">
    <cfRule dxfId="1" operator="lessThan" priority="49" type="cellIs">
      <formula>0</formula>
    </cfRule>
    <cfRule dxfId="0" operator="greaterThanOrEqual" priority="50" type="cellIs">
      <formula>0</formula>
    </cfRule>
  </conditionalFormatting>
  <conditionalFormatting sqref="Y126 Y122 Y118 Y114 Y110 Y106">
    <cfRule dxfId="1" operator="lessThan" priority="47" type="cellIs">
      <formula>0</formula>
    </cfRule>
    <cfRule dxfId="0" operator="greaterThanOrEqual" priority="48" type="cellIs">
      <formula>0</formula>
    </cfRule>
  </conditionalFormatting>
  <conditionalFormatting sqref="S126 S122 S118 S114 S110 S106">
    <cfRule dxfId="1" operator="lessThan" priority="45" type="cellIs">
      <formula>0</formula>
    </cfRule>
    <cfRule dxfId="0" operator="greaterThanOrEqual" priority="46" type="cellIs">
      <formula>0</formula>
    </cfRule>
  </conditionalFormatting>
  <conditionalFormatting sqref="P126 P122 P118 P114 P110 P106">
    <cfRule dxfId="1" operator="lessThan" priority="43" type="cellIs">
      <formula>0</formula>
    </cfRule>
    <cfRule dxfId="0" operator="greaterThanOrEqual" priority="44" type="cellIs">
      <formula>0</formula>
    </cfRule>
  </conditionalFormatting>
  <conditionalFormatting sqref="G126 G122 G118 G114 G110 G106">
    <cfRule dxfId="1" operator="lessThan" priority="41" type="cellIs">
      <formula>0</formula>
    </cfRule>
    <cfRule dxfId="0" operator="greaterThanOrEqual" priority="42" type="cellIs">
      <formula>0</formula>
    </cfRule>
  </conditionalFormatting>
  <conditionalFormatting sqref="V126 V122 V118 V114 V110 V106">
    <cfRule dxfId="1" operator="lessThan" priority="39" type="cellIs">
      <formula>0</formula>
    </cfRule>
    <cfRule dxfId="0" operator="greaterThanOrEqual" priority="40" type="cellIs">
      <formula>0</formula>
    </cfRule>
  </conditionalFormatting>
  <conditionalFormatting sqref="M126 M122 M118 M114 M110 M106">
    <cfRule dxfId="1" operator="lessThan" priority="37" type="cellIs">
      <formula>0</formula>
    </cfRule>
    <cfRule dxfId="0" operator="greaterThanOrEqual" priority="38" type="cellIs">
      <formula>0</formula>
    </cfRule>
  </conditionalFormatting>
  <conditionalFormatting sqref="J206 J202 J198 J194 J190 J186 J182 J174 J170 J166 J162 J158 J154 J150 J146 J142 J138 J134 J130">
    <cfRule dxfId="1" operator="lessThan" priority="33" type="cellIs">
      <formula>0</formula>
    </cfRule>
    <cfRule dxfId="0" operator="greaterThanOrEqual" priority="34" type="cellIs">
      <formula>0</formula>
    </cfRule>
  </conditionalFormatting>
  <conditionalFormatting sqref="AB206 AB202 AB198 AB194 AB190 AB186 AB182 AB174 AB170 AB166 AB162 AB158 AB154 AB150 AB146 AB142 AB138 AB134 AB130">
    <cfRule dxfId="1" operator="lessThan" priority="35" type="cellIs">
      <formula>0</formula>
    </cfRule>
    <cfRule dxfId="0" operator="greaterThanOrEqual" priority="36" type="cellIs">
      <formula>0</formula>
    </cfRule>
  </conditionalFormatting>
  <conditionalFormatting sqref="AE206 AE202 AE198 AE194 AE190 AE186 AE182 AE174 AE170 AE166 AE162 AE158 AE154 AE150 AE146 AE142 AE138 AE134 AE130">
    <cfRule dxfId="1" operator="lessThan" priority="31" type="cellIs">
      <formula>0</formula>
    </cfRule>
    <cfRule dxfId="0" operator="greaterThanOrEqual" priority="32" type="cellIs">
      <formula>0</formula>
    </cfRule>
  </conditionalFormatting>
  <conditionalFormatting sqref="Y206 Y202 Y198 Y194 Y190 Y186 Y182 Y174 Y170 Y166 Y162 Y158 Y154 Y150 Y146 Y142 Y138 Y134 Y130">
    <cfRule dxfId="1" operator="lessThan" priority="29" type="cellIs">
      <formula>0</formula>
    </cfRule>
    <cfRule dxfId="0" operator="greaterThanOrEqual" priority="30" type="cellIs">
      <formula>0</formula>
    </cfRule>
  </conditionalFormatting>
  <conditionalFormatting sqref="S206 S202 S198 S194 S190 S186 S182 S174 S170 S166 S162 S158 S154 S150 S146 S142 S138 S134 S130">
    <cfRule dxfId="1" operator="lessThan" priority="27" type="cellIs">
      <formula>0</formula>
    </cfRule>
    <cfRule dxfId="0" operator="greaterThanOrEqual" priority="28" type="cellIs">
      <formula>0</formula>
    </cfRule>
  </conditionalFormatting>
  <conditionalFormatting sqref="P206 P202 P198 P194 P190 P186 P182 P174 P170 P166 P162 P158 P154 P150 P146 P142 P138 P134 P130">
    <cfRule dxfId="1" operator="lessThan" priority="25" type="cellIs">
      <formula>0</formula>
    </cfRule>
    <cfRule dxfId="0" operator="greaterThanOrEqual" priority="26" type="cellIs">
      <formula>0</formula>
    </cfRule>
  </conditionalFormatting>
  <conditionalFormatting sqref="G206 G202 G198 G194 G190 G186 G182 G174 G170 G166 G162 G158 G154 G150 G146 G142 G138 G134 G130">
    <cfRule dxfId="1" operator="lessThan" priority="23" type="cellIs">
      <formula>0</formula>
    </cfRule>
    <cfRule dxfId="0" operator="greaterThanOrEqual" priority="24" type="cellIs">
      <formula>0</formula>
    </cfRule>
  </conditionalFormatting>
  <conditionalFormatting sqref="V206 V202 V198 V194 V190 V186 V182 V174 V170 V166 V162 V158 V154 V150 V146 V142 V138 V134 V130">
    <cfRule dxfId="1" operator="lessThan" priority="21" type="cellIs">
      <formula>0</formula>
    </cfRule>
    <cfRule dxfId="0" operator="greaterThanOrEqual" priority="22" type="cellIs">
      <formula>0</formula>
    </cfRule>
  </conditionalFormatting>
  <conditionalFormatting sqref="M206 M202 M198 M194 M190 M186 M182 M174 M170 M166 M162 M158 M154 M150 M146 M142 M138 M134 M130">
    <cfRule dxfId="1" operator="lessThan" priority="19" type="cellIs">
      <formula>0</formula>
    </cfRule>
    <cfRule dxfId="0" operator="greaterThanOrEqual" priority="20" type="cellIs">
      <formula>0</formula>
    </cfRule>
  </conditionalFormatting>
  <conditionalFormatting sqref="J178">
    <cfRule dxfId="1" operator="lessThan" priority="15" type="cellIs">
      <formula>0</formula>
    </cfRule>
    <cfRule dxfId="0" operator="greaterThanOrEqual" priority="16" type="cellIs">
      <formula>0</formula>
    </cfRule>
  </conditionalFormatting>
  <conditionalFormatting sqref="AB178">
    <cfRule dxfId="1" operator="lessThan" priority="17" type="cellIs">
      <formula>0</formula>
    </cfRule>
    <cfRule dxfId="0" operator="greaterThanOrEqual" priority="18" type="cellIs">
      <formula>0</formula>
    </cfRule>
  </conditionalFormatting>
  <conditionalFormatting sqref="AE178">
    <cfRule dxfId="1" operator="lessThan" priority="13" type="cellIs">
      <formula>0</formula>
    </cfRule>
    <cfRule dxfId="0" operator="greaterThanOrEqual" priority="14" type="cellIs">
      <formula>0</formula>
    </cfRule>
  </conditionalFormatting>
  <conditionalFormatting sqref="Y178">
    <cfRule dxfId="1" operator="lessThan" priority="11" type="cellIs">
      <formula>0</formula>
    </cfRule>
    <cfRule dxfId="0" operator="greaterThanOrEqual" priority="12" type="cellIs">
      <formula>0</formula>
    </cfRule>
  </conditionalFormatting>
  <conditionalFormatting sqref="S178">
    <cfRule dxfId="1" operator="lessThan" priority="9" type="cellIs">
      <formula>0</formula>
    </cfRule>
    <cfRule dxfId="0" operator="greaterThanOrEqual" priority="10" type="cellIs">
      <formula>0</formula>
    </cfRule>
  </conditionalFormatting>
  <conditionalFormatting sqref="P178">
    <cfRule dxfId="1" operator="lessThan" priority="7" type="cellIs">
      <formula>0</formula>
    </cfRule>
    <cfRule dxfId="0" operator="greaterThanOrEqual" priority="8" type="cellIs">
      <formula>0</formula>
    </cfRule>
  </conditionalFormatting>
  <conditionalFormatting sqref="G178">
    <cfRule dxfId="1" operator="lessThan" priority="5" type="cellIs">
      <formula>0</formula>
    </cfRule>
    <cfRule dxfId="0" operator="greaterThanOrEqual" priority="6" type="cellIs">
      <formula>0</formula>
    </cfRule>
  </conditionalFormatting>
  <conditionalFormatting sqref="V178">
    <cfRule dxfId="1" operator="lessThan" priority="3" type="cellIs">
      <formula>0</formula>
    </cfRule>
    <cfRule dxfId="0" operator="greaterThanOrEqual" priority="4" type="cellIs">
      <formula>0</formula>
    </cfRule>
  </conditionalFormatting>
  <conditionalFormatting sqref="M178">
    <cfRule dxfId="1" operator="lessThan" priority="1" type="cellIs">
      <formula>0</formula>
    </cfRule>
    <cfRule dxfId="0" operator="greaterThanOrEqual" priority="2" type="cellIs">
      <formula>0</formula>
    </cfRule>
  </conditionalFormatting>
  <pageMargins bottom="1" footer="0.5" header="0.5" left="0.75" right="0.75" top="1"/>
  <pageSetup horizontalDpi="4294967292" orientation="portrait" verticalDpi="4294967292"/>
</worksheet>
</file>

<file path=xl/worksheets/sheet1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AN1000"/>
  <sheetViews>
    <sheetView workbookViewId="0">
      <selection activeCell="C20" sqref="C20"/>
    </sheetView>
  </sheetViews>
  <sheetFormatPr baseColWidth="8" customHeight="1" defaultColWidth="13.5" defaultRowHeight="15" outlineLevelCol="1"/>
  <cols>
    <col bestFit="1" customWidth="1" max="1" min="1" style="452" width="12"/>
    <col bestFit="1" customWidth="1" max="2" min="2" style="452" width="9.375"/>
    <col bestFit="1" customWidth="1" max="3" min="3" style="452" width="13.5"/>
    <col customWidth="1" max="4" min="4" style="452" width="11"/>
    <col customWidth="1" hidden="1" max="5" min="5" outlineLevel="1" style="452" width="11"/>
    <col customWidth="1" hidden="1" max="6" min="6" outlineLevel="1" style="452" width="6.125"/>
    <col collapsed="1" customWidth="1" max="7" min="7" style="452" width="8.375"/>
    <col customWidth="1" max="8" min="8" style="452" width="10.875"/>
    <col customWidth="1" hidden="1" max="9" min="9" outlineLevel="1" style="452" width="10.875"/>
    <col customWidth="1" hidden="1" max="10" min="10" outlineLevel="1" style="404" width="6.125"/>
    <col collapsed="1" customWidth="1" max="11" min="11" style="452" width="8.375"/>
    <col customWidth="1" max="12" min="12" style="452" width="8.625"/>
    <col customWidth="1" hidden="1" max="13" min="13" outlineLevel="1" style="452" width="8.625"/>
    <col collapsed="1" customWidth="1" hidden="1" max="14" min="14" outlineLevel="1" style="404" width="6.125"/>
    <col collapsed="1" customWidth="1" max="15" min="15" style="452" width="8.375"/>
    <col customWidth="1" max="16" min="16" style="452" width="8.5"/>
    <col customWidth="1" hidden="1" max="17" min="17" outlineLevel="1" style="452" width="8.5"/>
    <col collapsed="1" customWidth="1" hidden="1" max="18" min="18" outlineLevel="1" style="404" width="6.125"/>
    <col collapsed="1" customWidth="1" max="19" min="19" style="452" width="8.375"/>
    <col customWidth="1" max="20" min="20" style="452" width="9.5"/>
    <col customWidth="1" hidden="1" max="21" min="21" outlineLevel="1" style="452" width="9.5"/>
    <col collapsed="1" customWidth="1" hidden="1" max="22" min="22" outlineLevel="1" style="452" width="6.125"/>
    <col collapsed="1" customWidth="1" max="23" min="23" style="452" width="8.375"/>
    <col customWidth="1" max="24" min="24" style="452" width="9.625"/>
    <col customWidth="1" hidden="1" max="25" min="25" outlineLevel="1" style="452" width="8.375"/>
    <col customWidth="1" hidden="1" max="26" min="26" outlineLevel="1" style="452" width="6.125"/>
    <col collapsed="1" customWidth="1" max="27" min="27" style="452" width="8.375"/>
    <col customWidth="1" max="28" min="28" style="452" width="9.125"/>
    <col customWidth="1" hidden="1" max="29" min="29" outlineLevel="1" style="452" width="10.875"/>
    <col customWidth="1" hidden="1" max="30" min="30" outlineLevel="1" style="452" width="6.125"/>
    <col collapsed="1" customWidth="1" max="31" min="31" style="452" width="8.375"/>
    <col customWidth="1" max="32" min="32" style="452" width="13.875"/>
    <col customWidth="1" hidden="1" max="33" min="33" outlineLevel="1" style="452" width="12.875"/>
    <col customWidth="1" hidden="1" max="34" min="34" outlineLevel="1" style="452" width="6.125"/>
    <col collapsed="1" customWidth="1" max="35" min="35" style="452" width="8.375"/>
    <col customWidth="1" max="36" min="36" style="452" width="8.375"/>
    <col customWidth="1" hidden="1" max="37" min="37" outlineLevel="1" style="452" width="8.375"/>
    <col customWidth="1" hidden="1" max="38" min="38" outlineLevel="1" style="452" width="6.125"/>
    <col collapsed="1" customWidth="1" max="39" min="39" style="452" width="8.375"/>
    <col customWidth="1" max="40" min="40" style="452" width="17.875"/>
  </cols>
  <sheetData>
    <row customHeight="1" ht="15.75" r="1" s="452" spans="1:40">
      <c r="A1" s="298" t="s">
        <v>55</v>
      </c>
      <c r="B1" s="298" t="s">
        <v>61</v>
      </c>
      <c r="C1" s="298" t="s">
        <v>62</v>
      </c>
      <c r="D1" s="298" t="s">
        <v>1</v>
      </c>
      <c r="E1" s="298" t="s">
        <v>138</v>
      </c>
      <c r="F1" s="66" t="s">
        <v>64</v>
      </c>
      <c r="G1" s="66" t="s">
        <v>3</v>
      </c>
      <c r="H1" s="298" t="s">
        <v>4</v>
      </c>
      <c r="I1" s="298" t="s">
        <v>207</v>
      </c>
      <c r="J1" s="102" t="s">
        <v>64</v>
      </c>
      <c r="K1" s="66" t="s">
        <v>3</v>
      </c>
      <c r="L1" s="298" t="s">
        <v>6</v>
      </c>
      <c r="M1" s="298" t="s">
        <v>211</v>
      </c>
      <c r="N1" s="102" t="s">
        <v>64</v>
      </c>
      <c r="O1" s="66" t="s">
        <v>3</v>
      </c>
      <c r="P1" s="298" t="s">
        <v>8</v>
      </c>
      <c r="Q1" s="298" t="s">
        <v>9</v>
      </c>
      <c r="R1" s="102" t="s">
        <v>64</v>
      </c>
      <c r="S1" s="66" t="s">
        <v>3</v>
      </c>
      <c r="T1" s="298" t="s">
        <v>10</v>
      </c>
      <c r="U1" s="298" t="s">
        <v>11</v>
      </c>
      <c r="V1" s="66" t="s">
        <v>64</v>
      </c>
      <c r="W1" s="66" t="s">
        <v>3</v>
      </c>
      <c r="X1" s="298" t="s">
        <v>16</v>
      </c>
      <c r="Y1" s="298" t="s">
        <v>17</v>
      </c>
      <c r="Z1" s="66" t="s">
        <v>64</v>
      </c>
      <c r="AA1" s="66" t="s">
        <v>3</v>
      </c>
      <c r="AB1" s="620" t="s">
        <v>18</v>
      </c>
      <c r="AC1" s="620" t="s">
        <v>19</v>
      </c>
      <c r="AD1" s="66" t="s">
        <v>64</v>
      </c>
      <c r="AE1" s="66" t="s">
        <v>3</v>
      </c>
      <c r="AF1" s="620" t="s">
        <v>33</v>
      </c>
      <c r="AG1" s="620" t="s">
        <v>34</v>
      </c>
      <c r="AH1" s="66" t="s">
        <v>64</v>
      </c>
      <c r="AI1" s="66" t="s">
        <v>3</v>
      </c>
      <c r="AJ1" s="302" t="s">
        <v>22</v>
      </c>
      <c r="AK1" s="302" t="s">
        <v>23</v>
      </c>
      <c r="AL1" s="66" t="s">
        <v>64</v>
      </c>
      <c r="AM1" s="66" t="s">
        <v>3</v>
      </c>
      <c r="AN1" s="298" t="s">
        <v>66</v>
      </c>
    </row>
    <row customHeight="1" ht="15.75" r="2" s="452" spans="1:40">
      <c r="A2" s="49" t="s">
        <v>32</v>
      </c>
      <c r="B2" s="49" t="s">
        <v>67</v>
      </c>
      <c r="C2" s="50" t="n">
        <v>42734</v>
      </c>
      <c r="D2" s="566" t="n"/>
      <c r="E2" s="566" t="n"/>
      <c r="F2" s="566" t="n"/>
      <c r="G2" s="103">
        <f>(D2-E2)/E2</f>
        <v/>
      </c>
      <c r="H2" s="566" t="n"/>
      <c r="I2" s="566" t="n"/>
      <c r="J2" s="103" t="n"/>
      <c r="K2" s="103">
        <f>(H2-I2)/I2</f>
        <v/>
      </c>
      <c r="L2" s="567">
        <f>D2/H2</f>
        <v/>
      </c>
      <c r="M2" s="566">
        <f>E2/I2</f>
        <v/>
      </c>
      <c r="N2" s="103" t="n"/>
      <c r="O2" s="103">
        <f>(L2-M2)/M2</f>
        <v/>
      </c>
      <c r="P2" s="568" t="n"/>
      <c r="Q2" s="568" t="n"/>
      <c r="R2" s="103" t="n"/>
      <c r="S2" s="103">
        <f>(P2-Q2)/Q2</f>
        <v/>
      </c>
      <c r="T2" s="568" t="n"/>
      <c r="U2" s="568" t="n"/>
      <c r="V2" s="566" t="n"/>
      <c r="W2" s="103">
        <f>(T2-U2)/U2</f>
        <v/>
      </c>
      <c r="X2" s="568">
        <f>D2/T2</f>
        <v/>
      </c>
      <c r="Y2" s="568">
        <f>E2/U2</f>
        <v/>
      </c>
      <c r="Z2" s="103" t="n"/>
      <c r="AA2" s="103">
        <f>(X2-Y2)/Y2</f>
        <v/>
      </c>
      <c r="AB2" s="568" t="n"/>
      <c r="AC2" s="568" t="n"/>
      <c r="AD2" s="566" t="n"/>
      <c r="AE2" s="103">
        <f>(AB2-AC2)/AC2</f>
        <v/>
      </c>
      <c r="AF2" s="568" t="n"/>
      <c r="AG2" s="568" t="n"/>
      <c r="AH2" s="566" t="n"/>
      <c r="AI2" s="103">
        <f>(AF2-AG2)/AG2</f>
        <v/>
      </c>
      <c r="AJ2" s="82">
        <f>AB2/AF2</f>
        <v/>
      </c>
      <c r="AK2" s="82">
        <f>AC2/AG2</f>
        <v/>
      </c>
      <c r="AL2" s="566" t="n"/>
      <c r="AM2" s="103">
        <f>(AJ2-AK2)/AK2</f>
        <v/>
      </c>
    </row>
    <row customHeight="1" ht="15.75" r="3" s="452" spans="1:40">
      <c r="A3" s="49" t="s">
        <v>32</v>
      </c>
      <c r="B3" s="49" t="s">
        <v>68</v>
      </c>
      <c r="C3" s="50">
        <f>C2+7</f>
        <v/>
      </c>
      <c r="D3" s="566" t="n"/>
      <c r="E3" s="566" t="n"/>
      <c r="F3" s="566">
        <f>(D3-D2)/D2</f>
        <v/>
      </c>
      <c r="G3" s="103">
        <f>(D3-E3)/E3</f>
        <v/>
      </c>
      <c r="H3" s="566" t="n"/>
      <c r="I3" s="566" t="n"/>
      <c r="J3" s="103">
        <f>(H3-H2)/H2</f>
        <v/>
      </c>
      <c r="K3" s="103">
        <f>(H3-I3)/I3</f>
        <v/>
      </c>
      <c r="L3" s="567">
        <f>D3/H3</f>
        <v/>
      </c>
      <c r="M3" s="566">
        <f>E3/I3</f>
        <v/>
      </c>
      <c r="N3" s="103">
        <f>(L3-L2)/L2</f>
        <v/>
      </c>
      <c r="O3" s="103">
        <f>(L3-M3)/M3</f>
        <v/>
      </c>
      <c r="P3" s="568" t="n"/>
      <c r="Q3" s="568" t="n"/>
      <c r="R3" s="103">
        <f>(P3-P2)/P2</f>
        <v/>
      </c>
      <c r="S3" s="103">
        <f>(P3-Q3)/Q3</f>
        <v/>
      </c>
      <c r="T3" s="568" t="n"/>
      <c r="U3" s="568" t="n"/>
      <c r="V3" s="568">
        <f>(T3-T2)/T2</f>
        <v/>
      </c>
      <c r="W3" s="103">
        <f>(T3-U3)/U3</f>
        <v/>
      </c>
      <c r="X3" s="566">
        <f>D3/T3</f>
        <v/>
      </c>
      <c r="Y3" s="568">
        <f>E3/U3</f>
        <v/>
      </c>
      <c r="Z3" s="103">
        <f>(X3-X2)/X2</f>
        <v/>
      </c>
      <c r="AA3" s="103">
        <f>(X3-Y3)/Y3</f>
        <v/>
      </c>
      <c r="AB3" s="568" t="n"/>
      <c r="AC3" s="568" t="n"/>
      <c r="AD3" s="568">
        <f>(AB3-AB2)/AB2</f>
        <v/>
      </c>
      <c r="AE3" s="103">
        <f>(AB3-AC3)/AC3</f>
        <v/>
      </c>
      <c r="AF3" s="568" t="n"/>
      <c r="AG3" s="568" t="n"/>
      <c r="AH3" s="568">
        <f>(AF3-AF2)/AF2</f>
        <v/>
      </c>
      <c r="AI3" s="103">
        <f>(AF3-AG3)/AG3</f>
        <v/>
      </c>
      <c r="AJ3" s="82">
        <f>AB3/AF3</f>
        <v/>
      </c>
      <c r="AK3" s="82">
        <f>AC3/AG3</f>
        <v/>
      </c>
      <c r="AL3" s="568">
        <f>(AJ3-AJ2)/AJ2</f>
        <v/>
      </c>
      <c r="AM3" s="103">
        <f>(AJ3-AK3)/AK3</f>
        <v/>
      </c>
    </row>
    <row customHeight="1" ht="15.75" r="4" s="452" spans="1:40">
      <c r="A4" s="49" t="s">
        <v>32</v>
      </c>
      <c r="B4" s="49" t="s">
        <v>69</v>
      </c>
      <c r="C4" s="50">
        <f>C3+7</f>
        <v/>
      </c>
      <c r="D4" s="566" t="n"/>
      <c r="E4" s="566" t="n"/>
      <c r="F4" s="566">
        <f>(D4-D3)/D3</f>
        <v/>
      </c>
      <c r="G4" s="103">
        <f>(D4-E4)/E4</f>
        <v/>
      </c>
      <c r="H4" s="566" t="n"/>
      <c r="I4" s="566" t="n"/>
      <c r="J4" s="103">
        <f>(H4-H3)/H3</f>
        <v/>
      </c>
      <c r="K4" s="103">
        <f>(H4-I4)/I4</f>
        <v/>
      </c>
      <c r="L4" s="567">
        <f>D4/H4</f>
        <v/>
      </c>
      <c r="M4" s="566">
        <f>E4/I4</f>
        <v/>
      </c>
      <c r="N4" s="103">
        <f>(L4-L3)/L3</f>
        <v/>
      </c>
      <c r="O4" s="103">
        <f>(L4-M4)/M4</f>
        <v/>
      </c>
      <c r="P4" s="568" t="n"/>
      <c r="Q4" s="568" t="n"/>
      <c r="R4" s="103">
        <f>(P4-P3)/P3</f>
        <v/>
      </c>
      <c r="S4" s="103">
        <f>(P4-Q4)/Q4</f>
        <v/>
      </c>
      <c r="T4" s="568" t="n"/>
      <c r="U4" s="568" t="n"/>
      <c r="V4" s="568">
        <f>(T4-T3)/T3</f>
        <v/>
      </c>
      <c r="W4" s="103">
        <f>(T4-U4)/U4</f>
        <v/>
      </c>
      <c r="X4" s="566">
        <f>D4/T4</f>
        <v/>
      </c>
      <c r="Y4" s="568">
        <f>E4/U4</f>
        <v/>
      </c>
      <c r="Z4" s="103">
        <f>(X4-X3)/X3</f>
        <v/>
      </c>
      <c r="AA4" s="103">
        <f>(X4-Y4)/Y4</f>
        <v/>
      </c>
      <c r="AB4" s="568" t="n"/>
      <c r="AC4" s="568" t="n"/>
      <c r="AD4" s="568">
        <f>(AB4-AB3)/AB3</f>
        <v/>
      </c>
      <c r="AE4" s="103">
        <f>(AB4-AC4)/AC4</f>
        <v/>
      </c>
      <c r="AF4" s="568" t="n"/>
      <c r="AG4" s="568" t="n"/>
      <c r="AH4" s="568">
        <f>(AF4-AF3)/AF3</f>
        <v/>
      </c>
      <c r="AI4" s="103">
        <f>(AF4-AG4)/AG4</f>
        <v/>
      </c>
      <c r="AJ4" s="82">
        <f>AB4/AF4</f>
        <v/>
      </c>
      <c r="AK4" s="82">
        <f>AC4/AG4</f>
        <v/>
      </c>
      <c r="AL4" s="568">
        <f>(AJ4-AJ3)/AJ3</f>
        <v/>
      </c>
      <c r="AM4" s="103">
        <f>(AJ4-AK4)/AK4</f>
        <v/>
      </c>
    </row>
    <row customFormat="1" customHeight="1" ht="15.75" r="5" s="357" spans="1:40">
      <c r="A5" s="69" t="s">
        <v>32</v>
      </c>
      <c r="B5" s="69" t="s">
        <v>71</v>
      </c>
      <c r="C5" s="70">
        <f>C4+7</f>
        <v/>
      </c>
      <c r="D5" s="571" t="n"/>
      <c r="E5" s="571" t="n"/>
      <c r="F5" s="571">
        <f>(D5-D4)/D4</f>
        <v/>
      </c>
      <c r="G5" s="104">
        <f>(D5-E5)/E5</f>
        <v/>
      </c>
      <c r="H5" s="571" t="n"/>
      <c r="I5" s="571" t="n"/>
      <c r="J5" s="104">
        <f>(H5-H4)/H4</f>
        <v/>
      </c>
      <c r="K5" s="104">
        <f>(H5-I5)/I5</f>
        <v/>
      </c>
      <c r="L5" s="572">
        <f>D5/H5</f>
        <v/>
      </c>
      <c r="M5" s="571">
        <f>E5/I5</f>
        <v/>
      </c>
      <c r="N5" s="104">
        <f>(L5-L4)/L4</f>
        <v/>
      </c>
      <c r="O5" s="104">
        <f>(L5-M5)/M5</f>
        <v/>
      </c>
      <c r="P5" s="573" t="n"/>
      <c r="Q5" s="573" t="n"/>
      <c r="R5" s="104">
        <f>(P5-P4)/P4</f>
        <v/>
      </c>
      <c r="S5" s="104">
        <f>(P5-Q5)/Q5</f>
        <v/>
      </c>
      <c r="T5" s="573" t="n"/>
      <c r="U5" s="573" t="n"/>
      <c r="V5" s="573">
        <f>(T5-T4)/T4</f>
        <v/>
      </c>
      <c r="W5" s="104">
        <f>(T5-U5)/U5</f>
        <v/>
      </c>
      <c r="X5" s="571">
        <f>D5/T5</f>
        <v/>
      </c>
      <c r="Y5" s="573">
        <f>E5/U5</f>
        <v/>
      </c>
      <c r="Z5" s="104">
        <f>(X5-X4)/X4</f>
        <v/>
      </c>
      <c r="AA5" s="104">
        <f>(X5-Y5)/Y5</f>
        <v/>
      </c>
      <c r="AB5" s="573" t="n"/>
      <c r="AC5" s="573" t="n"/>
      <c r="AD5" s="573">
        <f>(AB5-AB4)/AB4</f>
        <v/>
      </c>
      <c r="AE5" s="104">
        <f>(AB5-AC5)/AC5</f>
        <v/>
      </c>
      <c r="AF5" s="573" t="n"/>
      <c r="AG5" s="573" t="n"/>
      <c r="AH5" s="573">
        <f>(AF5-AF4)/AF4</f>
        <v/>
      </c>
      <c r="AI5" s="104">
        <f>(AF5-AG5)/AG5</f>
        <v/>
      </c>
      <c r="AJ5" s="83">
        <f>AB5/AF5</f>
        <v/>
      </c>
      <c r="AK5" s="83">
        <f>AC5/AG5</f>
        <v/>
      </c>
      <c r="AL5" s="573">
        <f>(AJ5-AJ4)/AJ4</f>
        <v/>
      </c>
      <c r="AM5" s="104">
        <f>(AJ5-AK5)/AK5</f>
        <v/>
      </c>
    </row>
    <row customHeight="1" ht="15.75" r="6" s="452" spans="1:40">
      <c r="A6" s="49" t="s">
        <v>41</v>
      </c>
      <c r="B6" s="49" t="s">
        <v>73</v>
      </c>
      <c r="C6" s="50">
        <f>C5+7</f>
        <v/>
      </c>
      <c r="D6" s="566" t="n"/>
      <c r="E6" s="566" t="n"/>
      <c r="F6" s="566">
        <f>(D6-D5)/D5</f>
        <v/>
      </c>
      <c r="G6" s="103">
        <f>(D6-E6)/E6</f>
        <v/>
      </c>
      <c r="H6" s="566" t="n"/>
      <c r="I6" s="566" t="n"/>
      <c r="J6" s="103">
        <f>(H6-H5)/H5</f>
        <v/>
      </c>
      <c r="K6" s="103">
        <f>(H6-I6)/I6</f>
        <v/>
      </c>
      <c r="L6" s="567">
        <f>D6/H6</f>
        <v/>
      </c>
      <c r="M6" s="566">
        <f>E6/I6</f>
        <v/>
      </c>
      <c r="N6" s="103">
        <f>(L6-L5)/L5</f>
        <v/>
      </c>
      <c r="O6" s="103">
        <f>(L6-M6)/M6</f>
        <v/>
      </c>
      <c r="P6" s="568" t="n"/>
      <c r="Q6" s="568" t="n"/>
      <c r="R6" s="103">
        <f>(P6-P5)/P5</f>
        <v/>
      </c>
      <c r="S6" s="103">
        <f>(P6-Q6)/Q6</f>
        <v/>
      </c>
      <c r="T6" s="568" t="n"/>
      <c r="U6" s="568" t="n"/>
      <c r="V6" s="568">
        <f>(T6-T5)/T5</f>
        <v/>
      </c>
      <c r="W6" s="103">
        <f>(T6-U6)/U6</f>
        <v/>
      </c>
      <c r="X6" s="566">
        <f>D6/T6</f>
        <v/>
      </c>
      <c r="Y6" s="568">
        <f>E6/U6</f>
        <v/>
      </c>
      <c r="Z6" s="103">
        <f>(X6-X5)/X5</f>
        <v/>
      </c>
      <c r="AA6" s="103">
        <f>(X6-Y6)/Y6</f>
        <v/>
      </c>
      <c r="AB6" s="568" t="n"/>
      <c r="AC6" s="568" t="n"/>
      <c r="AD6" s="568">
        <f>(AB6-AB5)/AB5</f>
        <v/>
      </c>
      <c r="AE6" s="103">
        <f>(AB6-AC6)/AC6</f>
        <v/>
      </c>
      <c r="AF6" s="568" t="n"/>
      <c r="AG6" s="568" t="n"/>
      <c r="AH6" s="568">
        <f>(AF6-AF5)/AF5</f>
        <v/>
      </c>
      <c r="AI6" s="103">
        <f>(AF6-AG6)/AG6</f>
        <v/>
      </c>
      <c r="AJ6" s="82">
        <f>AB6/AF6</f>
        <v/>
      </c>
      <c r="AK6" s="82">
        <f>AC6/AG6</f>
        <v/>
      </c>
      <c r="AL6" s="568">
        <f>(AJ6-AJ5)/AJ5</f>
        <v/>
      </c>
      <c r="AM6" s="103">
        <f>(AJ6-AK6)/AK6</f>
        <v/>
      </c>
    </row>
    <row customHeight="1" ht="15.75" r="7" s="452" spans="1:40">
      <c r="A7" s="49" t="s">
        <v>41</v>
      </c>
      <c r="B7" s="49" t="s">
        <v>75</v>
      </c>
      <c r="C7" s="50">
        <f>C6+7</f>
        <v/>
      </c>
      <c r="D7" s="566" t="n"/>
      <c r="E7" s="566" t="n"/>
      <c r="F7" s="566">
        <f>(D7-D6)/D6</f>
        <v/>
      </c>
      <c r="G7" s="103">
        <f>(D7-E7)/E7</f>
        <v/>
      </c>
      <c r="H7" s="566" t="n"/>
      <c r="I7" s="566" t="n"/>
      <c r="J7" s="103">
        <f>(H7-H6)/H6</f>
        <v/>
      </c>
      <c r="K7" s="103">
        <f>(H7-I7)/I7</f>
        <v/>
      </c>
      <c r="L7" s="567">
        <f>D7/H7</f>
        <v/>
      </c>
      <c r="M7" s="566">
        <f>E7/I7</f>
        <v/>
      </c>
      <c r="N7" s="103">
        <f>(L7-L6)/L6</f>
        <v/>
      </c>
      <c r="O7" s="103">
        <f>(L7-M7)/M7</f>
        <v/>
      </c>
      <c r="P7" s="568" t="n"/>
      <c r="Q7" s="568" t="n"/>
      <c r="R7" s="103">
        <f>(P7-P6)/P6</f>
        <v/>
      </c>
      <c r="S7" s="103">
        <f>(P7-Q7)/Q7</f>
        <v/>
      </c>
      <c r="T7" s="568" t="n"/>
      <c r="U7" s="568" t="n"/>
      <c r="V7" s="568">
        <f>(T7-T6)/T6</f>
        <v/>
      </c>
      <c r="W7" s="103">
        <f>(T7-U7)/U7</f>
        <v/>
      </c>
      <c r="X7" s="566">
        <f>D7/T7</f>
        <v/>
      </c>
      <c r="Y7" s="568">
        <f>E7/U7</f>
        <v/>
      </c>
      <c r="Z7" s="103">
        <f>(X7-X6)/X6</f>
        <v/>
      </c>
      <c r="AA7" s="103">
        <f>(X7-Y7)/Y7</f>
        <v/>
      </c>
      <c r="AB7" s="568" t="n"/>
      <c r="AC7" s="568" t="n"/>
      <c r="AD7" s="568">
        <f>(AB7-AB6)/AB6</f>
        <v/>
      </c>
      <c r="AE7" s="103">
        <f>(AB7-AC7)/AC7</f>
        <v/>
      </c>
      <c r="AF7" s="568" t="n"/>
      <c r="AG7" s="568" t="n"/>
      <c r="AH7" s="568">
        <f>(AF7-AF6)/AF6</f>
        <v/>
      </c>
      <c r="AI7" s="103">
        <f>(AF7-AG7)/AG7</f>
        <v/>
      </c>
      <c r="AJ7" s="82">
        <f>AB7/AF7</f>
        <v/>
      </c>
      <c r="AK7" s="82">
        <f>AC7/AG7</f>
        <v/>
      </c>
      <c r="AL7" s="568">
        <f>(AJ7-AJ6)/AJ6</f>
        <v/>
      </c>
      <c r="AM7" s="103">
        <f>(AJ7-AK7)/AK7</f>
        <v/>
      </c>
    </row>
    <row customHeight="1" ht="15.75" r="8" s="452" spans="1:40">
      <c r="A8" s="49" t="s">
        <v>41</v>
      </c>
      <c r="B8" s="49" t="s">
        <v>77</v>
      </c>
      <c r="C8" s="50">
        <f>C7+7</f>
        <v/>
      </c>
      <c r="D8" s="566" t="n"/>
      <c r="E8" s="566" t="n"/>
      <c r="F8" s="566">
        <f>(D8-D7)/D7</f>
        <v/>
      </c>
      <c r="G8" s="103">
        <f>(D8-E8)/E8</f>
        <v/>
      </c>
      <c r="H8" s="566" t="n"/>
      <c r="I8" s="566" t="n"/>
      <c r="J8" s="103">
        <f>(H8-H7)/H7</f>
        <v/>
      </c>
      <c r="K8" s="103">
        <f>(H8-I8)/I8</f>
        <v/>
      </c>
      <c r="L8" s="567">
        <f>D8/H8</f>
        <v/>
      </c>
      <c r="M8" s="566">
        <f>E8/I8</f>
        <v/>
      </c>
      <c r="N8" s="103">
        <f>(L8-L7)/L7</f>
        <v/>
      </c>
      <c r="O8" s="103">
        <f>(L8-M8)/M8</f>
        <v/>
      </c>
      <c r="P8" s="568" t="n"/>
      <c r="Q8" s="568" t="n"/>
      <c r="R8" s="103">
        <f>(P8-P7)/P7</f>
        <v/>
      </c>
      <c r="S8" s="103">
        <f>(P8-Q8)/Q8</f>
        <v/>
      </c>
      <c r="T8" s="568" t="n"/>
      <c r="U8" s="568" t="n"/>
      <c r="V8" s="568">
        <f>(T8-T7)/T7</f>
        <v/>
      </c>
      <c r="W8" s="103">
        <f>(T8-U8)/U8</f>
        <v/>
      </c>
      <c r="X8" s="566">
        <f>D8/T8</f>
        <v/>
      </c>
      <c r="Y8" s="568">
        <f>E8/U8</f>
        <v/>
      </c>
      <c r="Z8" s="103">
        <f>(X8-X7)/X7</f>
        <v/>
      </c>
      <c r="AA8" s="103">
        <f>(X8-Y8)/Y8</f>
        <v/>
      </c>
      <c r="AB8" s="568" t="n"/>
      <c r="AC8" s="568" t="n"/>
      <c r="AD8" s="568">
        <f>(AB8-AB7)/AB7</f>
        <v/>
      </c>
      <c r="AE8" s="103">
        <f>(AB8-AC8)/AC8</f>
        <v/>
      </c>
      <c r="AF8" s="568" t="n"/>
      <c r="AG8" s="568" t="n"/>
      <c r="AH8" s="568">
        <f>(AF8-AF7)/AF7</f>
        <v/>
      </c>
      <c r="AI8" s="103">
        <f>(AF8-AG8)/AG8</f>
        <v/>
      </c>
      <c r="AJ8" s="82">
        <f>AB8/AF8</f>
        <v/>
      </c>
      <c r="AK8" s="82">
        <f>AC8/AG8</f>
        <v/>
      </c>
      <c r="AL8" s="568">
        <f>(AJ8-AJ7)/AJ7</f>
        <v/>
      </c>
      <c r="AM8" s="103">
        <f>(AJ8-AK8)/AK8</f>
        <v/>
      </c>
    </row>
    <row customFormat="1" customHeight="1" ht="15.75" r="9" s="357" spans="1:40">
      <c r="A9" s="69" t="s">
        <v>41</v>
      </c>
      <c r="B9" s="69" t="s">
        <v>79</v>
      </c>
      <c r="C9" s="70">
        <f>C8+7</f>
        <v/>
      </c>
      <c r="D9" s="571" t="n"/>
      <c r="E9" s="571" t="n"/>
      <c r="F9" s="571">
        <f>(D9-D8)/D8</f>
        <v/>
      </c>
      <c r="G9" s="104">
        <f>(D9-E9)/E9</f>
        <v/>
      </c>
      <c r="H9" s="571" t="n"/>
      <c r="I9" s="571" t="n"/>
      <c r="J9" s="104">
        <f>(H9-H8)/H8</f>
        <v/>
      </c>
      <c r="K9" s="104">
        <f>(H9-I9)/I9</f>
        <v/>
      </c>
      <c r="L9" s="572">
        <f>D9/H9</f>
        <v/>
      </c>
      <c r="M9" s="571">
        <f>E9/I9</f>
        <v/>
      </c>
      <c r="N9" s="104">
        <f>(L9-L8)/L8</f>
        <v/>
      </c>
      <c r="O9" s="104">
        <f>(L9-M9)/M9</f>
        <v/>
      </c>
      <c r="P9" s="573" t="n"/>
      <c r="Q9" s="573" t="n"/>
      <c r="R9" s="104">
        <f>(P9-P8)/P8</f>
        <v/>
      </c>
      <c r="S9" s="104">
        <f>(P9-Q9)/Q9</f>
        <v/>
      </c>
      <c r="T9" s="573" t="n"/>
      <c r="U9" s="573" t="n"/>
      <c r="V9" s="573">
        <f>(T9-T8)/T8</f>
        <v/>
      </c>
      <c r="W9" s="104">
        <f>(T9-U9)/U9</f>
        <v/>
      </c>
      <c r="X9" s="571">
        <f>D9/T9</f>
        <v/>
      </c>
      <c r="Y9" s="573">
        <f>E9/U9</f>
        <v/>
      </c>
      <c r="Z9" s="104">
        <f>(X9-X8)/X8</f>
        <v/>
      </c>
      <c r="AA9" s="104">
        <f>(X9-Y9)/Y9</f>
        <v/>
      </c>
      <c r="AB9" s="573" t="n"/>
      <c r="AC9" s="573" t="n"/>
      <c r="AD9" s="573">
        <f>(AB9-AB8)/AB8</f>
        <v/>
      </c>
      <c r="AE9" s="104">
        <f>(AB9-AC9)/AC9</f>
        <v/>
      </c>
      <c r="AF9" s="573" t="n"/>
      <c r="AG9" s="573" t="n"/>
      <c r="AH9" s="573">
        <f>(AF9-AF8)/AF8</f>
        <v/>
      </c>
      <c r="AI9" s="104">
        <f>(AF9-AG9)/AG9</f>
        <v/>
      </c>
      <c r="AJ9" s="83">
        <f>AB9/AF9</f>
        <v/>
      </c>
      <c r="AK9" s="83">
        <f>AC9/AG9</f>
        <v/>
      </c>
      <c r="AL9" s="573">
        <f>(AJ9-AJ8)/AJ8</f>
        <v/>
      </c>
      <c r="AM9" s="104">
        <f>(AJ9-AK9)/AK9</f>
        <v/>
      </c>
    </row>
    <row customHeight="1" ht="15.75" r="10" s="452" spans="1:40">
      <c r="A10" s="49" t="s">
        <v>42</v>
      </c>
      <c r="B10" s="49" t="s">
        <v>80</v>
      </c>
      <c r="C10" s="50">
        <f>C9+7</f>
        <v/>
      </c>
      <c r="D10" s="566" t="n"/>
      <c r="E10" s="566" t="n"/>
      <c r="F10" s="566">
        <f>(D10-D9)/D9</f>
        <v/>
      </c>
      <c r="G10" s="103">
        <f>(D10-E10)/E10</f>
        <v/>
      </c>
      <c r="H10" s="566" t="n"/>
      <c r="I10" s="566" t="n"/>
      <c r="J10" s="103">
        <f>(H10-H9)/H9</f>
        <v/>
      </c>
      <c r="K10" s="103">
        <f>(H10-I10)/I10</f>
        <v/>
      </c>
      <c r="L10" s="567">
        <f>D10/H10</f>
        <v/>
      </c>
      <c r="M10" s="566">
        <f>E10/I10</f>
        <v/>
      </c>
      <c r="N10" s="103">
        <f>(L10-L9)/L9</f>
        <v/>
      </c>
      <c r="O10" s="103">
        <f>(L10-M10)/M10</f>
        <v/>
      </c>
      <c r="P10" s="568" t="n"/>
      <c r="Q10" s="568" t="n"/>
      <c r="R10" s="103">
        <f>(P10-P9)/P9</f>
        <v/>
      </c>
      <c r="S10" s="103">
        <f>(P10-Q10)/Q10</f>
        <v/>
      </c>
      <c r="T10" s="568" t="n"/>
      <c r="U10" s="568" t="n"/>
      <c r="V10" s="568">
        <f>(T10-T9)/T9</f>
        <v/>
      </c>
      <c r="W10" s="103">
        <f>(T10-U10)/U10</f>
        <v/>
      </c>
      <c r="X10" s="566">
        <f>D10/T10</f>
        <v/>
      </c>
      <c r="Y10" s="568">
        <f>E10/U10</f>
        <v/>
      </c>
      <c r="Z10" s="103">
        <f>(X10-X9)/X9</f>
        <v/>
      </c>
      <c r="AA10" s="103">
        <f>(X10-Y10)/Y10</f>
        <v/>
      </c>
      <c r="AB10" s="568" t="n"/>
      <c r="AC10" s="568" t="n"/>
      <c r="AD10" s="568">
        <f>(AB10-AB9)/AB9</f>
        <v/>
      </c>
      <c r="AE10" s="103">
        <f>(AB10-AC10)/AC10</f>
        <v/>
      </c>
      <c r="AF10" s="568" t="n"/>
      <c r="AG10" s="568" t="n"/>
      <c r="AH10" s="568">
        <f>(AF10-AF9)/AF9</f>
        <v/>
      </c>
      <c r="AI10" s="103">
        <f>(AF10-AG10)/AG10</f>
        <v/>
      </c>
      <c r="AJ10" s="82">
        <f>AB10/AF10</f>
        <v/>
      </c>
      <c r="AK10" s="82">
        <f>AC10/AG10</f>
        <v/>
      </c>
      <c r="AL10" s="568">
        <f>(AJ10-AJ9)/AJ9</f>
        <v/>
      </c>
      <c r="AM10" s="103">
        <f>(AJ10-AK10)/AK10</f>
        <v/>
      </c>
    </row>
    <row customHeight="1" ht="15.75" r="11" s="452" spans="1:40">
      <c r="A11" s="49" t="s">
        <v>42</v>
      </c>
      <c r="B11" s="49" t="s">
        <v>82</v>
      </c>
      <c r="C11" s="50" t="n">
        <v>42797</v>
      </c>
      <c r="D11" s="566" t="n"/>
      <c r="E11" s="566" t="n"/>
      <c r="F11" s="566">
        <f>(D11-D10)/D10</f>
        <v/>
      </c>
      <c r="G11" s="103">
        <f>(D11-E11)/E11</f>
        <v/>
      </c>
      <c r="H11" s="566" t="n"/>
      <c r="I11" s="566" t="n"/>
      <c r="J11" s="103">
        <f>(H11-H10)/H10</f>
        <v/>
      </c>
      <c r="K11" s="103">
        <f>(H11-I11)/I11</f>
        <v/>
      </c>
      <c r="L11" s="567">
        <f>D11/H11</f>
        <v/>
      </c>
      <c r="M11" s="566">
        <f>E11/I11</f>
        <v/>
      </c>
      <c r="N11" s="103">
        <f>(L11-L10)/L10</f>
        <v/>
      </c>
      <c r="O11" s="103">
        <f>(L11-M11)/M11</f>
        <v/>
      </c>
      <c r="P11" s="568" t="n"/>
      <c r="Q11" s="568" t="n"/>
      <c r="R11" s="103">
        <f>(P11-P10)/P10</f>
        <v/>
      </c>
      <c r="S11" s="103">
        <f>(P11-Q11)/Q11</f>
        <v/>
      </c>
      <c r="T11" s="568" t="n"/>
      <c r="U11" s="568" t="n"/>
      <c r="V11" s="568">
        <f>(T11-T10)/T10</f>
        <v/>
      </c>
      <c r="W11" s="103">
        <f>(T11-U11)/U11</f>
        <v/>
      </c>
      <c r="X11" s="566">
        <f>D11/T11</f>
        <v/>
      </c>
      <c r="Y11" s="568">
        <f>E11/U11</f>
        <v/>
      </c>
      <c r="Z11" s="103">
        <f>(X11-X10)/X10</f>
        <v/>
      </c>
      <c r="AA11" s="103">
        <f>(X11-Y11)/Y11</f>
        <v/>
      </c>
      <c r="AB11" s="568" t="n"/>
      <c r="AC11" s="568" t="n"/>
      <c r="AD11" s="568">
        <f>(AB11-AB10)/AB10</f>
        <v/>
      </c>
      <c r="AE11" s="103">
        <f>(AB11-AC11)/AC11</f>
        <v/>
      </c>
      <c r="AF11" s="568" t="n"/>
      <c r="AG11" s="568" t="n"/>
      <c r="AH11" s="568">
        <f>(AF11-AF10)/AF10</f>
        <v/>
      </c>
      <c r="AI11" s="103">
        <f>(AF11-AG11)/AG11</f>
        <v/>
      </c>
      <c r="AJ11" s="82">
        <f>AB11/AF11</f>
        <v/>
      </c>
      <c r="AK11" s="82">
        <f>AC11/AG11</f>
        <v/>
      </c>
      <c r="AL11" s="568">
        <f>(AJ11-AJ10)/AJ10</f>
        <v/>
      </c>
      <c r="AM11" s="103">
        <f>(AJ11-AK11)/AK11</f>
        <v/>
      </c>
    </row>
    <row customHeight="1" ht="15.75" r="12" s="452" spans="1:40">
      <c r="A12" s="49" t="s">
        <v>42</v>
      </c>
      <c r="B12" s="49" t="s">
        <v>84</v>
      </c>
      <c r="C12" s="50">
        <f>C11+7</f>
        <v/>
      </c>
      <c r="D12" s="566" t="n"/>
      <c r="E12" s="566" t="n"/>
      <c r="F12" s="566">
        <f>(D12-D11)/D11</f>
        <v/>
      </c>
      <c r="G12" s="103">
        <f>(D12-E12)/E12</f>
        <v/>
      </c>
      <c r="H12" s="566" t="n"/>
      <c r="I12" s="566" t="n"/>
      <c r="J12" s="103">
        <f>(H12-H11)/H11</f>
        <v/>
      </c>
      <c r="K12" s="103">
        <f>(H12-I12)/I12</f>
        <v/>
      </c>
      <c r="L12" s="567">
        <f>D12/H12</f>
        <v/>
      </c>
      <c r="M12" s="566">
        <f>E12/I12</f>
        <v/>
      </c>
      <c r="N12" s="103">
        <f>(L12-L11)/L11</f>
        <v/>
      </c>
      <c r="O12" s="103">
        <f>(L12-M12)/M12</f>
        <v/>
      </c>
      <c r="P12" s="568" t="n"/>
      <c r="Q12" s="568" t="n"/>
      <c r="R12" s="103">
        <f>(P12-P11)/P11</f>
        <v/>
      </c>
      <c r="S12" s="103">
        <f>(P12-Q12)/Q12</f>
        <v/>
      </c>
      <c r="T12" s="568" t="n"/>
      <c r="U12" s="568" t="n"/>
      <c r="V12" s="568">
        <f>(T12-T11)/T11</f>
        <v/>
      </c>
      <c r="W12" s="103">
        <f>(T12-U12)/U12</f>
        <v/>
      </c>
      <c r="X12" s="566">
        <f>D12/T12</f>
        <v/>
      </c>
      <c r="Y12" s="568">
        <f>E12/U12</f>
        <v/>
      </c>
      <c r="Z12" s="103">
        <f>(X12-X11)/X11</f>
        <v/>
      </c>
      <c r="AA12" s="103">
        <f>(X12-Y12)/Y12</f>
        <v/>
      </c>
      <c r="AB12" s="568" t="n"/>
      <c r="AC12" s="568" t="n"/>
      <c r="AD12" s="568">
        <f>(AB12-AB11)/AB11</f>
        <v/>
      </c>
      <c r="AE12" s="103">
        <f>(AB12-AC12)/AC12</f>
        <v/>
      </c>
      <c r="AF12" s="568" t="n"/>
      <c r="AG12" s="568" t="n"/>
      <c r="AH12" s="568">
        <f>(AF12-AF11)/AF11</f>
        <v/>
      </c>
      <c r="AI12" s="103">
        <f>(AF12-AG12)/AG12</f>
        <v/>
      </c>
      <c r="AJ12" s="82">
        <f>AB12/AF12</f>
        <v/>
      </c>
      <c r="AK12" s="82">
        <f>AC12/AG12</f>
        <v/>
      </c>
      <c r="AL12" s="568">
        <f>(AJ12-AJ11)/AJ11</f>
        <v/>
      </c>
      <c r="AM12" s="103">
        <f>(AJ12-AK12)/AK12</f>
        <v/>
      </c>
    </row>
    <row customFormat="1" customHeight="1" ht="15.75" r="13" s="357" spans="1:40">
      <c r="A13" s="69" t="s">
        <v>42</v>
      </c>
      <c r="B13" s="69" t="s">
        <v>86</v>
      </c>
      <c r="C13" s="70">
        <f>C12+7</f>
        <v/>
      </c>
      <c r="D13" s="571" t="n"/>
      <c r="E13" s="571" t="n"/>
      <c r="F13" s="571">
        <f>(D13-D12)/D12</f>
        <v/>
      </c>
      <c r="G13" s="104">
        <f>(D13-E13)/E13</f>
        <v/>
      </c>
      <c r="H13" s="571" t="n"/>
      <c r="I13" s="571" t="n"/>
      <c r="J13" s="104">
        <f>(H13-H12)/H12</f>
        <v/>
      </c>
      <c r="K13" s="104">
        <f>(H13-I13)/I13</f>
        <v/>
      </c>
      <c r="L13" s="572">
        <f>D13/H13</f>
        <v/>
      </c>
      <c r="M13" s="571">
        <f>E13/I13</f>
        <v/>
      </c>
      <c r="N13" s="104">
        <f>(L13-L12)/L12</f>
        <v/>
      </c>
      <c r="O13" s="104">
        <f>(L13-M13)/M13</f>
        <v/>
      </c>
      <c r="P13" s="573" t="n"/>
      <c r="Q13" s="573" t="n"/>
      <c r="R13" s="104">
        <f>(P13-P12)/P12</f>
        <v/>
      </c>
      <c r="S13" s="104">
        <f>(P13-Q13)/Q13</f>
        <v/>
      </c>
      <c r="T13" s="573" t="n"/>
      <c r="U13" s="573" t="n"/>
      <c r="V13" s="573">
        <f>(T13-T12)/T12</f>
        <v/>
      </c>
      <c r="W13" s="104">
        <f>(T13-U13)/U13</f>
        <v/>
      </c>
      <c r="X13" s="571">
        <f>D13/T13</f>
        <v/>
      </c>
      <c r="Y13" s="573">
        <f>E13/U13</f>
        <v/>
      </c>
      <c r="Z13" s="104">
        <f>(X13-X12)/X12</f>
        <v/>
      </c>
      <c r="AA13" s="104">
        <f>(X13-Y13)/Y13</f>
        <v/>
      </c>
      <c r="AB13" s="573" t="n"/>
      <c r="AC13" s="573" t="n"/>
      <c r="AD13" s="573">
        <f>(AB13-AB12)/AB12</f>
        <v/>
      </c>
      <c r="AE13" s="104">
        <f>(AB13-AC13)/AC13</f>
        <v/>
      </c>
      <c r="AF13" s="573" t="n"/>
      <c r="AG13" s="573" t="n"/>
      <c r="AH13" s="573">
        <f>(AF13-AF12)/AF12</f>
        <v/>
      </c>
      <c r="AI13" s="104">
        <f>(AF13-AG13)/AG13</f>
        <v/>
      </c>
      <c r="AJ13" s="83">
        <f>AB13/AF13</f>
        <v/>
      </c>
      <c r="AK13" s="83">
        <f>AC13/AG13</f>
        <v/>
      </c>
      <c r="AL13" s="573">
        <f>(AJ13-AJ12)/AJ12</f>
        <v/>
      </c>
      <c r="AM13" s="104">
        <f>(AJ13-AK13)/AK13</f>
        <v/>
      </c>
    </row>
    <row customHeight="1" ht="15.75" r="14" s="452" spans="1:40">
      <c r="A14" s="49" t="s">
        <v>43</v>
      </c>
      <c r="B14" s="49" t="s">
        <v>88</v>
      </c>
      <c r="C14" s="50">
        <f>C13+7</f>
        <v/>
      </c>
      <c r="D14" s="566" t="n"/>
      <c r="E14" s="566" t="n"/>
      <c r="F14" s="566">
        <f>(D14-D13)/D13</f>
        <v/>
      </c>
      <c r="G14" s="103">
        <f>(D14-E14)/E14</f>
        <v/>
      </c>
      <c r="H14" s="566" t="n"/>
      <c r="I14" s="566" t="n"/>
      <c r="J14" s="103">
        <f>(H14-H13)/H13</f>
        <v/>
      </c>
      <c r="K14" s="103">
        <f>(H14-I14)/I14</f>
        <v/>
      </c>
      <c r="L14" s="567">
        <f>D14/H14</f>
        <v/>
      </c>
      <c r="M14" s="566">
        <f>E14/I14</f>
        <v/>
      </c>
      <c r="N14" s="103">
        <f>(L14-L13)/L13</f>
        <v/>
      </c>
      <c r="O14" s="103">
        <f>(L14-M14)/M14</f>
        <v/>
      </c>
      <c r="P14" s="568" t="n"/>
      <c r="Q14" s="568" t="n"/>
      <c r="R14" s="103">
        <f>(P14-P13)/P13</f>
        <v/>
      </c>
      <c r="S14" s="103">
        <f>(P14-Q14)/Q14</f>
        <v/>
      </c>
      <c r="T14" s="568" t="n"/>
      <c r="U14" s="568" t="n"/>
      <c r="V14" s="568">
        <f>(T14-T13)/T13</f>
        <v/>
      </c>
      <c r="W14" s="103">
        <f>(T14-U14)/U14</f>
        <v/>
      </c>
      <c r="X14" s="566">
        <f>D14/T14</f>
        <v/>
      </c>
      <c r="Y14" s="568">
        <f>E14/U14</f>
        <v/>
      </c>
      <c r="Z14" s="103">
        <f>(X14-X13)/X13</f>
        <v/>
      </c>
      <c r="AA14" s="103">
        <f>(X14-Y14)/Y14</f>
        <v/>
      </c>
      <c r="AB14" s="568" t="n"/>
      <c r="AC14" s="568" t="n"/>
      <c r="AD14" s="568">
        <f>(AB14-AB13)/AB13</f>
        <v/>
      </c>
      <c r="AE14" s="103">
        <f>(AB14-AC14)/AC14</f>
        <v/>
      </c>
      <c r="AF14" s="568" t="n"/>
      <c r="AG14" s="568" t="n"/>
      <c r="AH14" s="568">
        <f>(AF14-AF13)/AF13</f>
        <v/>
      </c>
      <c r="AI14" s="103">
        <f>(AF14-AG14)/AG14</f>
        <v/>
      </c>
      <c r="AJ14" s="82">
        <f>AB14/AF14</f>
        <v/>
      </c>
      <c r="AK14" s="82">
        <f>AC14/AG14</f>
        <v/>
      </c>
      <c r="AL14" s="568">
        <f>(AJ14-AJ13)/AJ13</f>
        <v/>
      </c>
      <c r="AM14" s="103">
        <f>(AJ14-AK14)/AK14</f>
        <v/>
      </c>
    </row>
    <row customHeight="1" ht="15.75" r="15" s="452" spans="1:40">
      <c r="A15" s="49" t="s">
        <v>43</v>
      </c>
      <c r="B15" s="49" t="s">
        <v>90</v>
      </c>
      <c r="C15" s="50">
        <f>C14+7</f>
        <v/>
      </c>
      <c r="D15" s="566" t="n"/>
      <c r="E15" s="566" t="n"/>
      <c r="F15" s="566">
        <f>(D15-D14)/D14</f>
        <v/>
      </c>
      <c r="G15" s="103">
        <f>(D15-E15)/E15</f>
        <v/>
      </c>
      <c r="H15" s="566" t="n"/>
      <c r="I15" s="566" t="n"/>
      <c r="J15" s="103">
        <f>(H15-H14)/H14</f>
        <v/>
      </c>
      <c r="K15" s="103">
        <f>(H15-I15)/I15</f>
        <v/>
      </c>
      <c r="L15" s="567">
        <f>D15/H15</f>
        <v/>
      </c>
      <c r="M15" s="566">
        <f>E15/I15</f>
        <v/>
      </c>
      <c r="N15" s="103">
        <f>(L15-L14)/L14</f>
        <v/>
      </c>
      <c r="O15" s="103">
        <f>(L15-M15)/M15</f>
        <v/>
      </c>
      <c r="P15" s="568" t="n"/>
      <c r="Q15" s="568" t="n"/>
      <c r="R15" s="103">
        <f>(P15-P14)/P14</f>
        <v/>
      </c>
      <c r="S15" s="103">
        <f>(P15-Q15)/Q15</f>
        <v/>
      </c>
      <c r="T15" s="568" t="n"/>
      <c r="U15" s="568" t="n"/>
      <c r="V15" s="568">
        <f>(T15-T14)/T14</f>
        <v/>
      </c>
      <c r="W15" s="103">
        <f>(T15-U15)/U15</f>
        <v/>
      </c>
      <c r="X15" s="566">
        <f>D15/T15</f>
        <v/>
      </c>
      <c r="Y15" s="568">
        <f>E15/U15</f>
        <v/>
      </c>
      <c r="Z15" s="103">
        <f>(X15-X14)/X14</f>
        <v/>
      </c>
      <c r="AA15" s="103">
        <f>(X15-Y15)/Y15</f>
        <v/>
      </c>
      <c r="AB15" s="568" t="n"/>
      <c r="AC15" s="568" t="n"/>
      <c r="AD15" s="568">
        <f>(AB15-AB14)/AB14</f>
        <v/>
      </c>
      <c r="AE15" s="103">
        <f>(AB15-AC15)/AC15</f>
        <v/>
      </c>
      <c r="AF15" s="568" t="n"/>
      <c r="AG15" s="568" t="n"/>
      <c r="AH15" s="568">
        <f>(AF15-AF14)/AF14</f>
        <v/>
      </c>
      <c r="AI15" s="103">
        <f>(AF15-AG15)/AG15</f>
        <v/>
      </c>
      <c r="AJ15" s="82">
        <f>AB15/AF15</f>
        <v/>
      </c>
      <c r="AK15" s="82">
        <f>AC15/AG15</f>
        <v/>
      </c>
      <c r="AL15" s="568">
        <f>(AJ15-AJ14)/AJ14</f>
        <v/>
      </c>
      <c r="AM15" s="103">
        <f>(AJ15-AK15)/AK15</f>
        <v/>
      </c>
    </row>
    <row customHeight="1" ht="15.75" r="16" s="452" spans="1:40">
      <c r="A16" s="49" t="s">
        <v>43</v>
      </c>
      <c r="B16" s="49" t="s">
        <v>92</v>
      </c>
      <c r="C16" s="50">
        <f>C15+7</f>
        <v/>
      </c>
      <c r="D16" s="566" t="n"/>
      <c r="E16" s="566" t="n"/>
      <c r="F16" s="566">
        <f>(D16-D15)/D15</f>
        <v/>
      </c>
      <c r="G16" s="103">
        <f>(D16-E16)/E16</f>
        <v/>
      </c>
      <c r="H16" s="567" t="n"/>
      <c r="I16" s="567" t="n"/>
      <c r="J16" s="103">
        <f>(H16-H15)/H15</f>
        <v/>
      </c>
      <c r="K16" s="103">
        <f>(H16-I16)/I16</f>
        <v/>
      </c>
      <c r="L16" s="567">
        <f>D16/H16</f>
        <v/>
      </c>
      <c r="M16" s="566">
        <f>E16/I16</f>
        <v/>
      </c>
      <c r="N16" s="103">
        <f>(L16-L15)/L15</f>
        <v/>
      </c>
      <c r="O16" s="103">
        <f>(L16-M16)/M16</f>
        <v/>
      </c>
      <c r="P16" s="568" t="n"/>
      <c r="Q16" s="568" t="n"/>
      <c r="R16" s="103">
        <f>(P16-P15)/P15</f>
        <v/>
      </c>
      <c r="S16" s="103">
        <f>(P16-Q16)/Q16</f>
        <v/>
      </c>
      <c r="T16" s="568" t="n"/>
      <c r="U16" s="568" t="n"/>
      <c r="V16" s="568">
        <f>(T16-T15)/T15</f>
        <v/>
      </c>
      <c r="W16" s="103">
        <f>(T16-U16)/U16</f>
        <v/>
      </c>
      <c r="X16" s="566">
        <f>D16/T16</f>
        <v/>
      </c>
      <c r="Y16" s="568">
        <f>E16/U16</f>
        <v/>
      </c>
      <c r="Z16" s="103">
        <f>(X16-X15)/X15</f>
        <v/>
      </c>
      <c r="AA16" s="103">
        <f>(X16-Y16)/Y16</f>
        <v/>
      </c>
      <c r="AB16" s="568" t="n"/>
      <c r="AC16" s="568" t="n"/>
      <c r="AD16" s="568">
        <f>(AB16-AB15)/AB15</f>
        <v/>
      </c>
      <c r="AE16" s="103">
        <f>(AB16-AC16)/AC16</f>
        <v/>
      </c>
      <c r="AF16" s="568" t="n"/>
      <c r="AG16" s="568" t="n"/>
      <c r="AH16" s="568">
        <f>(AF16-AF15)/AF15</f>
        <v/>
      </c>
      <c r="AI16" s="103">
        <f>(AF16-AG16)/AG16</f>
        <v/>
      </c>
      <c r="AJ16" s="82">
        <f>AB16/AF16</f>
        <v/>
      </c>
      <c r="AK16" s="82">
        <f>AC16/AG16</f>
        <v/>
      </c>
      <c r="AL16" s="568">
        <f>(AJ16-AJ15)/AJ15</f>
        <v/>
      </c>
      <c r="AM16" s="103">
        <f>(AJ16-AK16)/AK16</f>
        <v/>
      </c>
    </row>
    <row customFormat="1" customHeight="1" ht="15.75" r="17" s="357" spans="1:40">
      <c r="A17" s="69" t="s">
        <v>43</v>
      </c>
      <c r="B17" s="69" t="s">
        <v>93</v>
      </c>
      <c r="C17" s="70">
        <f>C16+7</f>
        <v/>
      </c>
      <c r="D17" s="571" t="n"/>
      <c r="E17" s="571" t="n"/>
      <c r="F17" s="571">
        <f>(D17-D16)/D16</f>
        <v/>
      </c>
      <c r="G17" s="104">
        <f>(D17-E17)/E17</f>
        <v/>
      </c>
      <c r="H17" s="572" t="n"/>
      <c r="I17" s="572" t="n"/>
      <c r="J17" s="104">
        <f>(H17-H16)/H16</f>
        <v/>
      </c>
      <c r="K17" s="104">
        <f>(H17-I17)/I17</f>
        <v/>
      </c>
      <c r="L17" s="572">
        <f>D17/H17</f>
        <v/>
      </c>
      <c r="M17" s="571">
        <f>E17/I17</f>
        <v/>
      </c>
      <c r="N17" s="104">
        <f>(L17-L16)/L16</f>
        <v/>
      </c>
      <c r="O17" s="104">
        <f>(L17-M17)/M17</f>
        <v/>
      </c>
      <c r="P17" s="573" t="n"/>
      <c r="Q17" s="573" t="n"/>
      <c r="R17" s="104">
        <f>(P17-P16)/P16</f>
        <v/>
      </c>
      <c r="S17" s="104">
        <f>(P17-Q17)/Q17</f>
        <v/>
      </c>
      <c r="T17" s="573" t="n"/>
      <c r="U17" s="573" t="n"/>
      <c r="V17" s="573">
        <f>(T17-T16)/T16</f>
        <v/>
      </c>
      <c r="W17" s="104">
        <f>(T17-U17)/U17</f>
        <v/>
      </c>
      <c r="X17" s="571">
        <f>D17/T17</f>
        <v/>
      </c>
      <c r="Y17" s="573">
        <f>E17/U17</f>
        <v/>
      </c>
      <c r="Z17" s="104">
        <f>(X17-X16)/X16</f>
        <v/>
      </c>
      <c r="AA17" s="104">
        <f>(X17-Y17)/Y17</f>
        <v/>
      </c>
      <c r="AB17" s="573" t="n"/>
      <c r="AC17" s="573" t="n"/>
      <c r="AD17" s="573">
        <f>(AB17-AB16)/AB16</f>
        <v/>
      </c>
      <c r="AE17" s="104">
        <f>(AB17-AC17)/AC17</f>
        <v/>
      </c>
      <c r="AF17" s="573" t="n"/>
      <c r="AG17" s="573" t="n"/>
      <c r="AH17" s="573">
        <f>(AF17-AF16)/AF16</f>
        <v/>
      </c>
      <c r="AI17" s="104">
        <f>(AF17-AG17)/AG17</f>
        <v/>
      </c>
      <c r="AJ17" s="83">
        <f>AB17/AF17</f>
        <v/>
      </c>
      <c r="AK17" s="83">
        <f>AC17/AG17</f>
        <v/>
      </c>
      <c r="AL17" s="573">
        <f>(AJ17-AJ16)/AJ16</f>
        <v/>
      </c>
      <c r="AM17" s="104">
        <f>(AJ17-AK17)/AK17</f>
        <v/>
      </c>
    </row>
    <row customHeight="1" ht="15.75" r="18" s="452" spans="1:40">
      <c r="A18" s="49" t="s">
        <v>44</v>
      </c>
      <c r="B18" s="49" t="s">
        <v>95</v>
      </c>
      <c r="C18" s="50">
        <f>C17+7</f>
        <v/>
      </c>
      <c r="D18" s="566" t="n"/>
      <c r="E18" s="566" t="n"/>
      <c r="F18" s="566">
        <f>(D18-D17)/D17</f>
        <v/>
      </c>
      <c r="G18" s="103">
        <f>(D18-E18)/E18</f>
        <v/>
      </c>
      <c r="H18" s="567" t="n"/>
      <c r="I18" s="567" t="n"/>
      <c r="J18" s="103">
        <f>(H18-H17)/H17</f>
        <v/>
      </c>
      <c r="K18" s="103">
        <f>(H18-I18)/I18</f>
        <v/>
      </c>
      <c r="L18" s="567">
        <f>D18/H18</f>
        <v/>
      </c>
      <c r="M18" s="566">
        <f>E18/I18</f>
        <v/>
      </c>
      <c r="N18" s="103">
        <f>(L18-L17)/L17</f>
        <v/>
      </c>
      <c r="O18" s="103">
        <f>(L18-M18)/M18</f>
        <v/>
      </c>
      <c r="P18" s="568" t="n"/>
      <c r="Q18" s="568" t="n"/>
      <c r="R18" s="103">
        <f>(P18-P17)/P17</f>
        <v/>
      </c>
      <c r="S18" s="103">
        <f>(P18-Q18)/Q18</f>
        <v/>
      </c>
      <c r="T18" s="568" t="n"/>
      <c r="U18" s="568" t="n"/>
      <c r="V18" s="568">
        <f>(T18-T17)/T17</f>
        <v/>
      </c>
      <c r="W18" s="103">
        <f>(T18-U18)/U18</f>
        <v/>
      </c>
      <c r="X18" s="566">
        <f>D18/T18</f>
        <v/>
      </c>
      <c r="Y18" s="568">
        <f>E18/U18</f>
        <v/>
      </c>
      <c r="Z18" s="103">
        <f>(X18-X17)/X17</f>
        <v/>
      </c>
      <c r="AA18" s="103">
        <f>(X18-Y18)/Y18</f>
        <v/>
      </c>
      <c r="AB18" s="568" t="n"/>
      <c r="AC18" s="568" t="n"/>
      <c r="AD18" s="568">
        <f>(AB18-AB17)/AB17</f>
        <v/>
      </c>
      <c r="AE18" s="103">
        <f>(AB18-AC18)/AC18</f>
        <v/>
      </c>
      <c r="AF18" s="568" t="n"/>
      <c r="AG18" s="568" t="n"/>
      <c r="AH18" s="568">
        <f>(AF18-AF17)/AF17</f>
        <v/>
      </c>
      <c r="AI18" s="103">
        <f>(AF18-AG18)/AG18</f>
        <v/>
      </c>
      <c r="AJ18" s="82">
        <f>AB18/AF18</f>
        <v/>
      </c>
      <c r="AK18" s="82">
        <f>AC18/AG18</f>
        <v/>
      </c>
      <c r="AL18" s="568">
        <f>(AJ18-AJ17)/AJ17</f>
        <v/>
      </c>
      <c r="AM18" s="103">
        <f>(AJ18-AK18)/AK18</f>
        <v/>
      </c>
    </row>
    <row customHeight="1" ht="15.75" r="19" s="452" spans="1:40">
      <c r="A19" s="49" t="s">
        <v>44</v>
      </c>
      <c r="B19" s="49" t="s">
        <v>96</v>
      </c>
      <c r="C19" s="50">
        <f>C18+7</f>
        <v/>
      </c>
      <c r="D19" s="566" t="n"/>
      <c r="E19" s="566" t="n"/>
      <c r="F19" s="566">
        <f>(D19-D18)/D18</f>
        <v/>
      </c>
      <c r="G19" s="103">
        <f>(D19-E19)/E19</f>
        <v/>
      </c>
      <c r="H19" s="567" t="n"/>
      <c r="I19" s="567" t="n"/>
      <c r="J19" s="103">
        <f>(H19-H18)/H18</f>
        <v/>
      </c>
      <c r="K19" s="103">
        <f>(H19-I19)/I19</f>
        <v/>
      </c>
      <c r="L19" s="567">
        <f>D19/H19</f>
        <v/>
      </c>
      <c r="M19" s="566">
        <f>E19/I19</f>
        <v/>
      </c>
      <c r="N19" s="103">
        <f>(L19-L18)/L18</f>
        <v/>
      </c>
      <c r="O19" s="103">
        <f>(L19-M19)/M19</f>
        <v/>
      </c>
      <c r="P19" s="568" t="n"/>
      <c r="Q19" s="568" t="n"/>
      <c r="R19" s="103">
        <f>(P19-P18)/P18</f>
        <v/>
      </c>
      <c r="S19" s="103">
        <f>(P19-Q19)/Q19</f>
        <v/>
      </c>
      <c r="T19" s="568" t="n"/>
      <c r="U19" s="568" t="n"/>
      <c r="V19" s="568">
        <f>(T19-T18)/T18</f>
        <v/>
      </c>
      <c r="W19" s="103">
        <f>(T19-U19)/U19</f>
        <v/>
      </c>
      <c r="X19" s="566">
        <f>D19/T19</f>
        <v/>
      </c>
      <c r="Y19" s="568">
        <f>E19/U19</f>
        <v/>
      </c>
      <c r="Z19" s="103">
        <f>(X19-X18)/X18</f>
        <v/>
      </c>
      <c r="AA19" s="103">
        <f>(X19-Y19)/Y19</f>
        <v/>
      </c>
      <c r="AB19" s="568" t="n"/>
      <c r="AC19" s="568" t="n"/>
      <c r="AD19" s="568">
        <f>(AB19-AB18)/AB18</f>
        <v/>
      </c>
      <c r="AE19" s="103">
        <f>(AB19-AC19)/AC19</f>
        <v/>
      </c>
      <c r="AF19" s="568" t="n"/>
      <c r="AG19" s="568" t="n"/>
      <c r="AH19" s="568">
        <f>(AF19-AF18)/AF18</f>
        <v/>
      </c>
      <c r="AI19" s="103">
        <f>(AF19-AG19)/AG19</f>
        <v/>
      </c>
      <c r="AJ19" s="82">
        <f>AB19/AF19</f>
        <v/>
      </c>
      <c r="AK19" s="82">
        <f>AC19/AG19</f>
        <v/>
      </c>
      <c r="AL19" s="568">
        <f>(AJ19-AJ18)/AJ18</f>
        <v/>
      </c>
      <c r="AM19" s="103">
        <f>(AJ19-AK19)/AK19</f>
        <v/>
      </c>
    </row>
    <row customHeight="1" ht="15.75" r="20" s="452" spans="1:40">
      <c r="A20" s="49" t="s">
        <v>44</v>
      </c>
      <c r="B20" s="49" t="s">
        <v>98</v>
      </c>
      <c r="C20" s="50">
        <f>C19+7</f>
        <v/>
      </c>
      <c r="D20" s="566" t="n"/>
      <c r="E20" s="566" t="n"/>
      <c r="F20" s="566">
        <f>(D20-D19)/D19</f>
        <v/>
      </c>
      <c r="G20" s="103">
        <f>(D20-E20)/E20</f>
        <v/>
      </c>
      <c r="H20" s="567" t="n"/>
      <c r="I20" s="567" t="n"/>
      <c r="J20" s="103">
        <f>(H20-H19)/H19</f>
        <v/>
      </c>
      <c r="K20" s="103">
        <f>(H20-I20)/I20</f>
        <v/>
      </c>
      <c r="L20" s="567">
        <f>D20/H20</f>
        <v/>
      </c>
      <c r="M20" s="566">
        <f>E20/I20</f>
        <v/>
      </c>
      <c r="N20" s="103">
        <f>(L20-L19)/L19</f>
        <v/>
      </c>
      <c r="O20" s="103">
        <f>(L20-M20)/M20</f>
        <v/>
      </c>
      <c r="P20" s="568" t="n"/>
      <c r="Q20" s="568" t="n"/>
      <c r="R20" s="103">
        <f>(P20-P19)/P19</f>
        <v/>
      </c>
      <c r="S20" s="103">
        <f>(P20-Q20)/Q20</f>
        <v/>
      </c>
      <c r="T20" s="568" t="n"/>
      <c r="U20" s="568" t="n"/>
      <c r="V20" s="568">
        <f>(T20-T19)/T19</f>
        <v/>
      </c>
      <c r="W20" s="103">
        <f>(T20-U20)/U20</f>
        <v/>
      </c>
      <c r="X20" s="566">
        <f>D20/T20</f>
        <v/>
      </c>
      <c r="Y20" s="568">
        <f>E20/U20</f>
        <v/>
      </c>
      <c r="Z20" s="103">
        <f>(X20-X19)/X19</f>
        <v/>
      </c>
      <c r="AA20" s="103">
        <f>(X20-Y20)/Y20</f>
        <v/>
      </c>
      <c r="AB20" s="568" t="n"/>
      <c r="AC20" s="568" t="n"/>
      <c r="AD20" s="568">
        <f>(AB20-AB19)/AB19</f>
        <v/>
      </c>
      <c r="AE20" s="103">
        <f>(AB20-AC20)/AC20</f>
        <v/>
      </c>
      <c r="AF20" s="568" t="n"/>
      <c r="AG20" s="568" t="n"/>
      <c r="AH20" s="568">
        <f>(AF20-AF19)/AF19</f>
        <v/>
      </c>
      <c r="AI20" s="103">
        <f>(AF20-AG20)/AG20</f>
        <v/>
      </c>
      <c r="AJ20" s="82">
        <f>AB20/AF20</f>
        <v/>
      </c>
      <c r="AK20" s="82">
        <f>AC20/AG20</f>
        <v/>
      </c>
      <c r="AL20" s="568">
        <f>(AJ20-AJ19)/AJ19</f>
        <v/>
      </c>
      <c r="AM20" s="103">
        <f>(AJ20-AK20)/AK20</f>
        <v/>
      </c>
    </row>
    <row customFormat="1" customHeight="1" ht="15.75" r="21" s="357" spans="1:40">
      <c r="A21" s="69" t="s">
        <v>44</v>
      </c>
      <c r="B21" s="69" t="s">
        <v>99</v>
      </c>
      <c r="C21" s="70">
        <f>C20+7</f>
        <v/>
      </c>
      <c r="D21" s="571" t="n"/>
      <c r="E21" s="571" t="n"/>
      <c r="F21" s="571">
        <f>(D21-D20)/D20</f>
        <v/>
      </c>
      <c r="G21" s="104">
        <f>(D21-E21)/E21</f>
        <v/>
      </c>
      <c r="H21" s="572" t="n"/>
      <c r="I21" s="572" t="n"/>
      <c r="J21" s="104">
        <f>(H21-H20)/H20</f>
        <v/>
      </c>
      <c r="K21" s="104">
        <f>(H21-I21)/I21</f>
        <v/>
      </c>
      <c r="L21" s="572">
        <f>D21/H21</f>
        <v/>
      </c>
      <c r="M21" s="571">
        <f>E21/I21</f>
        <v/>
      </c>
      <c r="N21" s="104">
        <f>(L21-L20)/L20</f>
        <v/>
      </c>
      <c r="O21" s="104">
        <f>(L21-M21)/M21</f>
        <v/>
      </c>
      <c r="P21" s="573" t="n"/>
      <c r="Q21" s="573" t="n"/>
      <c r="R21" s="104">
        <f>(P21-P20)/P20</f>
        <v/>
      </c>
      <c r="S21" s="104">
        <f>(P21-Q21)/Q21</f>
        <v/>
      </c>
      <c r="T21" s="573" t="n"/>
      <c r="U21" s="573" t="n"/>
      <c r="V21" s="573">
        <f>(T21-T20)/T20</f>
        <v/>
      </c>
      <c r="W21" s="104">
        <f>(T21-U21)/U21</f>
        <v/>
      </c>
      <c r="X21" s="571">
        <f>D21/T21</f>
        <v/>
      </c>
      <c r="Y21" s="573">
        <f>E21/U21</f>
        <v/>
      </c>
      <c r="Z21" s="104">
        <f>(X21-X20)/X20</f>
        <v/>
      </c>
      <c r="AA21" s="104">
        <f>(X21-Y21)/Y21</f>
        <v/>
      </c>
      <c r="AB21" s="573" t="n"/>
      <c r="AC21" s="573" t="n"/>
      <c r="AD21" s="573">
        <f>(AB21-AB20)/AB20</f>
        <v/>
      </c>
      <c r="AE21" s="104">
        <f>(AB21-AC21)/AC21</f>
        <v/>
      </c>
      <c r="AF21" s="573" t="n"/>
      <c r="AG21" s="573" t="n"/>
      <c r="AH21" s="573">
        <f>(AF21-AF20)/AF20</f>
        <v/>
      </c>
      <c r="AI21" s="104">
        <f>(AF21-AG21)/AG21</f>
        <v/>
      </c>
      <c r="AJ21" s="83">
        <f>AB21/AF21</f>
        <v/>
      </c>
      <c r="AK21" s="83">
        <f>AC21/AG21</f>
        <v/>
      </c>
      <c r="AL21" s="573">
        <f>(AJ21-AJ20)/AJ20</f>
        <v/>
      </c>
      <c r="AM21" s="104">
        <f>(AJ21-AK21)/AK21</f>
        <v/>
      </c>
    </row>
    <row customHeight="1" ht="15.75" r="22" s="452" spans="1:40">
      <c r="A22" s="49" t="s">
        <v>45</v>
      </c>
      <c r="B22" s="49" t="s">
        <v>101</v>
      </c>
      <c r="C22" s="50">
        <f>C21+7</f>
        <v/>
      </c>
      <c r="D22" s="566" t="n"/>
      <c r="E22" s="566" t="n"/>
      <c r="F22" s="566">
        <f>(D22-D21)/D21</f>
        <v/>
      </c>
      <c r="G22" s="103">
        <f>(D22-E22)/E22</f>
        <v/>
      </c>
      <c r="H22" s="567" t="n"/>
      <c r="I22" s="567" t="n"/>
      <c r="J22" s="103">
        <f>(H22-H21)/H21</f>
        <v/>
      </c>
      <c r="K22" s="103">
        <f>(H22-I22)/I22</f>
        <v/>
      </c>
      <c r="L22" s="567">
        <f>D22/H22</f>
        <v/>
      </c>
      <c r="M22" s="566">
        <f>E22/I22</f>
        <v/>
      </c>
      <c r="N22" s="103">
        <f>(L22-L21)/L21</f>
        <v/>
      </c>
      <c r="O22" s="103">
        <f>(L22-M22)/M22</f>
        <v/>
      </c>
      <c r="P22" s="568" t="n"/>
      <c r="Q22" s="568" t="n"/>
      <c r="R22" s="103">
        <f>(P22-P21)/P21</f>
        <v/>
      </c>
      <c r="S22" s="103">
        <f>(P22-Q22)/Q22</f>
        <v/>
      </c>
      <c r="T22" s="568" t="n"/>
      <c r="U22" s="568" t="n"/>
      <c r="V22" s="568">
        <f>(T22-T21)/T21</f>
        <v/>
      </c>
      <c r="W22" s="103">
        <f>(T22-U22)/U22</f>
        <v/>
      </c>
      <c r="X22" s="566">
        <f>D22/T22</f>
        <v/>
      </c>
      <c r="Y22" s="568">
        <f>E22/U22</f>
        <v/>
      </c>
      <c r="Z22" s="103">
        <f>(X22-X21)/X21</f>
        <v/>
      </c>
      <c r="AA22" s="103">
        <f>(X22-Y22)/Y22</f>
        <v/>
      </c>
      <c r="AB22" s="568" t="n"/>
      <c r="AC22" s="568" t="n"/>
      <c r="AD22" s="568">
        <f>(AB22-AB21)/AB21</f>
        <v/>
      </c>
      <c r="AE22" s="103">
        <f>(AB22-AC22)/AC22</f>
        <v/>
      </c>
      <c r="AF22" s="568" t="n"/>
      <c r="AG22" s="568" t="n"/>
      <c r="AH22" s="568">
        <f>(AF22-AF21)/AF21</f>
        <v/>
      </c>
      <c r="AI22" s="103">
        <f>(AF22-AG22)/AG22</f>
        <v/>
      </c>
      <c r="AJ22" s="82">
        <f>AB22/AF22</f>
        <v/>
      </c>
      <c r="AK22" s="82">
        <f>AC22/AG22</f>
        <v/>
      </c>
      <c r="AL22" s="568">
        <f>(AJ22-AJ21)/AJ21</f>
        <v/>
      </c>
      <c r="AM22" s="103">
        <f>(AJ22-AK22)/AK22</f>
        <v/>
      </c>
    </row>
    <row customHeight="1" ht="15.75" r="23" s="452" spans="1:40">
      <c r="A23" s="49" t="s">
        <v>45</v>
      </c>
      <c r="B23" s="49" t="s">
        <v>102</v>
      </c>
      <c r="C23" s="50">
        <f>C22+7</f>
        <v/>
      </c>
      <c r="D23" s="566" t="n"/>
      <c r="E23" s="566" t="n"/>
      <c r="F23" s="566">
        <f>(D23-D22)/D22</f>
        <v/>
      </c>
      <c r="G23" s="103">
        <f>(D23-E23)/E23</f>
        <v/>
      </c>
      <c r="H23" s="567" t="n"/>
      <c r="I23" s="567" t="n"/>
      <c r="J23" s="103">
        <f>(H23-H22)/H22</f>
        <v/>
      </c>
      <c r="K23" s="103">
        <f>(H23-I23)/I23</f>
        <v/>
      </c>
      <c r="L23" s="567">
        <f>D23/H23</f>
        <v/>
      </c>
      <c r="M23" s="566">
        <f>E23/I23</f>
        <v/>
      </c>
      <c r="N23" s="103">
        <f>(L23-L22)/L22</f>
        <v/>
      </c>
      <c r="O23" s="103">
        <f>(L23-M23)/M23</f>
        <v/>
      </c>
      <c r="P23" s="568" t="n"/>
      <c r="Q23" s="568" t="n"/>
      <c r="R23" s="103">
        <f>(P23-P22)/P22</f>
        <v/>
      </c>
      <c r="S23" s="103">
        <f>(P23-Q23)/Q23</f>
        <v/>
      </c>
      <c r="T23" s="568" t="n"/>
      <c r="U23" s="568" t="n"/>
      <c r="V23" s="568">
        <f>(T23-T22)/T22</f>
        <v/>
      </c>
      <c r="W23" s="103">
        <f>(T23-U23)/U23</f>
        <v/>
      </c>
      <c r="X23" s="566">
        <f>D23/T23</f>
        <v/>
      </c>
      <c r="Y23" s="568">
        <f>E23/U23</f>
        <v/>
      </c>
      <c r="Z23" s="103">
        <f>(X23-X22)/X22</f>
        <v/>
      </c>
      <c r="AA23" s="103">
        <f>(X23-Y23)/Y23</f>
        <v/>
      </c>
      <c r="AB23" s="568" t="n"/>
      <c r="AC23" s="568" t="n"/>
      <c r="AD23" s="568">
        <f>(AB23-AB22)/AB22</f>
        <v/>
      </c>
      <c r="AE23" s="103">
        <f>(AB23-AC23)/AC23</f>
        <v/>
      </c>
      <c r="AF23" s="568" t="n"/>
      <c r="AG23" s="568" t="n"/>
      <c r="AH23" s="568">
        <f>(AF23-AF22)/AF22</f>
        <v/>
      </c>
      <c r="AI23" s="103">
        <f>(AF23-AG23)/AG23</f>
        <v/>
      </c>
      <c r="AJ23" s="82">
        <f>AB23/AF23</f>
        <v/>
      </c>
      <c r="AK23" s="82">
        <f>AC23/AG23</f>
        <v/>
      </c>
      <c r="AL23" s="568">
        <f>(AJ23-AJ22)/AJ22</f>
        <v/>
      </c>
      <c r="AM23" s="103">
        <f>(AJ23-AK23)/AK23</f>
        <v/>
      </c>
    </row>
    <row customHeight="1" ht="15.75" r="24" s="452" spans="1:40">
      <c r="A24" s="49" t="s">
        <v>45</v>
      </c>
      <c r="B24" s="49" t="s">
        <v>103</v>
      </c>
      <c r="C24" s="50">
        <f>C23+7</f>
        <v/>
      </c>
      <c r="D24" s="566" t="n"/>
      <c r="E24" s="566" t="n"/>
      <c r="F24" s="566">
        <f>(D24-D23)/D23</f>
        <v/>
      </c>
      <c r="G24" s="103">
        <f>(D24-E24)/E24</f>
        <v/>
      </c>
      <c r="H24" s="567" t="n"/>
      <c r="I24" s="567" t="n"/>
      <c r="J24" s="103">
        <f>(H24-H23)/H23</f>
        <v/>
      </c>
      <c r="K24" s="103">
        <f>(H24-I24)/I24</f>
        <v/>
      </c>
      <c r="L24" s="567">
        <f>D24/H24</f>
        <v/>
      </c>
      <c r="M24" s="566">
        <f>E24/I24</f>
        <v/>
      </c>
      <c r="N24" s="103">
        <f>(L24-L23)/L23</f>
        <v/>
      </c>
      <c r="O24" s="103">
        <f>(L24-M24)/M24</f>
        <v/>
      </c>
      <c r="P24" s="568" t="n"/>
      <c r="Q24" s="568" t="n"/>
      <c r="R24" s="103">
        <f>(P24-P23)/P23</f>
        <v/>
      </c>
      <c r="S24" s="103">
        <f>(P24-Q24)/Q24</f>
        <v/>
      </c>
      <c r="T24" s="568" t="n"/>
      <c r="U24" s="568" t="n"/>
      <c r="V24" s="568">
        <f>(T24-T23)/T23</f>
        <v/>
      </c>
      <c r="W24" s="103">
        <f>(T24-U24)/U24</f>
        <v/>
      </c>
      <c r="X24" s="566">
        <f>D24/T24</f>
        <v/>
      </c>
      <c r="Y24" s="568">
        <f>E24/U24</f>
        <v/>
      </c>
      <c r="Z24" s="103">
        <f>(X24-X23)/X23</f>
        <v/>
      </c>
      <c r="AA24" s="103">
        <f>(X24-Y24)/Y24</f>
        <v/>
      </c>
      <c r="AB24" s="568" t="n"/>
      <c r="AC24" s="568" t="n"/>
      <c r="AD24" s="568">
        <f>(AB24-AB23)/AB23</f>
        <v/>
      </c>
      <c r="AE24" s="103">
        <f>(AB24-AC24)/AC24</f>
        <v/>
      </c>
      <c r="AF24" s="568" t="n"/>
      <c r="AG24" s="568" t="n"/>
      <c r="AH24" s="568">
        <f>(AF24-AF23)/AF23</f>
        <v/>
      </c>
      <c r="AI24" s="103">
        <f>(AF24-AG24)/AG24</f>
        <v/>
      </c>
      <c r="AJ24" s="82">
        <f>AB24/AF24</f>
        <v/>
      </c>
      <c r="AK24" s="82">
        <f>AC24/AG24</f>
        <v/>
      </c>
      <c r="AL24" s="568">
        <f>(AJ24-AJ23)/AJ23</f>
        <v/>
      </c>
      <c r="AM24" s="103">
        <f>(AJ24-AK24)/AK24</f>
        <v/>
      </c>
    </row>
    <row customFormat="1" customHeight="1" ht="15.75" r="25" s="357" spans="1:40">
      <c r="A25" s="69" t="s">
        <v>45</v>
      </c>
      <c r="B25" s="69" t="s">
        <v>104</v>
      </c>
      <c r="C25" s="70">
        <f>C24+7</f>
        <v/>
      </c>
      <c r="D25" s="571" t="n"/>
      <c r="E25" s="571" t="n"/>
      <c r="F25" s="571">
        <f>(D25-D24)/D24</f>
        <v/>
      </c>
      <c r="G25" s="104">
        <f>(D25-E25)/E25</f>
        <v/>
      </c>
      <c r="H25" s="572" t="n"/>
      <c r="I25" s="572" t="n"/>
      <c r="J25" s="104">
        <f>(H25-H24)/H24</f>
        <v/>
      </c>
      <c r="K25" s="104">
        <f>(H25-I25)/I25</f>
        <v/>
      </c>
      <c r="L25" s="572">
        <f>D25/H25</f>
        <v/>
      </c>
      <c r="M25" s="571">
        <f>E25/I25</f>
        <v/>
      </c>
      <c r="N25" s="104">
        <f>(L25-L24)/L24</f>
        <v/>
      </c>
      <c r="O25" s="104">
        <f>(L25-M25)/M25</f>
        <v/>
      </c>
      <c r="P25" s="573" t="n"/>
      <c r="Q25" s="573" t="n"/>
      <c r="R25" s="104">
        <f>(P25-P24)/P24</f>
        <v/>
      </c>
      <c r="S25" s="104">
        <f>(P25-Q25)/Q25</f>
        <v/>
      </c>
      <c r="T25" s="573" t="n"/>
      <c r="U25" s="573" t="n"/>
      <c r="V25" s="573">
        <f>(T25-T24)/T24</f>
        <v/>
      </c>
      <c r="W25" s="104">
        <f>(T25-U25)/U25</f>
        <v/>
      </c>
      <c r="X25" s="571">
        <f>D25/T25</f>
        <v/>
      </c>
      <c r="Y25" s="573">
        <f>E25/U25</f>
        <v/>
      </c>
      <c r="Z25" s="104">
        <f>(X25-X24)/X24</f>
        <v/>
      </c>
      <c r="AA25" s="104">
        <f>(X25-Y25)/Y25</f>
        <v/>
      </c>
      <c r="AB25" s="573" t="n"/>
      <c r="AC25" s="573" t="n"/>
      <c r="AD25" s="573">
        <f>(AB25-AB24)/AB24</f>
        <v/>
      </c>
      <c r="AE25" s="104">
        <f>(AB25-AC25)/AC25</f>
        <v/>
      </c>
      <c r="AF25" s="573" t="n"/>
      <c r="AG25" s="573" t="n"/>
      <c r="AH25" s="573">
        <f>(AF25-AF24)/AF24</f>
        <v/>
      </c>
      <c r="AI25" s="104">
        <f>(AF25-AG25)/AG25</f>
        <v/>
      </c>
      <c r="AJ25" s="83">
        <f>AB25/AF25</f>
        <v/>
      </c>
      <c r="AK25" s="83">
        <f>AC25/AG25</f>
        <v/>
      </c>
      <c r="AL25" s="573">
        <f>(AJ25-AJ24)/AJ24</f>
        <v/>
      </c>
      <c r="AM25" s="104">
        <f>(AJ25-AK25)/AK25</f>
        <v/>
      </c>
    </row>
    <row customHeight="1" ht="15.75" r="26" s="452" spans="1:40">
      <c r="A26" s="49" t="s">
        <v>46</v>
      </c>
      <c r="B26" s="49" t="s">
        <v>106</v>
      </c>
      <c r="C26" s="50">
        <f>C25+7</f>
        <v/>
      </c>
      <c r="D26" s="566" t="n"/>
      <c r="E26" s="566" t="n"/>
      <c r="F26" s="566">
        <f>(D26-D25)/D25</f>
        <v/>
      </c>
      <c r="G26" s="103">
        <f>(D26-E26)/E26</f>
        <v/>
      </c>
      <c r="H26" s="567" t="n"/>
      <c r="I26" s="567" t="n"/>
      <c r="J26" s="103">
        <f>(H26-H25)/H25</f>
        <v/>
      </c>
      <c r="K26" s="103">
        <f>(H26-I26)/I26</f>
        <v/>
      </c>
      <c r="L26" s="567">
        <f>D26/H26</f>
        <v/>
      </c>
      <c r="M26" s="566">
        <f>E26/I26</f>
        <v/>
      </c>
      <c r="N26" s="103">
        <f>(L26-L25)/L25</f>
        <v/>
      </c>
      <c r="O26" s="103">
        <f>(L26-M26)/M26</f>
        <v/>
      </c>
      <c r="P26" s="568" t="n"/>
      <c r="Q26" s="568" t="n"/>
      <c r="R26" s="103">
        <f>(P26-P25)/P25</f>
        <v/>
      </c>
      <c r="S26" s="103">
        <f>(P26-Q26)/Q26</f>
        <v/>
      </c>
      <c r="T26" s="568" t="n"/>
      <c r="U26" s="568" t="n"/>
      <c r="V26" s="568">
        <f>(T26-T25)/T25</f>
        <v/>
      </c>
      <c r="W26" s="103">
        <f>(T26-U26)/U26</f>
        <v/>
      </c>
      <c r="X26" s="566">
        <f>D26/T26</f>
        <v/>
      </c>
      <c r="Y26" s="568">
        <f>E26/U26</f>
        <v/>
      </c>
      <c r="Z26" s="103">
        <f>(X26-X25)/X25</f>
        <v/>
      </c>
      <c r="AA26" s="103">
        <f>(X26-Y26)/Y26</f>
        <v/>
      </c>
      <c r="AB26" s="568" t="n"/>
      <c r="AC26" s="568" t="n"/>
      <c r="AD26" s="568">
        <f>(AB26-AB25)/AB25</f>
        <v/>
      </c>
      <c r="AE26" s="103">
        <f>(AB26-AC26)/AC26</f>
        <v/>
      </c>
      <c r="AF26" s="568" t="n"/>
      <c r="AG26" s="568" t="n"/>
      <c r="AH26" s="568">
        <f>(AF26-AF25)/AF25</f>
        <v/>
      </c>
      <c r="AI26" s="104">
        <f>(AF26-AG26)/AG26</f>
        <v/>
      </c>
      <c r="AJ26" s="82">
        <f>AB26/AF26</f>
        <v/>
      </c>
      <c r="AK26" s="82">
        <f>AC26/AG26</f>
        <v/>
      </c>
      <c r="AL26" s="568">
        <f>(AJ26-AJ25)/AJ25</f>
        <v/>
      </c>
      <c r="AM26" s="103">
        <f>(AJ26-AK26)/AK26</f>
        <v/>
      </c>
    </row>
    <row customHeight="1" ht="15.75" r="27" s="452" spans="1:40">
      <c r="A27" s="49" t="s">
        <v>46</v>
      </c>
      <c r="B27" s="49" t="s">
        <v>108</v>
      </c>
      <c r="C27" s="50">
        <f>C26+7</f>
        <v/>
      </c>
      <c r="D27" s="566" t="n"/>
      <c r="E27" s="566" t="n"/>
      <c r="F27" s="566">
        <f>(D27-D26)/D26</f>
        <v/>
      </c>
      <c r="G27" s="103">
        <f>(D27-E27)/E27</f>
        <v/>
      </c>
      <c r="H27" s="567" t="n"/>
      <c r="I27" s="567" t="n"/>
      <c r="J27" s="103">
        <f>(H27-H26)/H26</f>
        <v/>
      </c>
      <c r="K27" s="103">
        <f>(H27-I27)/I27</f>
        <v/>
      </c>
      <c r="L27" s="567">
        <f>D27/H27</f>
        <v/>
      </c>
      <c r="M27" s="566">
        <f>E27/I27</f>
        <v/>
      </c>
      <c r="N27" s="103">
        <f>(L27-L26)/L26</f>
        <v/>
      </c>
      <c r="O27" s="103">
        <f>(L27-M27)/M27</f>
        <v/>
      </c>
      <c r="P27" s="568" t="n"/>
      <c r="Q27" s="568" t="n"/>
      <c r="R27" s="103">
        <f>(P27-P26)/P26</f>
        <v/>
      </c>
      <c r="S27" s="103">
        <f>(P27-Q27)/Q27</f>
        <v/>
      </c>
      <c r="T27" s="568" t="n"/>
      <c r="U27" s="568" t="n"/>
      <c r="V27" s="568">
        <f>(T27-T26)/T26</f>
        <v/>
      </c>
      <c r="W27" s="103">
        <f>(T27-U27)/U27</f>
        <v/>
      </c>
      <c r="X27" s="566">
        <f>D27/T27</f>
        <v/>
      </c>
      <c r="Y27" s="568">
        <f>E27/U27</f>
        <v/>
      </c>
      <c r="Z27" s="103">
        <f>(X27-X26)/X26</f>
        <v/>
      </c>
      <c r="AA27" s="103">
        <f>(X27-Y27)/Y27</f>
        <v/>
      </c>
      <c r="AB27" s="568" t="n"/>
      <c r="AC27" s="568" t="n"/>
      <c r="AD27" s="568">
        <f>(AB27-AB26)/AB26</f>
        <v/>
      </c>
      <c r="AE27" s="103">
        <f>(AB27-AC27)/AC27</f>
        <v/>
      </c>
      <c r="AF27" s="568" t="n"/>
      <c r="AG27" s="568" t="n"/>
      <c r="AH27" s="568">
        <f>(AF27-AF26)/AF26</f>
        <v/>
      </c>
      <c r="AI27" s="103">
        <f>(AF27-AG27)/AG27</f>
        <v/>
      </c>
      <c r="AJ27" s="82">
        <f>AB27/AF27</f>
        <v/>
      </c>
      <c r="AK27" s="82">
        <f>AC27/AG27</f>
        <v/>
      </c>
      <c r="AL27" s="568">
        <f>(AJ27-AJ26)/AJ26</f>
        <v/>
      </c>
      <c r="AM27" s="103">
        <f>(AJ27-AK27)/AK27</f>
        <v/>
      </c>
    </row>
    <row customHeight="1" ht="15.75" r="28" s="452" spans="1:40">
      <c r="A28" s="49" t="s">
        <v>46</v>
      </c>
      <c r="B28" s="49" t="s">
        <v>109</v>
      </c>
      <c r="C28" s="50">
        <f>C27+7</f>
        <v/>
      </c>
      <c r="D28" s="566" t="n"/>
      <c r="E28" s="566" t="n"/>
      <c r="F28" s="566">
        <f>(D28-D27)/D27</f>
        <v/>
      </c>
      <c r="G28" s="103">
        <f>(D28-E28)/E28</f>
        <v/>
      </c>
      <c r="H28" s="567" t="n"/>
      <c r="I28" s="567" t="n"/>
      <c r="J28" s="103">
        <f>(H28-H27)/H27</f>
        <v/>
      </c>
      <c r="K28" s="103">
        <f>(H28-I28)/I28</f>
        <v/>
      </c>
      <c r="L28" s="567">
        <f>D28/H28</f>
        <v/>
      </c>
      <c r="M28" s="566">
        <f>E28/I28</f>
        <v/>
      </c>
      <c r="N28" s="103">
        <f>(L28-L27)/L27</f>
        <v/>
      </c>
      <c r="O28" s="103">
        <f>(L28-M28)/M28</f>
        <v/>
      </c>
      <c r="P28" s="568" t="n"/>
      <c r="Q28" s="568" t="n"/>
      <c r="R28" s="103">
        <f>(P28-P27)/P27</f>
        <v/>
      </c>
      <c r="S28" s="103">
        <f>(P28-Q28)/Q28</f>
        <v/>
      </c>
      <c r="T28" s="568" t="n"/>
      <c r="U28" s="568" t="n"/>
      <c r="V28" s="568">
        <f>(T28-T27)/T27</f>
        <v/>
      </c>
      <c r="W28" s="103">
        <f>(T28-U28)/U28</f>
        <v/>
      </c>
      <c r="X28" s="566">
        <f>D28/T28</f>
        <v/>
      </c>
      <c r="Y28" s="568">
        <f>E28/U28</f>
        <v/>
      </c>
      <c r="Z28" s="103">
        <f>(X28-X27)/X27</f>
        <v/>
      </c>
      <c r="AA28" s="103">
        <f>(X28-Y28)/Y28</f>
        <v/>
      </c>
      <c r="AB28" s="568" t="n"/>
      <c r="AC28" s="568" t="n"/>
      <c r="AD28" s="568">
        <f>(AB28-AB27)/AB27</f>
        <v/>
      </c>
      <c r="AE28" s="103">
        <f>(AB28-AC28)/AC28</f>
        <v/>
      </c>
      <c r="AF28" s="568" t="n"/>
      <c r="AG28" s="568" t="n"/>
      <c r="AH28" s="568">
        <f>(AF28-AF27)/AF27</f>
        <v/>
      </c>
      <c r="AI28" s="103">
        <f>(AF28-AG28)/AG28</f>
        <v/>
      </c>
      <c r="AJ28" s="82">
        <f>AB28/AF28</f>
        <v/>
      </c>
      <c r="AK28" s="82">
        <f>AC28/AG28</f>
        <v/>
      </c>
      <c r="AL28" s="568">
        <f>(AJ28-AJ27)/AJ27</f>
        <v/>
      </c>
      <c r="AM28" s="103">
        <f>(AJ28-AK28)/AK28</f>
        <v/>
      </c>
    </row>
    <row customFormat="1" customHeight="1" ht="15.75" r="29" s="357" spans="1:40">
      <c r="A29" s="69" t="s">
        <v>46</v>
      </c>
      <c r="B29" s="69" t="s">
        <v>110</v>
      </c>
      <c r="C29" s="70">
        <f>C28+7</f>
        <v/>
      </c>
      <c r="D29" s="571" t="n"/>
      <c r="E29" s="571" t="n"/>
      <c r="F29" s="571">
        <f>(D29-D28)/D28</f>
        <v/>
      </c>
      <c r="G29" s="104">
        <f>(D29-E29)/E29</f>
        <v/>
      </c>
      <c r="H29" s="572" t="n"/>
      <c r="I29" s="572" t="n"/>
      <c r="J29" s="104">
        <f>(H29-H28)/H28</f>
        <v/>
      </c>
      <c r="K29" s="104">
        <f>(H29-I29)/I29</f>
        <v/>
      </c>
      <c r="L29" s="572">
        <f>D29/H29</f>
        <v/>
      </c>
      <c r="M29" s="571">
        <f>E29/I29</f>
        <v/>
      </c>
      <c r="N29" s="104">
        <f>(L29-L28)/L28</f>
        <v/>
      </c>
      <c r="O29" s="104">
        <f>(L29-M29)/M29</f>
        <v/>
      </c>
      <c r="P29" s="573" t="n"/>
      <c r="Q29" s="573" t="n"/>
      <c r="R29" s="104">
        <f>(P29-P28)/P28</f>
        <v/>
      </c>
      <c r="S29" s="104">
        <f>(P29-Q29)/Q29</f>
        <v/>
      </c>
      <c r="T29" s="573" t="n"/>
      <c r="U29" s="573" t="n"/>
      <c r="V29" s="573">
        <f>(T29-T28)/T28</f>
        <v/>
      </c>
      <c r="W29" s="104">
        <f>(T29-U29)/U29</f>
        <v/>
      </c>
      <c r="X29" s="571">
        <f>D29/T29</f>
        <v/>
      </c>
      <c r="Y29" s="573">
        <f>E29/U29</f>
        <v/>
      </c>
      <c r="Z29" s="104">
        <f>(X29-X28)/X28</f>
        <v/>
      </c>
      <c r="AA29" s="104">
        <f>(X29-Y29)/Y29</f>
        <v/>
      </c>
      <c r="AB29" s="573" t="n"/>
      <c r="AC29" s="573" t="n"/>
      <c r="AD29" s="573">
        <f>(AB29-AB28)/AB28</f>
        <v/>
      </c>
      <c r="AE29" s="104">
        <f>(AB29-AC29)/AC29</f>
        <v/>
      </c>
      <c r="AF29" s="573" t="n"/>
      <c r="AG29" s="573" t="n"/>
      <c r="AH29" s="573">
        <f>(AF29-AF28)/AF28</f>
        <v/>
      </c>
      <c r="AI29" s="104">
        <f>(AF29-AG29)/AG29</f>
        <v/>
      </c>
      <c r="AJ29" s="83">
        <f>AB29/AF29</f>
        <v/>
      </c>
      <c r="AK29" s="83">
        <f>AC29/AG29</f>
        <v/>
      </c>
      <c r="AL29" s="573">
        <f>(AJ29-AJ28)/AJ28</f>
        <v/>
      </c>
      <c r="AM29" s="104">
        <f>(AJ29-AK29)/AK29</f>
        <v/>
      </c>
    </row>
    <row customHeight="1" ht="15.75" r="30" s="452" spans="1:40">
      <c r="A30" s="49" t="s">
        <v>47</v>
      </c>
      <c r="B30" s="49" t="s">
        <v>111</v>
      </c>
      <c r="C30" s="50">
        <f>C29+7</f>
        <v/>
      </c>
      <c r="D30" s="566" t="n"/>
      <c r="E30" s="566" t="n"/>
      <c r="F30" s="566">
        <f>(D30-D29)/D29</f>
        <v/>
      </c>
      <c r="G30" s="103">
        <f>(D30-E30)/E30</f>
        <v/>
      </c>
      <c r="H30" s="567" t="n"/>
      <c r="I30" s="567" t="n"/>
      <c r="J30" s="103">
        <f>(H30-H29)/H29</f>
        <v/>
      </c>
      <c r="K30" s="103">
        <f>(H30-I30)/I30</f>
        <v/>
      </c>
      <c r="L30" s="567">
        <f>D30/H30</f>
        <v/>
      </c>
      <c r="M30" s="566">
        <f>E30/I30</f>
        <v/>
      </c>
      <c r="N30" s="103">
        <f>(L30-L29)/L29</f>
        <v/>
      </c>
      <c r="O30" s="103">
        <f>(L30-M30)/M30</f>
        <v/>
      </c>
      <c r="P30" s="568" t="n"/>
      <c r="Q30" s="568" t="n"/>
      <c r="R30" s="103">
        <f>(P30-P29)/P29</f>
        <v/>
      </c>
      <c r="S30" s="103">
        <f>(P30-Q30)/Q30</f>
        <v/>
      </c>
      <c r="T30" s="568" t="n"/>
      <c r="U30" s="568" t="n"/>
      <c r="V30" s="568">
        <f>(T30-T29)/T29</f>
        <v/>
      </c>
      <c r="W30" s="103">
        <f>(T30-U30)/U30</f>
        <v/>
      </c>
      <c r="X30" s="566">
        <f>D30/T30</f>
        <v/>
      </c>
      <c r="Y30" s="568">
        <f>E30/U30</f>
        <v/>
      </c>
      <c r="Z30" s="103">
        <f>(X30-X29)/X29</f>
        <v/>
      </c>
      <c r="AA30" s="103">
        <f>(X30-Y30)/Y30</f>
        <v/>
      </c>
      <c r="AB30" s="568" t="n"/>
      <c r="AC30" s="568" t="n"/>
      <c r="AD30" s="568">
        <f>(AB30-AB29)/AB29</f>
        <v/>
      </c>
      <c r="AE30" s="103">
        <f>(AB30-AC30)/AC30</f>
        <v/>
      </c>
      <c r="AF30" s="568" t="n"/>
      <c r="AG30" s="568" t="n"/>
      <c r="AH30" s="568">
        <f>(AF30-AF29)/AF29</f>
        <v/>
      </c>
      <c r="AI30" s="103">
        <f>(AF30-AG30)/AG30</f>
        <v/>
      </c>
      <c r="AJ30" s="82">
        <f>AB30/AF30</f>
        <v/>
      </c>
      <c r="AK30" s="82">
        <f>AC30/AG30</f>
        <v/>
      </c>
      <c r="AL30" s="568">
        <f>(AJ30-AJ29)/AJ29</f>
        <v/>
      </c>
      <c r="AM30" s="103">
        <f>(AJ30-AK30)/AK30</f>
        <v/>
      </c>
    </row>
    <row customHeight="1" ht="15.75" r="31" s="452" spans="1:40">
      <c r="A31" s="49" t="s">
        <v>47</v>
      </c>
      <c r="B31" s="49" t="s">
        <v>112</v>
      </c>
      <c r="C31" s="50">
        <f>C30+7</f>
        <v/>
      </c>
      <c r="D31" s="566" t="n"/>
      <c r="E31" s="566" t="n"/>
      <c r="F31" s="566">
        <f>(D31-D30)/D30</f>
        <v/>
      </c>
      <c r="G31" s="103">
        <f>(D31-E31)/E31</f>
        <v/>
      </c>
      <c r="H31" s="567" t="n"/>
      <c r="I31" s="567" t="n"/>
      <c r="J31" s="103">
        <f>(H31-H30)/H30</f>
        <v/>
      </c>
      <c r="K31" s="103">
        <f>(H31-I31)/I31</f>
        <v/>
      </c>
      <c r="L31" s="567">
        <f>D31/H31</f>
        <v/>
      </c>
      <c r="M31" s="566">
        <f>E31/I31</f>
        <v/>
      </c>
      <c r="N31" s="103">
        <f>(L31-L30)/L30</f>
        <v/>
      </c>
      <c r="O31" s="103">
        <f>(L31-M31)/M31</f>
        <v/>
      </c>
      <c r="P31" s="568" t="n"/>
      <c r="Q31" s="568" t="n"/>
      <c r="R31" s="103">
        <f>(P31-P30)/P30</f>
        <v/>
      </c>
      <c r="S31" s="103">
        <f>(P31-Q31)/Q31</f>
        <v/>
      </c>
      <c r="T31" s="568" t="n"/>
      <c r="U31" s="568" t="n"/>
      <c r="V31" s="568">
        <f>(T31-T30)/T30</f>
        <v/>
      </c>
      <c r="W31" s="103">
        <f>(T31-U31)/U31</f>
        <v/>
      </c>
      <c r="X31" s="566">
        <f>D31/T31</f>
        <v/>
      </c>
      <c r="Y31" s="568">
        <f>E31/U31</f>
        <v/>
      </c>
      <c r="Z31" s="103">
        <f>(X31-X30)/X30</f>
        <v/>
      </c>
      <c r="AA31" s="103">
        <f>(X31-Y31)/Y31</f>
        <v/>
      </c>
      <c r="AB31" s="568" t="n"/>
      <c r="AC31" s="568" t="n"/>
      <c r="AD31" s="568">
        <f>(AB31-AB30)/AB30</f>
        <v/>
      </c>
      <c r="AE31" s="103">
        <f>(AB31-AC31)/AC31</f>
        <v/>
      </c>
      <c r="AF31" s="568" t="n"/>
      <c r="AG31" s="568" t="n"/>
      <c r="AH31" s="568">
        <f>(AF31-AF30)/AF30</f>
        <v/>
      </c>
      <c r="AI31" s="103">
        <f>(AF31-AG31)/AG31</f>
        <v/>
      </c>
      <c r="AJ31" s="82">
        <f>AB31/AF31</f>
        <v/>
      </c>
      <c r="AK31" s="82">
        <f>AC31/AG31</f>
        <v/>
      </c>
      <c r="AL31" s="568">
        <f>(AJ31-AJ30)/AJ30</f>
        <v/>
      </c>
      <c r="AM31" s="103">
        <f>(AJ31-AK31)/AK31</f>
        <v/>
      </c>
    </row>
    <row customHeight="1" ht="15.75" r="32" s="452" spans="1:40">
      <c r="A32" s="49" t="s">
        <v>47</v>
      </c>
      <c r="B32" s="49" t="s">
        <v>114</v>
      </c>
      <c r="C32" s="50">
        <f>C31+7</f>
        <v/>
      </c>
      <c r="D32" s="566" t="n"/>
      <c r="E32" s="566" t="n"/>
      <c r="F32" s="566">
        <f>(D32-D31)/D31</f>
        <v/>
      </c>
      <c r="G32" s="103">
        <f>(D32-E32)/E32</f>
        <v/>
      </c>
      <c r="H32" s="567" t="n"/>
      <c r="I32" s="567" t="n"/>
      <c r="J32" s="103">
        <f>(H32-H31)/H31</f>
        <v/>
      </c>
      <c r="K32" s="103">
        <f>(H32-I32)/I32</f>
        <v/>
      </c>
      <c r="L32" s="567">
        <f>D32/H32</f>
        <v/>
      </c>
      <c r="M32" s="566">
        <f>E32/I32</f>
        <v/>
      </c>
      <c r="N32" s="103">
        <f>(L32-L31)/L31</f>
        <v/>
      </c>
      <c r="O32" s="103">
        <f>(L32-M32)/M32</f>
        <v/>
      </c>
      <c r="P32" s="568" t="n"/>
      <c r="Q32" s="568" t="n"/>
      <c r="R32" s="103">
        <f>(P32-P31)/P31</f>
        <v/>
      </c>
      <c r="S32" s="103">
        <f>(P32-Q32)/Q32</f>
        <v/>
      </c>
      <c r="T32" s="568" t="n"/>
      <c r="U32" s="568" t="n"/>
      <c r="V32" s="568">
        <f>(T32-T31)/T31</f>
        <v/>
      </c>
      <c r="W32" s="103">
        <f>(T32-U32)/U32</f>
        <v/>
      </c>
      <c r="X32" s="566">
        <f>D32/T32</f>
        <v/>
      </c>
      <c r="Y32" s="568">
        <f>E32/U32</f>
        <v/>
      </c>
      <c r="Z32" s="103">
        <f>(X32-X31)/X31</f>
        <v/>
      </c>
      <c r="AA32" s="103">
        <f>(X32-Y32)/Y32</f>
        <v/>
      </c>
      <c r="AB32" s="568" t="n"/>
      <c r="AC32" s="568" t="n"/>
      <c r="AD32" s="568">
        <f>(AB32-AB31)/AB31</f>
        <v/>
      </c>
      <c r="AE32" s="103">
        <f>(AB32-AC32)/AC32</f>
        <v/>
      </c>
      <c r="AF32" s="568" t="n"/>
      <c r="AG32" s="568" t="n"/>
      <c r="AH32" s="568">
        <f>(AF32-AF31)/AF31</f>
        <v/>
      </c>
      <c r="AI32" s="103">
        <f>(AF32-AG32)/AG32</f>
        <v/>
      </c>
      <c r="AJ32" s="82">
        <f>AB32/AF32</f>
        <v/>
      </c>
      <c r="AK32" s="82">
        <f>AC32/AG32</f>
        <v/>
      </c>
      <c r="AL32" s="568">
        <f>(AJ32-AJ31)/AJ31</f>
        <v/>
      </c>
      <c r="AM32" s="103">
        <f>(AJ32-AK32)/AK32</f>
        <v/>
      </c>
    </row>
    <row customFormat="1" customHeight="1" ht="15.75" r="33" s="357" spans="1:40">
      <c r="A33" s="69" t="s">
        <v>47</v>
      </c>
      <c r="B33" s="69" t="s">
        <v>116</v>
      </c>
      <c r="C33" s="70">
        <f>C32+7</f>
        <v/>
      </c>
      <c r="D33" s="571" t="n"/>
      <c r="E33" s="571" t="n"/>
      <c r="F33" s="571">
        <f>(D33-D32)/D32</f>
        <v/>
      </c>
      <c r="G33" s="104">
        <f>(D33-E33)/E33</f>
        <v/>
      </c>
      <c r="H33" s="572" t="n"/>
      <c r="I33" s="572" t="n"/>
      <c r="J33" s="104">
        <f>(H33-H32)/H32</f>
        <v/>
      </c>
      <c r="K33" s="104">
        <f>(H33-I33)/I33</f>
        <v/>
      </c>
      <c r="L33" s="572">
        <f>D33/H33</f>
        <v/>
      </c>
      <c r="M33" s="571">
        <f>E33/I33</f>
        <v/>
      </c>
      <c r="N33" s="104">
        <f>(L33-L32)/L32</f>
        <v/>
      </c>
      <c r="O33" s="104">
        <f>(L33-M33)/M33</f>
        <v/>
      </c>
      <c r="P33" s="573" t="n"/>
      <c r="Q33" s="573" t="n"/>
      <c r="R33" s="104">
        <f>(P33-P32)/P32</f>
        <v/>
      </c>
      <c r="S33" s="104">
        <f>(P33-Q33)/Q33</f>
        <v/>
      </c>
      <c r="T33" s="573" t="n"/>
      <c r="U33" s="573" t="n"/>
      <c r="V33" s="571">
        <f>(T33-T32)/T32</f>
        <v/>
      </c>
      <c r="W33" s="104">
        <f>(T33-U33)/U33</f>
        <v/>
      </c>
      <c r="X33" s="571">
        <f>D33/T33</f>
        <v/>
      </c>
      <c r="Y33" s="573">
        <f>E33/U33</f>
        <v/>
      </c>
      <c r="Z33" s="104">
        <f>(X33-X32)/X32</f>
        <v/>
      </c>
      <c r="AA33" s="104">
        <f>(X33-Y33)/Y33</f>
        <v/>
      </c>
      <c r="AB33" s="573" t="n"/>
      <c r="AC33" s="573" t="n"/>
      <c r="AD33" s="571">
        <f>(AB33-AB32)/AB32</f>
        <v/>
      </c>
      <c r="AE33" s="104">
        <f>(AB33-AC33)/AC33</f>
        <v/>
      </c>
      <c r="AF33" s="573" t="n"/>
      <c r="AG33" s="573" t="n"/>
      <c r="AH33" s="571">
        <f>(AF33-AF32)/AF32</f>
        <v/>
      </c>
      <c r="AI33" s="104">
        <f>(AF33-AG33)/AG33</f>
        <v/>
      </c>
      <c r="AJ33" s="83">
        <f>AB33/AF33</f>
        <v/>
      </c>
      <c r="AK33" s="83">
        <f>AC33/AG33</f>
        <v/>
      </c>
      <c r="AL33" s="571">
        <f>(AJ33-AJ32)/AJ32</f>
        <v/>
      </c>
      <c r="AM33" s="104">
        <f>(AJ33-AK33)/AK33</f>
        <v/>
      </c>
    </row>
    <row customHeight="1" ht="15.75" r="34" s="452" spans="1:40">
      <c r="A34" s="49" t="s">
        <v>48</v>
      </c>
      <c r="B34" s="49" t="s">
        <v>117</v>
      </c>
      <c r="C34" s="50">
        <f>C33+7</f>
        <v/>
      </c>
      <c r="D34" s="566" t="n"/>
      <c r="E34" s="566" t="n"/>
      <c r="F34" s="52">
        <f>(D34-D33)/D33</f>
        <v/>
      </c>
      <c r="G34" s="103">
        <f>(D34-E34)/E34</f>
        <v/>
      </c>
      <c r="H34" s="567" t="n"/>
      <c r="I34" s="567" t="n"/>
      <c r="J34" s="103">
        <f>(H34-H33)/H33</f>
        <v/>
      </c>
      <c r="K34" s="103">
        <f>(H34-I34)/I34</f>
        <v/>
      </c>
      <c r="L34" s="567">
        <f>D34/H34</f>
        <v/>
      </c>
      <c r="M34" s="566">
        <f>E34/I34</f>
        <v/>
      </c>
      <c r="N34" s="103">
        <f>(L34-L33)/L33</f>
        <v/>
      </c>
      <c r="O34" s="103">
        <f>(L34-M34)/M34</f>
        <v/>
      </c>
      <c r="P34" s="568" t="n"/>
      <c r="Q34" s="568" t="n"/>
      <c r="R34" s="103">
        <f>(P34-P33)/P33</f>
        <v/>
      </c>
      <c r="S34" s="103">
        <f>(P34-Q34)/Q34</f>
        <v/>
      </c>
      <c r="T34" s="568" t="n"/>
      <c r="U34" s="568" t="n"/>
      <c r="V34" s="52">
        <f>(T34-T33)/T33</f>
        <v/>
      </c>
      <c r="W34" s="103">
        <f>(T34-U34)/U34</f>
        <v/>
      </c>
      <c r="X34" s="566">
        <f>D34/T34</f>
        <v/>
      </c>
      <c r="Y34" s="568">
        <f>E34/U34</f>
        <v/>
      </c>
      <c r="Z34" s="103">
        <f>(X34-X33)/X33</f>
        <v/>
      </c>
      <c r="AA34" s="104">
        <f>(X34-Y34)/Y34</f>
        <v/>
      </c>
      <c r="AB34" s="568" t="n"/>
      <c r="AC34" s="568" t="n"/>
      <c r="AD34" s="52">
        <f>(AB34-AB33)/AB33</f>
        <v/>
      </c>
      <c r="AE34" s="103">
        <f>(AB34-AC34)/AC34</f>
        <v/>
      </c>
      <c r="AF34" s="568" t="n"/>
      <c r="AG34" s="568" t="n"/>
      <c r="AH34" s="52">
        <f>(AF34-AF33)/AF33</f>
        <v/>
      </c>
      <c r="AI34" s="103">
        <f>(AF34-AG34)/AG34</f>
        <v/>
      </c>
      <c r="AJ34" s="82">
        <f>AB34/AF34</f>
        <v/>
      </c>
      <c r="AK34" s="82">
        <f>AC34/AG34</f>
        <v/>
      </c>
      <c r="AL34" s="52">
        <f>(AJ34-AJ33)/AJ33</f>
        <v/>
      </c>
      <c r="AM34" s="103">
        <f>(AJ34-AK34)/AK34</f>
        <v/>
      </c>
    </row>
    <row customHeight="1" ht="15.75" r="35" s="452" spans="1:40">
      <c r="A35" s="49" t="s">
        <v>48</v>
      </c>
      <c r="B35" s="49" t="s">
        <v>118</v>
      </c>
      <c r="C35" s="50">
        <f>C34+7</f>
        <v/>
      </c>
      <c r="D35" s="566" t="n"/>
      <c r="E35" s="566" t="n"/>
      <c r="F35" s="52">
        <f>(D35-D34)/D34</f>
        <v/>
      </c>
      <c r="G35" s="103">
        <f>(D35-E35)/E35</f>
        <v/>
      </c>
      <c r="H35" s="567" t="n"/>
      <c r="I35" s="567" t="n"/>
      <c r="J35" s="103">
        <f>(H35-H34)/H34</f>
        <v/>
      </c>
      <c r="K35" s="103">
        <f>(H35-I35)/I35</f>
        <v/>
      </c>
      <c r="L35" s="567">
        <f>D35/H35</f>
        <v/>
      </c>
      <c r="M35" s="566">
        <f>E35/I35</f>
        <v/>
      </c>
      <c r="N35" s="103">
        <f>(L35-L34)/L34</f>
        <v/>
      </c>
      <c r="O35" s="103">
        <f>(L35-M35)/M35</f>
        <v/>
      </c>
      <c r="P35" s="568" t="n"/>
      <c r="Q35" s="568" t="n"/>
      <c r="R35" s="103">
        <f>(P35-P34)/P34</f>
        <v/>
      </c>
      <c r="S35" s="103">
        <f>(P35-Q35)/Q35</f>
        <v/>
      </c>
      <c r="T35" s="568" t="n"/>
      <c r="U35" s="568" t="n"/>
      <c r="V35" s="52">
        <f>(T35-T34)/T34</f>
        <v/>
      </c>
      <c r="W35" s="103">
        <f>(T35-U35)/U35</f>
        <v/>
      </c>
      <c r="X35" s="566">
        <f>D35/T35</f>
        <v/>
      </c>
      <c r="Y35" s="568">
        <f>E35/U35</f>
        <v/>
      </c>
      <c r="Z35" s="103">
        <f>(X35-X34)/X34</f>
        <v/>
      </c>
      <c r="AA35" s="103">
        <f>(X35-Y35)/Y35</f>
        <v/>
      </c>
      <c r="AB35" s="568" t="n"/>
      <c r="AC35" s="568" t="n"/>
      <c r="AD35" s="52">
        <f>(AB35-AB34)/AB34</f>
        <v/>
      </c>
      <c r="AE35" s="103">
        <f>(AB35-AC35)/AC35</f>
        <v/>
      </c>
      <c r="AF35" s="568" t="n"/>
      <c r="AG35" s="568" t="n"/>
      <c r="AH35" s="52">
        <f>(AF35-AF34)/AF34</f>
        <v/>
      </c>
      <c r="AI35" s="103">
        <f>(AF35-AG35)/AG35</f>
        <v/>
      </c>
      <c r="AJ35" s="82">
        <f>AB35/AF35</f>
        <v/>
      </c>
      <c r="AK35" s="82">
        <f>AC35/AG35</f>
        <v/>
      </c>
      <c r="AL35" s="52">
        <f>(AJ35-AJ34)/AJ34</f>
        <v/>
      </c>
      <c r="AM35" s="103">
        <f>(AJ35-AK35)/AK35</f>
        <v/>
      </c>
    </row>
    <row customHeight="1" ht="15.75" r="36" s="452" spans="1:40">
      <c r="A36" s="49" t="s">
        <v>48</v>
      </c>
      <c r="B36" s="49" t="s">
        <v>119</v>
      </c>
      <c r="C36" s="50">
        <f>C35+7</f>
        <v/>
      </c>
      <c r="D36" s="566" t="n"/>
      <c r="E36" s="566" t="n"/>
      <c r="F36" s="52">
        <f>(D36-D35)/D35</f>
        <v/>
      </c>
      <c r="G36" s="103">
        <f>(D36-E36)/E36</f>
        <v/>
      </c>
      <c r="H36" s="567" t="n"/>
      <c r="I36" s="567" t="n"/>
      <c r="J36" s="103">
        <f>(H36-H35)/H35</f>
        <v/>
      </c>
      <c r="K36" s="103">
        <f>(H36-I36)/I36</f>
        <v/>
      </c>
      <c r="L36" s="567">
        <f>D36/H36</f>
        <v/>
      </c>
      <c r="M36" s="566">
        <f>E36/I36</f>
        <v/>
      </c>
      <c r="N36" s="103">
        <f>(L36-L35)/L35</f>
        <v/>
      </c>
      <c r="O36" s="103">
        <f>(L36-M36)/M36</f>
        <v/>
      </c>
      <c r="P36" s="568" t="n"/>
      <c r="Q36" s="568" t="n"/>
      <c r="R36" s="103">
        <f>(P36-P35)/P35</f>
        <v/>
      </c>
      <c r="S36" s="103">
        <f>(P36-Q36)/Q36</f>
        <v/>
      </c>
      <c r="T36" s="568" t="n"/>
      <c r="U36" s="568" t="n"/>
      <c r="V36" s="52">
        <f>(T36-T35)/T35</f>
        <v/>
      </c>
      <c r="W36" s="103">
        <f>(T36-U36)/U36</f>
        <v/>
      </c>
      <c r="X36" s="566">
        <f>D36/T36</f>
        <v/>
      </c>
      <c r="Y36" s="568">
        <f>E36/U36</f>
        <v/>
      </c>
      <c r="Z36" s="103">
        <f>(X36-X35)/X35</f>
        <v/>
      </c>
      <c r="AA36" s="103">
        <f>(X36-Y36)/Y36</f>
        <v/>
      </c>
      <c r="AB36" s="568" t="n"/>
      <c r="AC36" s="568" t="n"/>
      <c r="AD36" s="52">
        <f>(AB36-AB35)/AB35</f>
        <v/>
      </c>
      <c r="AE36" s="103">
        <f>(AB36-AC36)/AC36</f>
        <v/>
      </c>
      <c r="AF36" s="568" t="n"/>
      <c r="AG36" s="568" t="n"/>
      <c r="AH36" s="52">
        <f>(AF36-AF35)/AF35</f>
        <v/>
      </c>
      <c r="AI36" s="103">
        <f>(AF36-AG36)/AG36</f>
        <v/>
      </c>
      <c r="AJ36" s="82">
        <f>AB36/AF36</f>
        <v/>
      </c>
      <c r="AK36" s="82">
        <f>AC36/AG36</f>
        <v/>
      </c>
      <c r="AL36" s="52">
        <f>(AJ36-AJ35)/AJ35</f>
        <v/>
      </c>
      <c r="AM36" s="103">
        <f>(AJ36-AK36)/AK36</f>
        <v/>
      </c>
    </row>
    <row customFormat="1" customHeight="1" ht="15.75" r="37" s="357" spans="1:40">
      <c r="A37" s="69" t="s">
        <v>48</v>
      </c>
      <c r="B37" s="69" t="s">
        <v>120</v>
      </c>
      <c r="C37" s="70">
        <f>C36+7</f>
        <v/>
      </c>
      <c r="D37" s="571" t="n"/>
      <c r="E37" s="571" t="n"/>
      <c r="F37" s="73">
        <f>(D37-D36)/D36</f>
        <v/>
      </c>
      <c r="G37" s="104">
        <f>(D37-E37)/E37</f>
        <v/>
      </c>
      <c r="H37" s="572" t="n"/>
      <c r="I37" s="572" t="n"/>
      <c r="J37" s="104">
        <f>(H37-H36)/H36</f>
        <v/>
      </c>
      <c r="K37" s="104">
        <f>(H37-I37)/I37</f>
        <v/>
      </c>
      <c r="L37" s="572">
        <f>D37/H37</f>
        <v/>
      </c>
      <c r="M37" s="571">
        <f>E37/I37</f>
        <v/>
      </c>
      <c r="N37" s="104">
        <f>(L37-L36)/L36</f>
        <v/>
      </c>
      <c r="O37" s="104">
        <f>(L37-M37)/M37</f>
        <v/>
      </c>
      <c r="P37" s="573" t="n"/>
      <c r="Q37" s="573" t="n"/>
      <c r="R37" s="104">
        <f>(P37-P36)/P36</f>
        <v/>
      </c>
      <c r="S37" s="104">
        <f>(P37-Q37)/Q37</f>
        <v/>
      </c>
      <c r="T37" s="573" t="n"/>
      <c r="U37" s="573" t="n"/>
      <c r="V37" s="73">
        <f>(T37-T36)/T36</f>
        <v/>
      </c>
      <c r="W37" s="104">
        <f>(T37-U37)/U37</f>
        <v/>
      </c>
      <c r="X37" s="571">
        <f>D37/T37</f>
        <v/>
      </c>
      <c r="Y37" s="573">
        <f>E37/U37</f>
        <v/>
      </c>
      <c r="Z37" s="104">
        <f>(X37-X36)/X36</f>
        <v/>
      </c>
      <c r="AA37" s="104">
        <f>(X37-Y37)/Y37</f>
        <v/>
      </c>
      <c r="AB37" s="573" t="n"/>
      <c r="AC37" s="573" t="n"/>
      <c r="AD37" s="73">
        <f>(AB37-AB36)/AB36</f>
        <v/>
      </c>
      <c r="AE37" s="104">
        <f>(AB37-AC37)/AC37</f>
        <v/>
      </c>
      <c r="AF37" s="573" t="n"/>
      <c r="AG37" s="573" t="n"/>
      <c r="AH37" s="73">
        <f>(AF37-AF36)/AF36</f>
        <v/>
      </c>
      <c r="AI37" s="104">
        <f>(AF37-AG37)/AG37</f>
        <v/>
      </c>
      <c r="AJ37" s="83">
        <f>AB37/AF37</f>
        <v/>
      </c>
      <c r="AK37" s="83">
        <f>AC37/AG37</f>
        <v/>
      </c>
      <c r="AL37" s="73">
        <f>(AJ37-AJ36)/AJ36</f>
        <v/>
      </c>
      <c r="AM37" s="104">
        <f>(AJ37-AK37)/AK37</f>
        <v/>
      </c>
    </row>
    <row customHeight="1" ht="15.75" r="38" s="452" spans="1:40">
      <c r="A38" s="49" t="s">
        <v>49</v>
      </c>
      <c r="B38" s="49" t="s">
        <v>121</v>
      </c>
      <c r="C38" s="50">
        <f>C37+7</f>
        <v/>
      </c>
      <c r="D38" s="566" t="n"/>
      <c r="E38" s="566" t="n"/>
      <c r="F38" s="52">
        <f>(D38-D37)/D37</f>
        <v/>
      </c>
      <c r="G38" s="103">
        <f>(D38-E38)/E38</f>
        <v/>
      </c>
      <c r="H38" s="567" t="n"/>
      <c r="I38" s="567" t="n"/>
      <c r="J38" s="103">
        <f>(H38-H37)/H37</f>
        <v/>
      </c>
      <c r="K38" s="103">
        <f>(H38-I38)/I38</f>
        <v/>
      </c>
      <c r="L38" s="567">
        <f>D38/H38</f>
        <v/>
      </c>
      <c r="M38" s="566">
        <f>E38/I38</f>
        <v/>
      </c>
      <c r="N38" s="103">
        <f>(L38-L37)/L37</f>
        <v/>
      </c>
      <c r="O38" s="103">
        <f>(L38-M38)/M38</f>
        <v/>
      </c>
      <c r="P38" s="568" t="n"/>
      <c r="Q38" s="568" t="n"/>
      <c r="R38" s="103">
        <f>(P38-P37)/P37</f>
        <v/>
      </c>
      <c r="S38" s="103">
        <f>(P38-Q38)/Q38</f>
        <v/>
      </c>
      <c r="T38" s="568" t="n"/>
      <c r="U38" s="568" t="n"/>
      <c r="V38" s="52">
        <f>(T38-T37)/T37</f>
        <v/>
      </c>
      <c r="W38" s="103">
        <f>(T38-U38)/U38</f>
        <v/>
      </c>
      <c r="X38" s="566">
        <f>D38/T38</f>
        <v/>
      </c>
      <c r="Y38" s="568">
        <f>E38/U38</f>
        <v/>
      </c>
      <c r="Z38" s="103">
        <f>(X38-X37)/X37</f>
        <v/>
      </c>
      <c r="AA38" s="103">
        <f>(X38-Y38)/Y38</f>
        <v/>
      </c>
      <c r="AB38" s="568" t="n"/>
      <c r="AC38" s="568" t="n"/>
      <c r="AD38" s="52">
        <f>(AB38-AB37)/AB37</f>
        <v/>
      </c>
      <c r="AE38" s="103">
        <f>(AB38-AC38)/AC38</f>
        <v/>
      </c>
      <c r="AF38" s="568" t="n"/>
      <c r="AG38" s="568" t="n"/>
      <c r="AH38" s="52">
        <f>(AF38-AF37)/AF37</f>
        <v/>
      </c>
      <c r="AI38" s="103">
        <f>(AF38-AG38)/AG38</f>
        <v/>
      </c>
      <c r="AJ38" s="82">
        <f>AB38/AF38</f>
        <v/>
      </c>
      <c r="AK38" s="82">
        <f>AC38/AG38</f>
        <v/>
      </c>
      <c r="AL38" s="52">
        <f>(AJ38-AJ37)/AJ37</f>
        <v/>
      </c>
      <c r="AM38" s="103">
        <f>(AJ38-AK38)/AK38</f>
        <v/>
      </c>
    </row>
    <row customHeight="1" ht="15.75" r="39" s="452" spans="1:40">
      <c r="A39" s="49" t="s">
        <v>49</v>
      </c>
      <c r="B39" s="49" t="s">
        <v>122</v>
      </c>
      <c r="C39" s="50">
        <f>C38+7</f>
        <v/>
      </c>
      <c r="D39" s="566" t="n"/>
      <c r="E39" s="566" t="n"/>
      <c r="F39" s="52">
        <f>(D39-D38)/D38</f>
        <v/>
      </c>
      <c r="G39" s="103">
        <f>(D39-E39)/E39</f>
        <v/>
      </c>
      <c r="H39" s="567" t="n"/>
      <c r="I39" s="567" t="n"/>
      <c r="J39" s="103">
        <f>(H39-H38)/H38</f>
        <v/>
      </c>
      <c r="K39" s="103">
        <f>(H39-I39)/I39</f>
        <v/>
      </c>
      <c r="L39" s="567">
        <f>D39/H39</f>
        <v/>
      </c>
      <c r="M39" s="566">
        <f>E39/I39</f>
        <v/>
      </c>
      <c r="N39" s="103">
        <f>(L39-L38)/L38</f>
        <v/>
      </c>
      <c r="O39" s="103">
        <f>(L39-M39)/M39</f>
        <v/>
      </c>
      <c r="P39" s="568" t="n"/>
      <c r="Q39" s="568" t="n"/>
      <c r="R39" s="103">
        <f>(P39-P38)/P38</f>
        <v/>
      </c>
      <c r="S39" s="103">
        <f>(P39-Q39)/Q39</f>
        <v/>
      </c>
      <c r="T39" s="568" t="n"/>
      <c r="U39" s="568" t="n"/>
      <c r="V39" s="52">
        <f>(T39-T38)/T38</f>
        <v/>
      </c>
      <c r="W39" s="103">
        <f>(T39-U39)/U39</f>
        <v/>
      </c>
      <c r="X39" s="566">
        <f>D39/T39</f>
        <v/>
      </c>
      <c r="Y39" s="568">
        <f>E39/U39</f>
        <v/>
      </c>
      <c r="Z39" s="103">
        <f>(X39-X38)/X38</f>
        <v/>
      </c>
      <c r="AA39" s="103">
        <f>(X39-Y39)/Y39</f>
        <v/>
      </c>
      <c r="AB39" s="568" t="n"/>
      <c r="AC39" s="568" t="n"/>
      <c r="AD39" s="52">
        <f>(AB39-AB38)/AB38</f>
        <v/>
      </c>
      <c r="AE39" s="103">
        <f>(AB39-AC39)/AC39</f>
        <v/>
      </c>
      <c r="AF39" s="568" t="n"/>
      <c r="AG39" s="568" t="n"/>
      <c r="AH39" s="52">
        <f>(AF39-AF38)/AF38</f>
        <v/>
      </c>
      <c r="AI39" s="103">
        <f>(AF39-AG39)/AG39</f>
        <v/>
      </c>
      <c r="AJ39" s="82">
        <f>AB39/AF39</f>
        <v/>
      </c>
      <c r="AK39" s="82">
        <f>AC39/AG39</f>
        <v/>
      </c>
      <c r="AL39" s="52">
        <f>(AJ39-AJ38)/AJ38</f>
        <v/>
      </c>
      <c r="AM39" s="103">
        <f>(AJ39-AK39)/AK39</f>
        <v/>
      </c>
    </row>
    <row customHeight="1" ht="15.75" r="40" s="452" spans="1:40">
      <c r="A40" s="49" t="s">
        <v>49</v>
      </c>
      <c r="B40" s="49" t="s">
        <v>123</v>
      </c>
      <c r="C40" s="50">
        <f>C39+7</f>
        <v/>
      </c>
      <c r="D40" s="566" t="n"/>
      <c r="E40" s="566" t="n"/>
      <c r="F40" s="52">
        <f>(D40-D39)/D39</f>
        <v/>
      </c>
      <c r="G40" s="103">
        <f>(D40-E40)/E40</f>
        <v/>
      </c>
      <c r="H40" s="567" t="n"/>
      <c r="I40" s="567" t="n"/>
      <c r="J40" s="103">
        <f>(H40-H39)/H39</f>
        <v/>
      </c>
      <c r="K40" s="103">
        <f>(H40-I40)/I40</f>
        <v/>
      </c>
      <c r="L40" s="567">
        <f>D40/H40</f>
        <v/>
      </c>
      <c r="M40" s="566">
        <f>E40/I40</f>
        <v/>
      </c>
      <c r="N40" s="103">
        <f>(L40-L39)/L39</f>
        <v/>
      </c>
      <c r="O40" s="103">
        <f>(L40-M40)/M40</f>
        <v/>
      </c>
      <c r="P40" s="568" t="n"/>
      <c r="Q40" s="568" t="n"/>
      <c r="R40" s="103">
        <f>(P40-P39)/P39</f>
        <v/>
      </c>
      <c r="S40" s="103">
        <f>(P40-Q40)/Q40</f>
        <v/>
      </c>
      <c r="T40" s="568" t="n"/>
      <c r="U40" s="568" t="n"/>
      <c r="V40" s="52">
        <f>(T40-T39)/T39</f>
        <v/>
      </c>
      <c r="W40" s="103">
        <f>(T40-U40)/U40</f>
        <v/>
      </c>
      <c r="X40" s="566">
        <f>D40/T40</f>
        <v/>
      </c>
      <c r="Y40" s="568">
        <f>E40/U40</f>
        <v/>
      </c>
      <c r="Z40" s="103">
        <f>(X40-X39)/X39</f>
        <v/>
      </c>
      <c r="AA40" s="103">
        <f>(X40-Y40)/Y40</f>
        <v/>
      </c>
      <c r="AB40" s="568" t="n"/>
      <c r="AC40" s="568" t="n"/>
      <c r="AD40" s="52">
        <f>(AB40-AB39)/AB39</f>
        <v/>
      </c>
      <c r="AE40" s="103">
        <f>(AB40-AC40)/AC40</f>
        <v/>
      </c>
      <c r="AF40" s="568" t="n"/>
      <c r="AG40" s="568" t="n"/>
      <c r="AH40" s="52">
        <f>(AF40-AF39)/AF39</f>
        <v/>
      </c>
      <c r="AI40" s="103">
        <f>(AF40-AG40)/AG40</f>
        <v/>
      </c>
      <c r="AJ40" s="82">
        <f>AB40/AF40</f>
        <v/>
      </c>
      <c r="AK40" s="82">
        <f>AC40/AG40</f>
        <v/>
      </c>
      <c r="AL40" s="52">
        <f>(AJ40-AJ39)/AJ39</f>
        <v/>
      </c>
      <c r="AM40" s="103">
        <f>(AJ40-AK40)/AK40</f>
        <v/>
      </c>
    </row>
    <row customFormat="1" customHeight="1" ht="15.75" r="41" s="357" spans="1:40">
      <c r="A41" s="69" t="s">
        <v>49</v>
      </c>
      <c r="B41" s="69" t="s">
        <v>124</v>
      </c>
      <c r="C41" s="70">
        <f>C40+7</f>
        <v/>
      </c>
      <c r="D41" s="571" t="n"/>
      <c r="E41" s="571" t="n"/>
      <c r="F41" s="73">
        <f>(D41-D40)/D40</f>
        <v/>
      </c>
      <c r="G41" s="104">
        <f>(D41-E41)/E41</f>
        <v/>
      </c>
      <c r="H41" s="571" t="n"/>
      <c r="I41" s="571" t="n"/>
      <c r="J41" s="104">
        <f>(H41-H40)/H40</f>
        <v/>
      </c>
      <c r="K41" s="104">
        <f>(H41-I41)/I41</f>
        <v/>
      </c>
      <c r="L41" s="572">
        <f>D41/H41</f>
        <v/>
      </c>
      <c r="M41" s="571">
        <f>E41/I41</f>
        <v/>
      </c>
      <c r="N41" s="104">
        <f>(L41-L40)/L40</f>
        <v/>
      </c>
      <c r="O41" s="104">
        <f>(L41-M41)/M41</f>
        <v/>
      </c>
      <c r="P41" s="573" t="n"/>
      <c r="Q41" s="573" t="n"/>
      <c r="R41" s="104">
        <f>(P41-P40)/P40</f>
        <v/>
      </c>
      <c r="S41" s="104">
        <f>(P41-Q41)/Q41</f>
        <v/>
      </c>
      <c r="T41" s="573" t="n"/>
      <c r="U41" s="573" t="n"/>
      <c r="V41" s="73">
        <f>(T41-T40)/T40</f>
        <v/>
      </c>
      <c r="W41" s="104">
        <f>(T41-U41)/U41</f>
        <v/>
      </c>
      <c r="X41" s="571">
        <f>D41/T41</f>
        <v/>
      </c>
      <c r="Y41" s="573">
        <f>E41/U41</f>
        <v/>
      </c>
      <c r="Z41" s="104">
        <f>(X41-X40)/X40</f>
        <v/>
      </c>
      <c r="AA41" s="104">
        <f>(X41-Y41)/Y41</f>
        <v/>
      </c>
      <c r="AB41" s="573" t="n"/>
      <c r="AC41" s="573" t="n"/>
      <c r="AD41" s="73">
        <f>(AB41-AB40)/AB40</f>
        <v/>
      </c>
      <c r="AE41" s="104">
        <f>(AB41-AC41)/AC41</f>
        <v/>
      </c>
      <c r="AF41" s="573" t="n"/>
      <c r="AG41" s="573" t="n"/>
      <c r="AH41" s="73">
        <f>(AF41-AF40)/AF40</f>
        <v/>
      </c>
      <c r="AI41" s="104">
        <f>(AF41-AG41)/AG41</f>
        <v/>
      </c>
      <c r="AJ41" s="83">
        <f>AB41/AF41</f>
        <v/>
      </c>
      <c r="AK41" s="83">
        <f>AC41/AG41</f>
        <v/>
      </c>
      <c r="AL41" s="73">
        <f>(AJ41-AJ40)/AJ40</f>
        <v/>
      </c>
      <c r="AM41" s="104">
        <f>(AJ41-AK41)/AK41</f>
        <v/>
      </c>
    </row>
    <row customHeight="1" ht="15.75" r="42" s="452" spans="1:40">
      <c r="A42" s="49" t="s">
        <v>50</v>
      </c>
      <c r="B42" s="49" t="s">
        <v>125</v>
      </c>
      <c r="C42" s="50">
        <f>C41+7</f>
        <v/>
      </c>
      <c r="D42" s="566" t="n"/>
      <c r="E42" s="566" t="n"/>
      <c r="F42" s="52">
        <f>(D42-D41)/D41</f>
        <v/>
      </c>
      <c r="G42" s="103">
        <f>(D42-E42)/E42</f>
        <v/>
      </c>
      <c r="H42" s="566" t="n"/>
      <c r="I42" s="566" t="n"/>
      <c r="J42" s="103">
        <f>(H42-H41)/H41</f>
        <v/>
      </c>
      <c r="K42" s="103">
        <f>(H42-I42)/I42</f>
        <v/>
      </c>
      <c r="L42" s="567">
        <f>D42/H42</f>
        <v/>
      </c>
      <c r="M42" s="566">
        <f>E42/I42</f>
        <v/>
      </c>
      <c r="N42" s="103">
        <f>(L42-L41)/L41</f>
        <v/>
      </c>
      <c r="O42" s="103">
        <f>(L42-M42)/M42</f>
        <v/>
      </c>
      <c r="P42" s="568" t="n"/>
      <c r="Q42" s="568" t="n"/>
      <c r="R42" s="103">
        <f>(P42-P41)/P41</f>
        <v/>
      </c>
      <c r="S42" s="103">
        <f>(P42-Q42)/Q42</f>
        <v/>
      </c>
      <c r="T42" s="568" t="n"/>
      <c r="U42" s="568" t="n"/>
      <c r="V42" s="52">
        <f>(T42-T41)/T41</f>
        <v/>
      </c>
      <c r="W42" s="103">
        <f>(T42-U42)/U42</f>
        <v/>
      </c>
      <c r="X42" s="566">
        <f>D42/T42</f>
        <v/>
      </c>
      <c r="Y42" s="568">
        <f>E42/U42</f>
        <v/>
      </c>
      <c r="Z42" s="103">
        <f>(X42-X41)/X41</f>
        <v/>
      </c>
      <c r="AA42" s="103">
        <f>(X42-Y42)/Y42</f>
        <v/>
      </c>
      <c r="AB42" s="568" t="n"/>
      <c r="AC42" s="568" t="n"/>
      <c r="AD42" s="52">
        <f>(AB42-AB41)/AB41</f>
        <v/>
      </c>
      <c r="AE42" s="103">
        <f>(AB42-AC42)/AC42</f>
        <v/>
      </c>
      <c r="AF42" s="568" t="n"/>
      <c r="AG42" s="568" t="n"/>
      <c r="AH42" s="52">
        <f>(AF42-AF41)/AF41</f>
        <v/>
      </c>
      <c r="AI42" s="103">
        <f>(AF42-AG42)/AG42</f>
        <v/>
      </c>
      <c r="AJ42" s="82">
        <f>AB42/AF42</f>
        <v/>
      </c>
      <c r="AK42" s="82">
        <f>AC42/AG42</f>
        <v/>
      </c>
      <c r="AL42" s="52">
        <f>(AJ42-AJ41)/AJ41</f>
        <v/>
      </c>
      <c r="AM42" s="103">
        <f>(AJ42-AK42)/AK42</f>
        <v/>
      </c>
    </row>
    <row customHeight="1" ht="15.75" r="43" s="452" spans="1:40">
      <c r="A43" s="49" t="s">
        <v>50</v>
      </c>
      <c r="B43" s="49" t="s">
        <v>126</v>
      </c>
      <c r="C43" s="50">
        <f>C42+7</f>
        <v/>
      </c>
      <c r="D43" s="566" t="n"/>
      <c r="E43" s="566" t="n"/>
      <c r="F43" s="52">
        <f>(D43-D42)/D42</f>
        <v/>
      </c>
      <c r="G43" s="103">
        <f>(D43-E43)/E43</f>
        <v/>
      </c>
      <c r="H43" s="566" t="n"/>
      <c r="I43" s="566" t="n"/>
      <c r="J43" s="103">
        <f>(H43-H42)/H42</f>
        <v/>
      </c>
      <c r="K43" s="103">
        <f>(H43-I43)/I43</f>
        <v/>
      </c>
      <c r="L43" s="567">
        <f>D43/H43</f>
        <v/>
      </c>
      <c r="M43" s="566">
        <f>E43/I43</f>
        <v/>
      </c>
      <c r="N43" s="103">
        <f>(L43-L42)/L42</f>
        <v/>
      </c>
      <c r="O43" s="103">
        <f>(L43-M43)/M43</f>
        <v/>
      </c>
      <c r="P43" s="568" t="n"/>
      <c r="Q43" s="568" t="n"/>
      <c r="R43" s="103">
        <f>(P43-P42)/P42</f>
        <v/>
      </c>
      <c r="S43" s="103">
        <f>(P43-Q43)/Q43</f>
        <v/>
      </c>
      <c r="T43" s="568" t="n"/>
      <c r="U43" s="568" t="n"/>
      <c r="V43" s="52">
        <f>(T43-T42)/T42</f>
        <v/>
      </c>
      <c r="W43" s="103">
        <f>(T43-U43)/U43</f>
        <v/>
      </c>
      <c r="X43" s="566">
        <f>D43/T43</f>
        <v/>
      </c>
      <c r="Y43" s="568">
        <f>E43/U43</f>
        <v/>
      </c>
      <c r="Z43" s="103">
        <f>(X43-X42)/X42</f>
        <v/>
      </c>
      <c r="AA43" s="103">
        <f>(X43-Y43)/Y43</f>
        <v/>
      </c>
      <c r="AB43" s="568" t="n"/>
      <c r="AC43" s="568" t="n"/>
      <c r="AD43" s="52">
        <f>(AB43-AB42)/AB42</f>
        <v/>
      </c>
      <c r="AE43" s="103">
        <f>(AB43-AC43)/AC43</f>
        <v/>
      </c>
      <c r="AF43" s="568" t="n"/>
      <c r="AG43" s="568" t="n"/>
      <c r="AH43" s="52">
        <f>(AF43-AF42)/AF42</f>
        <v/>
      </c>
      <c r="AI43" s="103">
        <f>(AF43-AG43)/AG43</f>
        <v/>
      </c>
      <c r="AJ43" s="82">
        <f>AB43/AF43</f>
        <v/>
      </c>
      <c r="AK43" s="82">
        <f>AC43/AG43</f>
        <v/>
      </c>
      <c r="AL43" s="52">
        <f>(AJ43-AJ42)/AJ42</f>
        <v/>
      </c>
      <c r="AM43" s="103">
        <f>(AJ43-AK43)/AK43</f>
        <v/>
      </c>
    </row>
    <row customHeight="1" ht="15.75" r="44" s="452" spans="1:40">
      <c r="A44" s="49" t="s">
        <v>50</v>
      </c>
      <c r="B44" s="49" t="s">
        <v>127</v>
      </c>
      <c r="C44" s="50">
        <f>C43+7</f>
        <v/>
      </c>
      <c r="D44" s="566" t="n"/>
      <c r="E44" s="566" t="n"/>
      <c r="F44" s="52">
        <f>(D44-D43)/D43</f>
        <v/>
      </c>
      <c r="G44" s="103">
        <f>(D44-E44)/E44</f>
        <v/>
      </c>
      <c r="H44" s="566" t="n"/>
      <c r="I44" s="566" t="n"/>
      <c r="J44" s="103">
        <f>(H44-H43)/H43</f>
        <v/>
      </c>
      <c r="K44" s="103">
        <f>(H44-I44)/I44</f>
        <v/>
      </c>
      <c r="L44" s="567">
        <f>D44/H44</f>
        <v/>
      </c>
      <c r="M44" s="566">
        <f>E44/I44</f>
        <v/>
      </c>
      <c r="N44" s="103">
        <f>(L44-L43)/L43</f>
        <v/>
      </c>
      <c r="O44" s="103">
        <f>(L44-M44)/M44</f>
        <v/>
      </c>
      <c r="P44" s="568" t="n"/>
      <c r="Q44" s="568" t="n"/>
      <c r="R44" s="103">
        <f>(P44-P43)/P43</f>
        <v/>
      </c>
      <c r="S44" s="103">
        <f>(P44-Q44)/Q44</f>
        <v/>
      </c>
      <c r="T44" s="568" t="n"/>
      <c r="U44" s="568" t="n"/>
      <c r="V44" s="52">
        <f>(T44-T43)/T43</f>
        <v/>
      </c>
      <c r="W44" s="103">
        <f>(T44-U44)/U44</f>
        <v/>
      </c>
      <c r="X44" s="566">
        <f>D44/T44</f>
        <v/>
      </c>
      <c r="Y44" s="568">
        <f>E44/U44</f>
        <v/>
      </c>
      <c r="Z44" s="103">
        <f>(X44-X43)/X43</f>
        <v/>
      </c>
      <c r="AA44" s="103">
        <f>(X44-Y44)/Y44</f>
        <v/>
      </c>
      <c r="AB44" s="568" t="n"/>
      <c r="AC44" s="568" t="n"/>
      <c r="AD44" s="52">
        <f>(AB44-AB43)/AB43</f>
        <v/>
      </c>
      <c r="AE44" s="103">
        <f>(AB44-AC44)/AC44</f>
        <v/>
      </c>
      <c r="AF44" s="568" t="n"/>
      <c r="AG44" s="568" t="n"/>
      <c r="AH44" s="52">
        <f>(AF44-AF43)/AF43</f>
        <v/>
      </c>
      <c r="AI44" s="103">
        <f>(AF44-AG44)/AG44</f>
        <v/>
      </c>
      <c r="AJ44" s="82">
        <f>AB44/AF44</f>
        <v/>
      </c>
      <c r="AK44" s="82">
        <f>AC44/AG44</f>
        <v/>
      </c>
      <c r="AL44" s="52">
        <f>(AJ44-AJ43)/AJ43</f>
        <v/>
      </c>
      <c r="AM44" s="103">
        <f>(AJ44-AK44)/AK44</f>
        <v/>
      </c>
    </row>
    <row customFormat="1" customHeight="1" ht="15.75" r="45" s="357" spans="1:40">
      <c r="A45" s="69" t="s">
        <v>50</v>
      </c>
      <c r="B45" s="69" t="s">
        <v>128</v>
      </c>
      <c r="C45" s="70">
        <f>C44+7</f>
        <v/>
      </c>
      <c r="D45" s="585" t="n"/>
      <c r="E45" s="585" t="n"/>
      <c r="F45" s="73">
        <f>(D45-D44)/D44</f>
        <v/>
      </c>
      <c r="G45" s="104">
        <f>(D45-E45)/E45</f>
        <v/>
      </c>
      <c r="H45" s="571" t="n"/>
      <c r="I45" s="571" t="n"/>
      <c r="J45" s="104">
        <f>(H45-H44)/H44</f>
        <v/>
      </c>
      <c r="K45" s="104">
        <f>(H45-I45)/I45</f>
        <v/>
      </c>
      <c r="L45" s="572">
        <f>D45/H45</f>
        <v/>
      </c>
      <c r="M45" s="571">
        <f>E45/I45</f>
        <v/>
      </c>
      <c r="N45" s="104">
        <f>(L45-L44)/L44</f>
        <v/>
      </c>
      <c r="O45" s="104">
        <f>(L45-M45)/M45</f>
        <v/>
      </c>
      <c r="P45" s="573" t="n"/>
      <c r="Q45" s="573" t="n"/>
      <c r="R45" s="104">
        <f>(P45-P44)/P44</f>
        <v/>
      </c>
      <c r="S45" s="104">
        <f>(P45-Q45)/Q45</f>
        <v/>
      </c>
      <c r="T45" s="573" t="n"/>
      <c r="U45" s="573" t="n"/>
      <c r="V45" s="73">
        <f>(T45-T44)/T44</f>
        <v/>
      </c>
      <c r="W45" s="104">
        <f>(T45-U45)/U45</f>
        <v/>
      </c>
      <c r="X45" s="571">
        <f>D45/T45</f>
        <v/>
      </c>
      <c r="Y45" s="573">
        <f>E45/U45</f>
        <v/>
      </c>
      <c r="Z45" s="104">
        <f>(X45-X44)/X44</f>
        <v/>
      </c>
      <c r="AA45" s="104">
        <f>(X45-Y45)/Y45</f>
        <v/>
      </c>
      <c r="AB45" s="573" t="n"/>
      <c r="AC45" s="573" t="n"/>
      <c r="AD45" s="73">
        <f>(AB45-AB44)/AB44</f>
        <v/>
      </c>
      <c r="AE45" s="104">
        <f>(AB45-AC45)/AC45</f>
        <v/>
      </c>
      <c r="AF45" s="573" t="n"/>
      <c r="AG45" s="573" t="n"/>
      <c r="AH45" s="73">
        <f>(AF45-AF44)/AF44</f>
        <v/>
      </c>
      <c r="AI45" s="104">
        <f>(AF45-AG45)/AG45</f>
        <v/>
      </c>
      <c r="AJ45" s="83">
        <f>AB45/AF45</f>
        <v/>
      </c>
      <c r="AK45" s="83">
        <f>AC45/AG45</f>
        <v/>
      </c>
      <c r="AL45" s="73">
        <f>(AJ45-AJ44)/AJ44</f>
        <v/>
      </c>
      <c r="AM45" s="104">
        <f>(AJ45-AK45)/AK45</f>
        <v/>
      </c>
      <c r="AN45" s="357" t="n"/>
    </row>
    <row customHeight="1" ht="15.75" r="46" s="452" spans="1:40">
      <c r="A46" s="49" t="s">
        <v>51</v>
      </c>
      <c r="B46" s="49" t="s">
        <v>129</v>
      </c>
      <c r="C46" s="50">
        <f>C45+7</f>
        <v/>
      </c>
      <c r="D46" s="587" t="n"/>
      <c r="E46" s="587" t="n"/>
      <c r="F46" s="52">
        <f>(D46-D45)/D45</f>
        <v/>
      </c>
      <c r="G46" s="103">
        <f>(D46-E46)/E46</f>
        <v/>
      </c>
      <c r="H46" s="566" t="n"/>
      <c r="I46" s="566" t="n"/>
      <c r="J46" s="103">
        <f>(H46-H45)/H45</f>
        <v/>
      </c>
      <c r="K46" s="103">
        <f>(H46-I46)/I46</f>
        <v/>
      </c>
      <c r="L46" s="567">
        <f>D46/H46</f>
        <v/>
      </c>
      <c r="M46" s="566">
        <f>E46/I46</f>
        <v/>
      </c>
      <c r="N46" s="103">
        <f>(L46-L45)/L45</f>
        <v/>
      </c>
      <c r="O46" s="103">
        <f>(L46-M46)/M46</f>
        <v/>
      </c>
      <c r="P46" s="568" t="n"/>
      <c r="Q46" s="568" t="n"/>
      <c r="R46" s="103">
        <f>(P46-P45)/P45</f>
        <v/>
      </c>
      <c r="S46" s="103">
        <f>(P46-Q46)/Q46</f>
        <v/>
      </c>
      <c r="T46" s="568" t="n"/>
      <c r="U46" s="568" t="n"/>
      <c r="V46" s="52">
        <f>(T46-T45)/T45</f>
        <v/>
      </c>
      <c r="W46" s="103">
        <f>(T46-U46)/U46</f>
        <v/>
      </c>
      <c r="X46" s="566">
        <f>D46/T46</f>
        <v/>
      </c>
      <c r="Y46" s="568">
        <f>E46/U46</f>
        <v/>
      </c>
      <c r="Z46" s="103">
        <f>(X46-X45)/X45</f>
        <v/>
      </c>
      <c r="AA46" s="103">
        <f>(X46-Y46)/Y46</f>
        <v/>
      </c>
      <c r="AB46" s="568" t="n"/>
      <c r="AC46" s="568" t="n"/>
      <c r="AD46" s="52">
        <f>(AB46-AB45)/AB45</f>
        <v/>
      </c>
      <c r="AE46" s="103">
        <f>(AB46-AC46)/AC46</f>
        <v/>
      </c>
      <c r="AF46" s="568" t="n"/>
      <c r="AG46" s="568" t="n"/>
      <c r="AH46" s="52">
        <f>(AF46-AF45)/AF45</f>
        <v/>
      </c>
      <c r="AI46" s="103">
        <f>(AF46-AG46)/AG46</f>
        <v/>
      </c>
      <c r="AJ46" s="82">
        <f>AB46/AF46</f>
        <v/>
      </c>
      <c r="AK46" s="82">
        <f>AC46/AG46</f>
        <v/>
      </c>
      <c r="AL46" s="52">
        <f>(AJ46-AJ45)/AJ45</f>
        <v/>
      </c>
      <c r="AM46" s="103">
        <f>(AJ46-AK46)/AK46</f>
        <v/>
      </c>
    </row>
    <row customHeight="1" ht="15.75" r="47" s="452" spans="1:40">
      <c r="A47" s="49" t="s">
        <v>51</v>
      </c>
      <c r="B47" s="49" t="s">
        <v>130</v>
      </c>
      <c r="C47" s="50">
        <f>C46+7</f>
        <v/>
      </c>
      <c r="D47" s="587" t="n"/>
      <c r="E47" s="587" t="n"/>
      <c r="F47" s="52">
        <f>(D47-D46)/D46</f>
        <v/>
      </c>
      <c r="G47" s="103">
        <f>(D47-E47)/E47</f>
        <v/>
      </c>
      <c r="H47" s="566" t="n"/>
      <c r="I47" s="566" t="n"/>
      <c r="J47" s="103">
        <f>(H47-H46)/H46</f>
        <v/>
      </c>
      <c r="K47" s="103">
        <f>(H47-I47)/I47</f>
        <v/>
      </c>
      <c r="L47" s="567">
        <f>D47/H47</f>
        <v/>
      </c>
      <c r="M47" s="566">
        <f>E47/I47</f>
        <v/>
      </c>
      <c r="N47" s="103">
        <f>(L47-L46)/L46</f>
        <v/>
      </c>
      <c r="O47" s="103">
        <f>(L47-M47)/M47</f>
        <v/>
      </c>
      <c r="P47" s="568" t="n"/>
      <c r="Q47" s="568" t="n"/>
      <c r="R47" s="103">
        <f>(P47-P46)/P46</f>
        <v/>
      </c>
      <c r="S47" s="103">
        <f>(P47-Q47)/Q47</f>
        <v/>
      </c>
      <c r="T47" s="588" t="n"/>
      <c r="U47" s="588" t="n"/>
      <c r="V47" s="52">
        <f>(T47-T46)/T46</f>
        <v/>
      </c>
      <c r="W47" s="103">
        <f>(T47-U47)/U47</f>
        <v/>
      </c>
      <c r="X47" s="566">
        <f>D47/T47</f>
        <v/>
      </c>
      <c r="Y47" s="568">
        <f>E47/U47</f>
        <v/>
      </c>
      <c r="Z47" s="103">
        <f>(X47-X46)/X46</f>
        <v/>
      </c>
      <c r="AA47" s="103">
        <f>(X47-Y47)/Y47</f>
        <v/>
      </c>
      <c r="AB47" s="568" t="n"/>
      <c r="AC47" s="568" t="n"/>
      <c r="AD47" s="52">
        <f>(AB47-AB46)/AB46</f>
        <v/>
      </c>
      <c r="AE47" s="103">
        <f>(AB47-AC47)/AC47</f>
        <v/>
      </c>
      <c r="AF47" s="588" t="n"/>
      <c r="AG47" s="588" t="n"/>
      <c r="AH47" s="52">
        <f>(AF47-AF46)/AF46</f>
        <v/>
      </c>
      <c r="AI47" s="103">
        <f>(AF47-AG47)/AG47</f>
        <v/>
      </c>
      <c r="AJ47" s="82">
        <f>AB47/AF47</f>
        <v/>
      </c>
      <c r="AK47" s="82">
        <f>AC47/AG47</f>
        <v/>
      </c>
      <c r="AL47" s="52">
        <f>(AJ47-AJ46)/AJ46</f>
        <v/>
      </c>
      <c r="AM47" s="103">
        <f>(AJ47-AK47)/AK47</f>
        <v/>
      </c>
    </row>
    <row customHeight="1" ht="15.75" r="48" s="452" spans="1:40">
      <c r="A48" s="49" t="s">
        <v>51</v>
      </c>
      <c r="B48" s="49" t="s">
        <v>131</v>
      </c>
      <c r="C48" s="50">
        <f>C47+7</f>
        <v/>
      </c>
      <c r="D48" s="587" t="n"/>
      <c r="E48" s="587" t="n"/>
      <c r="F48" s="52">
        <f>(D48-D47)/D47</f>
        <v/>
      </c>
      <c r="G48" s="103">
        <f>(D48-E48)/E48</f>
        <v/>
      </c>
      <c r="H48" s="566" t="n"/>
      <c r="I48" s="566" t="n"/>
      <c r="J48" s="103">
        <f>(H48-H47)/H47</f>
        <v/>
      </c>
      <c r="K48" s="103">
        <f>(H48-I48)/I48</f>
        <v/>
      </c>
      <c r="L48" s="567">
        <f>D48/H48</f>
        <v/>
      </c>
      <c r="M48" s="566">
        <f>E48/I48</f>
        <v/>
      </c>
      <c r="N48" s="103">
        <f>(L48-L47)/L47</f>
        <v/>
      </c>
      <c r="O48" s="103">
        <f>(L48-M48)/M48</f>
        <v/>
      </c>
      <c r="P48" s="568" t="n"/>
      <c r="Q48" s="568" t="n"/>
      <c r="R48" s="103">
        <f>(P48-P47)/P47</f>
        <v/>
      </c>
      <c r="S48" s="103">
        <f>(P48-Q48)/Q48</f>
        <v/>
      </c>
      <c r="T48" s="588" t="n"/>
      <c r="U48" s="588" t="n"/>
      <c r="V48" s="52">
        <f>(T48-T47)/T47</f>
        <v/>
      </c>
      <c r="W48" s="103">
        <f>(T48-U48)/U48</f>
        <v/>
      </c>
      <c r="X48" s="566">
        <f>D48/T48</f>
        <v/>
      </c>
      <c r="Y48" s="568">
        <f>E48/U48</f>
        <v/>
      </c>
      <c r="Z48" s="103">
        <f>(X48-X47)/X47</f>
        <v/>
      </c>
      <c r="AA48" s="103">
        <f>(X48-Y48)/Y48</f>
        <v/>
      </c>
      <c r="AB48" s="568" t="n"/>
      <c r="AC48" s="568" t="n"/>
      <c r="AD48" s="52">
        <f>(AB48-AB47)/AB47</f>
        <v/>
      </c>
      <c r="AE48" s="103">
        <f>(AB48-AC48)/AC48</f>
        <v/>
      </c>
      <c r="AF48" s="588" t="n"/>
      <c r="AG48" s="588" t="n"/>
      <c r="AH48" s="52">
        <f>(AF48-AF47)/AF47</f>
        <v/>
      </c>
      <c r="AI48" s="103">
        <f>(AF48-AG48)/AG48</f>
        <v/>
      </c>
      <c r="AJ48" s="82">
        <f>AB48/AF48</f>
        <v/>
      </c>
      <c r="AK48" s="82">
        <f>AC48/AG48</f>
        <v/>
      </c>
      <c r="AL48" s="52">
        <f>(AJ48-AJ47)/AJ47</f>
        <v/>
      </c>
      <c r="AM48" s="103">
        <f>(AJ48-AK48)/AK48</f>
        <v/>
      </c>
    </row>
    <row customFormat="1" customHeight="1" ht="15.75" r="49" s="357" spans="1:40">
      <c r="A49" s="69" t="s">
        <v>51</v>
      </c>
      <c r="B49" s="69" t="s">
        <v>53</v>
      </c>
      <c r="C49" s="70">
        <f>C48+7</f>
        <v/>
      </c>
      <c r="D49" s="585" t="n"/>
      <c r="E49" s="585" t="n"/>
      <c r="F49" s="73">
        <f>(D49-D48)/D48</f>
        <v/>
      </c>
      <c r="G49" s="104">
        <f>(D49-E49)/E49</f>
        <v/>
      </c>
      <c r="H49" s="571" t="n"/>
      <c r="I49" s="571" t="n"/>
      <c r="J49" s="104">
        <f>(H49-H48)/H48</f>
        <v/>
      </c>
      <c r="K49" s="104">
        <f>(H49-I49)/I49</f>
        <v/>
      </c>
      <c r="L49" s="572">
        <f>D49/H49</f>
        <v/>
      </c>
      <c r="M49" s="571">
        <f>E49/I49</f>
        <v/>
      </c>
      <c r="N49" s="104">
        <f>(L49-L48)/L48</f>
        <v/>
      </c>
      <c r="O49" s="104">
        <f>(L49-M49)/M49</f>
        <v/>
      </c>
      <c r="P49" s="573" t="n"/>
      <c r="Q49" s="573" t="n"/>
      <c r="R49" s="104">
        <f>(P49-P48)/P48</f>
        <v/>
      </c>
      <c r="S49" s="104">
        <f>(P49-Q49)/Q49</f>
        <v/>
      </c>
      <c r="T49" s="589" t="n"/>
      <c r="U49" s="589" t="n"/>
      <c r="V49" s="73">
        <f>(T49-T48)/T48</f>
        <v/>
      </c>
      <c r="W49" s="104">
        <f>(T49-U49)/U49</f>
        <v/>
      </c>
      <c r="X49" s="571">
        <f>D49/T49</f>
        <v/>
      </c>
      <c r="Y49" s="573">
        <f>E49/U49</f>
        <v/>
      </c>
      <c r="Z49" s="104">
        <f>(X49-X48)/X48</f>
        <v/>
      </c>
      <c r="AA49" s="104">
        <f>(X49-Y49)/Y49</f>
        <v/>
      </c>
      <c r="AB49" s="573" t="n"/>
      <c r="AC49" s="573" t="n"/>
      <c r="AD49" s="73">
        <f>(AB49-AB48)/AB48</f>
        <v/>
      </c>
      <c r="AE49" s="104">
        <f>(AB49-AC49)/AC49</f>
        <v/>
      </c>
      <c r="AF49" s="589" t="n"/>
      <c r="AG49" s="589" t="n"/>
      <c r="AH49" s="73">
        <f>(AF49-AF48)/AF48</f>
        <v/>
      </c>
      <c r="AI49" s="104">
        <f>(AF49-AG49)/AG49</f>
        <v/>
      </c>
      <c r="AJ49" s="83">
        <f>AB49/AF49</f>
        <v/>
      </c>
      <c r="AK49" s="83">
        <f>AC49/AG49</f>
        <v/>
      </c>
      <c r="AL49" s="73">
        <f>(AJ49-AJ48)/AJ48</f>
        <v/>
      </c>
      <c r="AM49" s="104">
        <f>(AJ49-AK49)/AK49</f>
        <v/>
      </c>
      <c r="AN49" s="357" t="n"/>
    </row>
    <row customHeight="1" ht="15.75" r="50" s="452" spans="1:40">
      <c r="A50" s="49" t="s">
        <v>52</v>
      </c>
      <c r="B50" s="49" t="s">
        <v>132</v>
      </c>
      <c r="C50" s="50">
        <f>C49+7</f>
        <v/>
      </c>
      <c r="D50" s="566" t="n"/>
      <c r="E50" s="623" t="n"/>
      <c r="F50" s="52">
        <f>(D50-D49)/D49</f>
        <v/>
      </c>
      <c r="G50" s="103">
        <f>(D50-E50)/E50</f>
        <v/>
      </c>
      <c r="H50" s="566" t="n"/>
      <c r="I50" s="623" t="n"/>
      <c r="J50" s="103">
        <f>(H50-H49)/H49</f>
        <v/>
      </c>
      <c r="K50" s="103">
        <f>(H50-I50)/I50</f>
        <v/>
      </c>
      <c r="L50" s="567">
        <f>D50/H50</f>
        <v/>
      </c>
      <c r="M50" s="566">
        <f>E50/I50</f>
        <v/>
      </c>
      <c r="N50" s="103">
        <f>(L50-L49)/L49</f>
        <v/>
      </c>
      <c r="O50" s="103">
        <f>(L50-M50)/M50</f>
        <v/>
      </c>
      <c r="P50" s="568" t="n"/>
      <c r="Q50" s="568" t="n"/>
      <c r="R50" s="103">
        <f>(P50-P49)/P49</f>
        <v/>
      </c>
      <c r="S50" s="103">
        <f>(P50-Q50)/Q50</f>
        <v/>
      </c>
      <c r="T50" s="588" t="n"/>
      <c r="U50" s="568" t="n"/>
      <c r="V50" s="52">
        <f>(T50-T49)/T49</f>
        <v/>
      </c>
      <c r="W50" s="103">
        <f>(T50-U50)/U50</f>
        <v/>
      </c>
      <c r="X50" s="566">
        <f>D50/T50</f>
        <v/>
      </c>
      <c r="Y50" s="568">
        <f>E50/U50</f>
        <v/>
      </c>
      <c r="Z50" s="103">
        <f>(X50-X49)/X49</f>
        <v/>
      </c>
      <c r="AA50" s="103">
        <f>(X50-Y50)/Y50</f>
        <v/>
      </c>
      <c r="AB50" s="568" t="n"/>
      <c r="AC50" s="568" t="n"/>
      <c r="AD50" s="52">
        <f>(AB50-AB49)/AB49</f>
        <v/>
      </c>
      <c r="AE50" s="103">
        <f>(AB50-AC50)/AC50</f>
        <v/>
      </c>
      <c r="AF50" s="588" t="n"/>
      <c r="AG50" s="568" t="n"/>
      <c r="AH50" s="52">
        <f>(AF50-AF49)/AF49</f>
        <v/>
      </c>
      <c r="AI50" s="103">
        <f>(AF50-AG50)/AG50</f>
        <v/>
      </c>
      <c r="AJ50" s="82">
        <f>AB50/AF50</f>
        <v/>
      </c>
      <c r="AK50" s="82">
        <f>AC50/AG50</f>
        <v/>
      </c>
      <c r="AL50" s="52">
        <f>(AJ50-AJ49)/AJ49</f>
        <v/>
      </c>
      <c r="AM50" s="103">
        <f>(AJ50-AK50)/AK50</f>
        <v/>
      </c>
    </row>
    <row customHeight="1" ht="15.75" r="51" s="452" spans="1:40">
      <c r="A51" s="49" t="s">
        <v>52</v>
      </c>
      <c r="B51" s="49" t="s">
        <v>133</v>
      </c>
      <c r="C51" s="50">
        <f>C50+7</f>
        <v/>
      </c>
      <c r="D51" s="566" t="n"/>
      <c r="E51" s="623" t="n"/>
      <c r="F51" s="52">
        <f>(D51-D50)/D50</f>
        <v/>
      </c>
      <c r="G51" s="103">
        <f>(D51-E51)/E51</f>
        <v/>
      </c>
      <c r="H51" s="566" t="n"/>
      <c r="I51" s="623" t="n"/>
      <c r="J51" s="103">
        <f>(H51-H50)/H50</f>
        <v/>
      </c>
      <c r="K51" s="103">
        <f>(H51-I51)/I51</f>
        <v/>
      </c>
      <c r="L51" s="567">
        <f>D51/H51</f>
        <v/>
      </c>
      <c r="M51" s="566">
        <f>E51/I51</f>
        <v/>
      </c>
      <c r="N51" s="103">
        <f>(L51-L50)/L50</f>
        <v/>
      </c>
      <c r="O51" s="103">
        <f>(L51-M51)/M51</f>
        <v/>
      </c>
      <c r="P51" s="568" t="n"/>
      <c r="Q51" s="568" t="n"/>
      <c r="R51" s="103">
        <f>(P51-P50)/P50</f>
        <v/>
      </c>
      <c r="S51" s="103">
        <f>(P51-Q51)/Q51</f>
        <v/>
      </c>
      <c r="T51" s="588" t="n"/>
      <c r="U51" s="568" t="n"/>
      <c r="V51" s="52">
        <f>(T51-T50)/T50</f>
        <v/>
      </c>
      <c r="W51" s="103">
        <f>(T51-U51)/U51</f>
        <v/>
      </c>
      <c r="X51" s="566">
        <f>D51/T51</f>
        <v/>
      </c>
      <c r="Y51" s="568">
        <f>E51/U51</f>
        <v/>
      </c>
      <c r="Z51" s="103">
        <f>(X51-X50)/X50</f>
        <v/>
      </c>
      <c r="AA51" s="103">
        <f>(X51-Y51)/Y51</f>
        <v/>
      </c>
      <c r="AB51" s="568" t="n"/>
      <c r="AC51" s="568" t="n"/>
      <c r="AD51" s="52">
        <f>(AB51-AB50)/AB50</f>
        <v/>
      </c>
      <c r="AE51" s="103">
        <f>(AB51-AC51)/AC51</f>
        <v/>
      </c>
      <c r="AF51" s="588" t="n"/>
      <c r="AG51" s="588" t="n"/>
      <c r="AH51" s="52">
        <f>(AF51-AF50)/AF50</f>
        <v/>
      </c>
      <c r="AI51" s="103">
        <f>(AF51-AG51)/AG51</f>
        <v/>
      </c>
      <c r="AJ51" s="82">
        <f>AB51/AF51</f>
        <v/>
      </c>
      <c r="AK51" s="82">
        <f>AC51/AG51</f>
        <v/>
      </c>
      <c r="AL51" s="52">
        <f>(AJ51-AJ50)/AJ50</f>
        <v/>
      </c>
      <c r="AM51" s="103">
        <f>(AJ51-AK51)/AK51</f>
        <v/>
      </c>
    </row>
    <row customHeight="1" ht="15.75" r="52" s="452" spans="1:40">
      <c r="A52" s="49" t="s">
        <v>52</v>
      </c>
      <c r="B52" s="49" t="s">
        <v>134</v>
      </c>
      <c r="C52" s="50">
        <f>C51+7</f>
        <v/>
      </c>
      <c r="D52" s="566" t="n"/>
      <c r="E52" s="623" t="n"/>
      <c r="F52" s="52">
        <f>(D52-D51)/D51</f>
        <v/>
      </c>
      <c r="G52" s="103">
        <f>(D52-E52)/E52</f>
        <v/>
      </c>
      <c r="H52" s="566" t="n"/>
      <c r="I52" s="623" t="n"/>
      <c r="J52" s="103">
        <f>(H52-H51)/H51</f>
        <v/>
      </c>
      <c r="K52" s="103">
        <f>(H52-I52)/I52</f>
        <v/>
      </c>
      <c r="L52" s="567">
        <f>D52/H52</f>
        <v/>
      </c>
      <c r="M52" s="566">
        <f>E52/I52</f>
        <v/>
      </c>
      <c r="N52" s="103">
        <f>(L52-L51)/L51</f>
        <v/>
      </c>
      <c r="O52" s="103">
        <f>(L52-M52)/M52</f>
        <v/>
      </c>
      <c r="P52" s="568" t="n"/>
      <c r="Q52" s="568" t="n"/>
      <c r="R52" s="103">
        <f>(P52-P51)/P51</f>
        <v/>
      </c>
      <c r="S52" s="103">
        <f>(P52-Q52)/Q52</f>
        <v/>
      </c>
      <c r="T52" s="588" t="n"/>
      <c r="U52" s="568" t="n"/>
      <c r="V52" s="52">
        <f>(T52-T51)/T51</f>
        <v/>
      </c>
      <c r="W52" s="103">
        <f>(T52-U52)/U52</f>
        <v/>
      </c>
      <c r="X52" s="566">
        <f>D52/T52</f>
        <v/>
      </c>
      <c r="Y52" s="568">
        <f>E52/U52</f>
        <v/>
      </c>
      <c r="Z52" s="103">
        <f>(X52-X51)/X51</f>
        <v/>
      </c>
      <c r="AA52" s="103">
        <f>(X52-Y52)/Y52</f>
        <v/>
      </c>
      <c r="AB52" s="568" t="n"/>
      <c r="AC52" s="568" t="n"/>
      <c r="AD52" s="52">
        <f>(AB52-AB51)/AB51</f>
        <v/>
      </c>
      <c r="AE52" s="103">
        <f>(AB52-AC52)/AC52</f>
        <v/>
      </c>
      <c r="AF52" s="588" t="n"/>
      <c r="AG52" s="588" t="n"/>
      <c r="AH52" s="52">
        <f>(AF52-AF51)/AF51</f>
        <v/>
      </c>
      <c r="AI52" s="103">
        <f>(AF52-AG52)/AG52</f>
        <v/>
      </c>
      <c r="AJ52" s="82">
        <f>AB52/AF52</f>
        <v/>
      </c>
      <c r="AK52" s="82">
        <f>AC52/AG52</f>
        <v/>
      </c>
      <c r="AL52" s="52">
        <f>(AJ52-AJ51)/AJ51</f>
        <v/>
      </c>
      <c r="AM52" s="103">
        <f>(AJ52-AK52)/AK52</f>
        <v/>
      </c>
    </row>
    <row customFormat="1" customHeight="1" ht="15.75" r="53" s="357" spans="1:40">
      <c r="A53" s="69" t="s">
        <v>52</v>
      </c>
      <c r="B53" s="69" t="s">
        <v>135</v>
      </c>
      <c r="C53" s="70">
        <f>C52+7</f>
        <v/>
      </c>
      <c r="D53" s="571" t="n"/>
      <c r="E53" s="624" t="n"/>
      <c r="F53" s="73">
        <f>(D53-D52)/D52</f>
        <v/>
      </c>
      <c r="G53" s="104">
        <f>(D53-E53)/E53</f>
        <v/>
      </c>
      <c r="H53" s="571" t="n"/>
      <c r="I53" s="624" t="n"/>
      <c r="J53" s="104">
        <f>(H53-H52)/H52</f>
        <v/>
      </c>
      <c r="K53" s="104">
        <f>(H53-I53)/I53</f>
        <v/>
      </c>
      <c r="L53" s="572">
        <f>D53/H53</f>
        <v/>
      </c>
      <c r="M53" s="571">
        <f>E53/I53</f>
        <v/>
      </c>
      <c r="N53" s="104">
        <f>(L53-L52)/L52</f>
        <v/>
      </c>
      <c r="O53" s="104">
        <f>(L53-M53)/M53</f>
        <v/>
      </c>
      <c r="P53" s="573" t="n"/>
      <c r="Q53" s="573" t="n"/>
      <c r="R53" s="104">
        <f>(P53-P52)/P52</f>
        <v/>
      </c>
      <c r="S53" s="104">
        <f>(P53-Q53)/Q53</f>
        <v/>
      </c>
      <c r="T53" s="589" t="n"/>
      <c r="U53" s="573" t="n"/>
      <c r="V53" s="73">
        <f>(T53-T52)/T52</f>
        <v/>
      </c>
      <c r="W53" s="104">
        <f>(T53-U53)/U53</f>
        <v/>
      </c>
      <c r="X53" s="571">
        <f>D53/T53</f>
        <v/>
      </c>
      <c r="Y53" s="573">
        <f>E53/U53</f>
        <v/>
      </c>
      <c r="Z53" s="104">
        <f>(X53-X52)/X52</f>
        <v/>
      </c>
      <c r="AA53" s="104">
        <f>(X53-Y53)/Y53</f>
        <v/>
      </c>
      <c r="AB53" s="573" t="n"/>
      <c r="AC53" s="573" t="n"/>
      <c r="AD53" s="73">
        <f>(AB53-AB52)/AB52</f>
        <v/>
      </c>
      <c r="AE53" s="104">
        <f>(AB53-AC53)/AC53</f>
        <v/>
      </c>
      <c r="AF53" s="589" t="n"/>
      <c r="AG53" s="589" t="n"/>
      <c r="AH53" s="73">
        <f>(AF53-AF52)/AF52</f>
        <v/>
      </c>
      <c r="AI53" s="104">
        <f>(AF53-AG53)/AG53</f>
        <v/>
      </c>
      <c r="AJ53" s="83">
        <f>AB53/AF53</f>
        <v/>
      </c>
      <c r="AK53" s="83">
        <f>AC53/AG53</f>
        <v/>
      </c>
      <c r="AL53" s="73">
        <f>(AJ53-AJ52)/AJ52</f>
        <v/>
      </c>
      <c r="AM53" s="104">
        <f>(AJ53-AK53)/AK53</f>
        <v/>
      </c>
      <c r="AN53" s="357" t="n"/>
    </row>
    <row customFormat="1" customHeight="1" ht="19.5" r="54" s="182" spans="1:40">
      <c r="A54" s="172" t="s">
        <v>137</v>
      </c>
      <c r="B54" s="173" t="n"/>
      <c r="C54" s="174" t="n"/>
      <c r="D54" s="617">
        <f>SUM(D2:D53)</f>
        <v/>
      </c>
      <c r="E54" s="617">
        <f>SUM(E2:E53)</f>
        <v/>
      </c>
      <c r="F54" s="617" t="n"/>
      <c r="G54" s="190">
        <f>(D54-E54)/E54</f>
        <v/>
      </c>
      <c r="H54" s="617">
        <f>SUM(H2:H53)</f>
        <v/>
      </c>
      <c r="I54" s="617">
        <f>SUM(I2:I53)</f>
        <v/>
      </c>
      <c r="J54" s="191" t="n"/>
      <c r="K54" s="191">
        <f>(H54-I54)/I54</f>
        <v/>
      </c>
      <c r="L54" s="618">
        <f>D54/H54</f>
        <v/>
      </c>
      <c r="M54" s="618">
        <f>E54/I54</f>
        <v/>
      </c>
      <c r="N54" s="191" t="n"/>
      <c r="O54" s="190">
        <f>(L54-M54)/M54</f>
        <v/>
      </c>
      <c r="P54" s="619">
        <f>SUM(P2:P53)</f>
        <v/>
      </c>
      <c r="Q54" s="619">
        <f>SUM(Q2:Q53)</f>
        <v/>
      </c>
      <c r="R54" s="191" t="n"/>
      <c r="S54" s="190">
        <f>(P54-Q54)/Q54</f>
        <v/>
      </c>
      <c r="T54" s="619">
        <f>SUM(T2:T53)</f>
        <v/>
      </c>
      <c r="U54" s="619">
        <f>SUM(U2:U53)</f>
        <v/>
      </c>
      <c r="V54" s="619" t="n"/>
      <c r="W54" s="190">
        <f>(T54-U54)/U54</f>
        <v/>
      </c>
      <c r="X54" s="617">
        <f>D54/T54</f>
        <v/>
      </c>
      <c r="Y54" s="617">
        <f>E54/U54</f>
        <v/>
      </c>
      <c r="Z54" s="191" t="n"/>
      <c r="AA54" s="191">
        <f>(X54-Y54)/Y54</f>
        <v/>
      </c>
      <c r="AB54" s="619">
        <f>SUM(AB2:AB53)</f>
        <v/>
      </c>
      <c r="AC54" s="619">
        <f>SUM(AC2:AC53)</f>
        <v/>
      </c>
      <c r="AD54" s="619" t="n"/>
      <c r="AE54" s="190">
        <f>(AB54-AC54)/AC54</f>
        <v/>
      </c>
      <c r="AF54" s="619">
        <f>SUM(AF2:AF53)</f>
        <v/>
      </c>
      <c r="AG54" s="619">
        <f>SUM(AG2:AG53)</f>
        <v/>
      </c>
      <c r="AH54" s="619" t="n"/>
      <c r="AI54" s="190">
        <f>(AF54-AG54)/AG54</f>
        <v/>
      </c>
      <c r="AJ54" s="178">
        <f>AB54/AF54</f>
        <v/>
      </c>
      <c r="AK54" s="178">
        <f>AC54/AG54</f>
        <v/>
      </c>
      <c r="AL54" s="619" t="n"/>
      <c r="AM54" s="191">
        <f>(AJ54-AK54)/AK54</f>
        <v/>
      </c>
      <c r="AN54" s="182" t="n"/>
    </row>
    <row customHeight="1" ht="15.75" r="55" s="452" spans="1:40">
      <c r="A55" s="44" t="n"/>
      <c r="B55" s="221" t="n"/>
      <c r="C55" s="221" t="n"/>
      <c r="D55" s="535" t="n"/>
      <c r="E55" s="535" t="n"/>
      <c r="F55" s="535" t="n"/>
      <c r="G55" s="535" t="n"/>
      <c r="H55" s="535" t="n"/>
      <c r="I55" s="535" t="n"/>
      <c r="J55" s="404" t="n"/>
      <c r="K55" s="535" t="n"/>
      <c r="L55" s="536" t="n"/>
      <c r="M55" s="536" t="n"/>
      <c r="N55" s="404" t="n"/>
      <c r="O55" s="537" t="n"/>
      <c r="P55" s="537" t="n"/>
      <c r="Q55" s="537" t="n"/>
      <c r="R55" s="404" t="n"/>
      <c r="S55" s="537" t="n"/>
      <c r="T55" s="537" t="n"/>
      <c r="U55" s="537" t="n"/>
      <c r="V55" s="537" t="n"/>
      <c r="W55" s="537" t="n"/>
      <c r="X55" s="537" t="n"/>
      <c r="Y55" s="537" t="n"/>
      <c r="Z55" s="537" t="n"/>
      <c r="AA55" s="537" t="n"/>
      <c r="AB55" s="537" t="n"/>
      <c r="AC55" s="537" t="n"/>
      <c r="AD55" s="537" t="n"/>
      <c r="AE55" s="537" t="n"/>
      <c r="AF55" s="537" t="n"/>
      <c r="AG55" s="537" t="n"/>
      <c r="AH55" s="537" t="n"/>
      <c r="AI55" s="537" t="n"/>
      <c r="AJ55" s="537" t="n"/>
      <c r="AK55" s="537" t="n"/>
      <c r="AL55" s="537" t="n"/>
      <c r="AM55" s="537" t="n"/>
    </row>
    <row customHeight="1" ht="15.75" r="56" s="452" spans="1:40">
      <c r="A56" s="44" t="n"/>
      <c r="D56" s="535" t="n"/>
      <c r="E56" s="535" t="n"/>
      <c r="F56" s="535" t="n"/>
      <c r="G56" s="535" t="n"/>
      <c r="H56" s="535" t="n"/>
      <c r="I56" s="535" t="n"/>
      <c r="J56" s="404" t="n"/>
      <c r="K56" s="535" t="n"/>
      <c r="L56" s="536" t="n"/>
      <c r="M56" s="536" t="n"/>
      <c r="N56" s="404" t="n"/>
      <c r="O56" s="537" t="n"/>
      <c r="P56" s="537" t="n"/>
      <c r="Q56" s="537" t="n"/>
      <c r="R56" s="404" t="n"/>
      <c r="S56" s="537" t="n"/>
      <c r="T56" s="537" t="n"/>
      <c r="U56" s="537" t="n"/>
      <c r="V56" s="537" t="n"/>
      <c r="W56" s="537" t="n"/>
      <c r="X56" s="537" t="n"/>
      <c r="Y56" s="537" t="n"/>
      <c r="Z56" s="537" t="n"/>
      <c r="AA56" s="537" t="n"/>
      <c r="AB56" s="537" t="n"/>
      <c r="AC56" s="537" t="n"/>
      <c r="AD56" s="537" t="n"/>
      <c r="AE56" s="537" t="n"/>
      <c r="AF56" s="537" t="n"/>
      <c r="AG56" s="537" t="n"/>
      <c r="AH56" s="537" t="n"/>
      <c r="AI56" s="537" t="n"/>
      <c r="AJ56" s="537" t="n"/>
      <c r="AK56" s="537" t="n"/>
      <c r="AL56" s="537" t="n"/>
      <c r="AM56" s="537" t="n"/>
    </row>
    <row customHeight="1" ht="15.75" r="57" s="452" spans="1:40">
      <c r="A57" s="44" t="n"/>
      <c r="B57" s="44" t="n"/>
      <c r="C57" s="46" t="n"/>
      <c r="D57" s="535" t="n"/>
      <c r="E57" s="535" t="n"/>
      <c r="F57" s="535" t="n"/>
      <c r="G57" s="535" t="n"/>
      <c r="H57" s="535" t="n"/>
      <c r="I57" s="535" t="n"/>
      <c r="J57" s="404" t="n"/>
      <c r="K57" s="535" t="n"/>
      <c r="L57" s="536" t="n"/>
      <c r="M57" s="536" t="n"/>
      <c r="N57" s="404" t="n"/>
      <c r="O57" s="537" t="n"/>
      <c r="P57" s="537" t="n"/>
      <c r="Q57" s="537" t="n"/>
      <c r="R57" s="404" t="n"/>
      <c r="S57" s="537" t="n"/>
      <c r="T57" s="537" t="n"/>
      <c r="U57" s="537" t="n"/>
      <c r="V57" s="537" t="n"/>
      <c r="W57" s="537" t="n"/>
      <c r="X57" s="537" t="n"/>
      <c r="Y57" s="537" t="n"/>
      <c r="Z57" s="537" t="n"/>
      <c r="AA57" s="537" t="n"/>
      <c r="AB57" s="537" t="n"/>
      <c r="AC57" s="537" t="n"/>
      <c r="AD57" s="537" t="n"/>
      <c r="AE57" s="537" t="n"/>
      <c r="AF57" s="537" t="n"/>
      <c r="AG57" s="537" t="n"/>
      <c r="AH57" s="537" t="n"/>
      <c r="AI57" s="537" t="n"/>
      <c r="AJ57" s="537" t="n"/>
      <c r="AK57" s="537" t="n"/>
      <c r="AL57" s="537" t="n"/>
      <c r="AM57" s="537" t="n"/>
    </row>
    <row customHeight="1" ht="15.75" r="58" s="452" spans="1:40">
      <c r="A58" s="44" t="n"/>
      <c r="J58" s="404" t="n"/>
      <c r="N58" s="404" t="n"/>
      <c r="R58" s="404" t="n"/>
      <c r="AB58" s="537" t="n"/>
      <c r="AC58" s="537" t="n"/>
      <c r="AF58" s="537" t="n"/>
      <c r="AG58" s="537" t="n"/>
    </row>
    <row customHeight="1" ht="15.75" r="59" s="452" spans="1:40">
      <c r="A59" s="44" t="n"/>
      <c r="J59" s="404" t="n"/>
      <c r="N59" s="404" t="n"/>
      <c r="R59" s="404" t="n"/>
      <c r="AB59" s="537" t="n"/>
      <c r="AC59" s="537" t="n"/>
      <c r="AF59" s="537" t="n"/>
      <c r="AG59" s="537" t="n"/>
    </row>
    <row customHeight="1" ht="15.75" r="60" s="452" spans="1:40">
      <c r="A60" s="44" t="n"/>
      <c r="J60" s="404" t="n"/>
      <c r="N60" s="404" t="n"/>
      <c r="R60" s="404" t="n"/>
      <c r="AB60" s="537" t="n"/>
      <c r="AC60" s="537" t="n"/>
      <c r="AF60" s="537" t="n"/>
      <c r="AG60" s="537" t="n"/>
    </row>
    <row customHeight="1" ht="15.75" r="61" s="452" spans="1:40">
      <c r="A61" s="44" t="n"/>
      <c r="J61" s="404" t="n"/>
      <c r="N61" s="404" t="n"/>
      <c r="R61" s="404" t="n"/>
      <c r="AB61" s="537" t="n"/>
      <c r="AC61" s="537" t="n"/>
      <c r="AF61" s="537" t="n"/>
      <c r="AG61" s="537" t="n"/>
    </row>
    <row customHeight="1" ht="15.75" r="62" s="452" spans="1:40">
      <c r="A62" s="44" t="n"/>
      <c r="J62" s="404" t="n"/>
      <c r="N62" s="404" t="n"/>
      <c r="R62" s="404" t="n"/>
      <c r="AB62" s="537" t="n"/>
      <c r="AC62" s="537" t="n"/>
      <c r="AF62" s="537" t="n"/>
      <c r="AG62" s="537" t="n"/>
    </row>
    <row customHeight="1" ht="15.75" r="63" s="452" spans="1:40">
      <c r="A63" s="44" t="n"/>
      <c r="J63" s="404" t="n"/>
      <c r="N63" s="404" t="n"/>
      <c r="R63" s="404" t="n"/>
      <c r="AB63" s="537" t="n"/>
      <c r="AC63" s="537" t="n"/>
      <c r="AF63" s="537" t="n"/>
      <c r="AG63" s="537" t="n"/>
    </row>
    <row customHeight="1" ht="15.75" r="64" s="452" spans="1:40">
      <c r="A64" s="44" t="n"/>
      <c r="J64" s="404" t="n"/>
      <c r="N64" s="404" t="n"/>
      <c r="R64" s="404" t="n"/>
      <c r="AB64" s="537" t="n"/>
      <c r="AC64" s="537" t="n"/>
      <c r="AF64" s="537" t="n"/>
      <c r="AG64" s="537" t="n"/>
    </row>
    <row customHeight="1" ht="15.75" r="65" s="452" spans="1:40">
      <c r="A65" s="44" t="n"/>
      <c r="J65" s="404" t="n"/>
      <c r="N65" s="404" t="n"/>
      <c r="R65" s="404" t="n"/>
      <c r="AB65" s="537" t="n"/>
      <c r="AC65" s="537" t="n"/>
      <c r="AF65" s="537" t="n"/>
      <c r="AG65" s="537" t="n"/>
    </row>
    <row customHeight="1" ht="15.75" r="66" s="452" spans="1:40">
      <c r="A66" s="44" t="n"/>
      <c r="J66" s="404" t="n"/>
      <c r="N66" s="404" t="n"/>
      <c r="R66" s="404" t="n"/>
      <c r="AB66" s="537" t="n"/>
      <c r="AC66" s="537" t="n"/>
      <c r="AF66" s="537" t="n"/>
      <c r="AG66" s="537" t="n"/>
    </row>
    <row customHeight="1" ht="15.75" r="67" s="452" spans="1:40">
      <c r="A67" s="44" t="n"/>
      <c r="J67" s="404" t="n"/>
      <c r="N67" s="404" t="n"/>
      <c r="R67" s="404" t="n"/>
      <c r="AB67" s="537" t="n"/>
      <c r="AC67" s="537" t="n"/>
      <c r="AF67" s="537" t="n"/>
      <c r="AG67" s="537" t="n"/>
    </row>
    <row customHeight="1" ht="15.75" r="68" s="452" spans="1:40">
      <c r="A68" s="44" t="n"/>
      <c r="J68" s="404" t="n"/>
      <c r="N68" s="404" t="n"/>
      <c r="R68" s="404" t="n"/>
      <c r="AB68" s="537" t="n"/>
      <c r="AC68" s="537" t="n"/>
      <c r="AF68" s="537" t="n"/>
      <c r="AG68" s="537" t="n"/>
    </row>
    <row customHeight="1" ht="15.75" r="69" s="452" spans="1:40">
      <c r="A69" s="44" t="n"/>
      <c r="J69" s="404" t="n"/>
      <c r="N69" s="404" t="n"/>
      <c r="R69" s="404" t="n"/>
      <c r="AB69" s="537" t="n"/>
      <c r="AC69" s="537" t="n"/>
      <c r="AF69" s="537" t="n"/>
      <c r="AG69" s="537" t="n"/>
    </row>
    <row customHeight="1" ht="15.75" r="70" s="452" spans="1:40">
      <c r="A70" s="44" t="n"/>
      <c r="J70" s="404" t="n"/>
      <c r="N70" s="404" t="n"/>
      <c r="R70" s="404" t="n"/>
      <c r="AB70" s="537" t="n"/>
      <c r="AC70" s="537" t="n"/>
      <c r="AF70" s="537" t="n"/>
      <c r="AG70" s="537" t="n"/>
    </row>
    <row customHeight="1" ht="15.75" r="71" s="452" spans="1:40">
      <c r="A71" s="44" t="n"/>
      <c r="J71" s="404" t="n"/>
      <c r="N71" s="404" t="n"/>
      <c r="R71" s="404" t="n"/>
      <c r="AB71" s="537" t="n"/>
      <c r="AC71" s="537" t="n"/>
      <c r="AF71" s="537" t="n"/>
      <c r="AG71" s="537" t="n"/>
    </row>
    <row customHeight="1" ht="15.75" r="72" s="452" spans="1:40">
      <c r="A72" s="44" t="n"/>
      <c r="J72" s="404" t="n"/>
      <c r="N72" s="404" t="n"/>
      <c r="R72" s="404" t="n"/>
      <c r="AB72" s="537" t="n"/>
      <c r="AC72" s="537" t="n"/>
      <c r="AF72" s="537" t="n"/>
      <c r="AG72" s="537" t="n"/>
    </row>
    <row customHeight="1" ht="15.75" r="73" s="452" spans="1:40">
      <c r="A73" s="44" t="n"/>
      <c r="J73" s="404" t="n"/>
      <c r="N73" s="404" t="n"/>
      <c r="R73" s="404" t="n"/>
      <c r="AB73" s="537" t="n"/>
      <c r="AC73" s="537" t="n"/>
      <c r="AF73" s="537" t="n"/>
      <c r="AG73" s="537" t="n"/>
    </row>
    <row customHeight="1" ht="15.75" r="74" s="452" spans="1:40">
      <c r="A74" s="44" t="n"/>
      <c r="J74" s="404" t="n"/>
      <c r="N74" s="404" t="n"/>
      <c r="R74" s="404" t="n"/>
      <c r="AB74" s="537" t="n"/>
      <c r="AC74" s="537" t="n"/>
      <c r="AF74" s="537" t="n"/>
      <c r="AG74" s="537" t="n"/>
    </row>
    <row customHeight="1" ht="15.75" r="75" s="452" spans="1:40">
      <c r="A75" s="44" t="n"/>
      <c r="J75" s="404" t="n"/>
      <c r="N75" s="404" t="n"/>
      <c r="R75" s="404" t="n"/>
      <c r="AB75" s="537" t="n"/>
      <c r="AC75" s="537" t="n"/>
      <c r="AF75" s="537" t="n"/>
      <c r="AG75" s="537" t="n"/>
    </row>
    <row customHeight="1" ht="15.75" r="76" s="452" spans="1:40">
      <c r="A76" s="44" t="n"/>
      <c r="J76" s="404" t="n"/>
      <c r="N76" s="404" t="n"/>
      <c r="R76" s="404" t="n"/>
      <c r="AB76" s="537" t="n"/>
      <c r="AC76" s="537" t="n"/>
      <c r="AF76" s="537" t="n"/>
      <c r="AG76" s="537" t="n"/>
    </row>
    <row customHeight="1" ht="15.75" r="77" s="452" spans="1:40">
      <c r="A77" s="44" t="n"/>
      <c r="J77" s="404" t="n"/>
      <c r="N77" s="404" t="n"/>
      <c r="R77" s="404" t="n"/>
      <c r="AB77" s="537" t="n"/>
      <c r="AC77" s="537" t="n"/>
      <c r="AF77" s="537" t="n"/>
      <c r="AG77" s="537" t="n"/>
    </row>
    <row customHeight="1" ht="15.75" r="78" s="452" spans="1:40">
      <c r="A78" s="44" t="n"/>
      <c r="J78" s="404" t="n"/>
      <c r="N78" s="404" t="n"/>
      <c r="R78" s="404" t="n"/>
      <c r="AB78" s="537" t="n"/>
      <c r="AC78" s="537" t="n"/>
      <c r="AF78" s="537" t="n"/>
      <c r="AG78" s="537" t="n"/>
    </row>
    <row customHeight="1" ht="15.75" r="79" s="452" spans="1:40">
      <c r="A79" s="44" t="n"/>
      <c r="J79" s="404" t="n"/>
      <c r="N79" s="404" t="n"/>
      <c r="R79" s="404" t="n"/>
      <c r="AB79" s="537" t="n"/>
      <c r="AC79" s="537" t="n"/>
      <c r="AF79" s="537" t="n"/>
      <c r="AG79" s="537" t="n"/>
    </row>
    <row customHeight="1" ht="15.75" r="80" s="452" spans="1:40">
      <c r="A80" s="44" t="n"/>
      <c r="J80" s="404" t="n"/>
      <c r="N80" s="404" t="n"/>
      <c r="R80" s="404" t="n"/>
      <c r="AB80" s="537" t="n"/>
      <c r="AC80" s="537" t="n"/>
      <c r="AF80" s="537" t="n"/>
      <c r="AG80" s="537" t="n"/>
    </row>
    <row customHeight="1" ht="15.75" r="81" s="452" spans="1:40">
      <c r="A81" s="44" t="n"/>
      <c r="J81" s="404" t="n"/>
      <c r="N81" s="404" t="n"/>
      <c r="R81" s="404" t="n"/>
      <c r="AB81" s="537" t="n"/>
      <c r="AC81" s="537" t="n"/>
      <c r="AF81" s="537" t="n"/>
      <c r="AG81" s="537" t="n"/>
    </row>
    <row customHeight="1" ht="15.75" r="82" s="452" spans="1:40">
      <c r="A82" s="44" t="n"/>
      <c r="J82" s="404" t="n"/>
      <c r="N82" s="404" t="n"/>
      <c r="R82" s="404" t="n"/>
      <c r="AB82" s="537" t="n"/>
      <c r="AC82" s="537" t="n"/>
      <c r="AF82" s="537" t="n"/>
      <c r="AG82" s="537" t="n"/>
    </row>
    <row customHeight="1" ht="15.75" r="83" s="452" spans="1:40">
      <c r="A83" s="44" t="n"/>
      <c r="J83" s="404" t="n"/>
      <c r="N83" s="404" t="n"/>
      <c r="R83" s="404" t="n"/>
      <c r="AB83" s="537" t="n"/>
      <c r="AC83" s="537" t="n"/>
      <c r="AF83" s="537" t="n"/>
      <c r="AG83" s="537" t="n"/>
    </row>
    <row customHeight="1" ht="15.75" r="84" s="452" spans="1:40">
      <c r="A84" s="44" t="n"/>
      <c r="J84" s="404" t="n"/>
      <c r="N84" s="404" t="n"/>
      <c r="R84" s="404" t="n"/>
      <c r="AB84" s="537" t="n"/>
      <c r="AC84" s="537" t="n"/>
      <c r="AF84" s="537" t="n"/>
      <c r="AG84" s="537" t="n"/>
    </row>
    <row customHeight="1" ht="15.75" r="85" s="452" spans="1:40">
      <c r="A85" s="44" t="n"/>
      <c r="J85" s="404" t="n"/>
      <c r="N85" s="404" t="n"/>
      <c r="R85" s="404" t="n"/>
      <c r="AB85" s="537" t="n"/>
      <c r="AC85" s="537" t="n"/>
      <c r="AF85" s="537" t="n"/>
      <c r="AG85" s="537" t="n"/>
    </row>
    <row customHeight="1" ht="15.75" r="86" s="452" spans="1:40">
      <c r="A86" s="44" t="n"/>
      <c r="J86" s="404" t="n"/>
      <c r="N86" s="404" t="n"/>
      <c r="R86" s="404" t="n"/>
      <c r="AB86" s="537" t="n"/>
      <c r="AC86" s="537" t="n"/>
      <c r="AF86" s="537" t="n"/>
      <c r="AG86" s="537" t="n"/>
    </row>
    <row customHeight="1" ht="15.75" r="87" s="452" spans="1:40">
      <c r="A87" s="44" t="n"/>
      <c r="J87" s="404" t="n"/>
      <c r="N87" s="404" t="n"/>
      <c r="R87" s="404" t="n"/>
      <c r="AB87" s="537" t="n"/>
      <c r="AC87" s="537" t="n"/>
      <c r="AF87" s="537" t="n"/>
      <c r="AG87" s="537" t="n"/>
    </row>
    <row customHeight="1" ht="15.75" r="88" s="452" spans="1:40">
      <c r="A88" s="44" t="n"/>
      <c r="J88" s="404" t="n"/>
      <c r="N88" s="404" t="n"/>
      <c r="R88" s="404" t="n"/>
      <c r="AB88" s="537" t="n"/>
      <c r="AC88" s="537" t="n"/>
      <c r="AF88" s="537" t="n"/>
      <c r="AG88" s="537" t="n"/>
    </row>
    <row customHeight="1" ht="15.75" r="89" s="452" spans="1:40">
      <c r="A89" s="44" t="n"/>
      <c r="J89" s="404" t="n"/>
      <c r="N89" s="404" t="n"/>
      <c r="R89" s="404" t="n"/>
      <c r="AB89" s="537" t="n"/>
      <c r="AC89" s="537" t="n"/>
      <c r="AF89" s="537" t="n"/>
      <c r="AG89" s="537" t="n"/>
    </row>
    <row customHeight="1" ht="15.75" r="90" s="452" spans="1:40">
      <c r="A90" s="44" t="n"/>
      <c r="J90" s="404" t="n"/>
      <c r="N90" s="404" t="n"/>
      <c r="R90" s="404" t="n"/>
      <c r="AB90" s="537" t="n"/>
      <c r="AC90" s="537" t="n"/>
      <c r="AF90" s="537" t="n"/>
      <c r="AG90" s="537" t="n"/>
    </row>
    <row customHeight="1" ht="15.75" r="91" s="452" spans="1:40">
      <c r="A91" s="44" t="n"/>
      <c r="J91" s="404" t="n"/>
      <c r="N91" s="404" t="n"/>
      <c r="R91" s="404" t="n"/>
      <c r="AB91" s="537" t="n"/>
      <c r="AC91" s="537" t="n"/>
      <c r="AF91" s="537" t="n"/>
      <c r="AG91" s="537" t="n"/>
    </row>
    <row customHeight="1" ht="15.75" r="92" s="452" spans="1:40">
      <c r="A92" s="44" t="n"/>
      <c r="J92" s="404" t="n"/>
      <c r="N92" s="404" t="n"/>
      <c r="R92" s="404" t="n"/>
      <c r="AB92" s="537" t="n"/>
      <c r="AC92" s="537" t="n"/>
      <c r="AF92" s="537" t="n"/>
      <c r="AG92" s="537" t="n"/>
    </row>
    <row customHeight="1" ht="15.75" r="93" s="452" spans="1:40">
      <c r="A93" s="44" t="n"/>
      <c r="J93" s="404" t="n"/>
      <c r="N93" s="404" t="n"/>
      <c r="R93" s="404" t="n"/>
      <c r="AB93" s="537" t="n"/>
      <c r="AC93" s="537" t="n"/>
      <c r="AF93" s="537" t="n"/>
      <c r="AG93" s="537" t="n"/>
    </row>
    <row customHeight="1" ht="15.75" r="94" s="452" spans="1:40">
      <c r="A94" s="44" t="n"/>
      <c r="J94" s="404" t="n"/>
      <c r="N94" s="404" t="n"/>
      <c r="R94" s="404" t="n"/>
      <c r="AB94" s="537" t="n"/>
      <c r="AC94" s="537" t="n"/>
      <c r="AF94" s="537" t="n"/>
      <c r="AG94" s="537" t="n"/>
    </row>
    <row customHeight="1" ht="15.75" r="95" s="452" spans="1:40">
      <c r="A95" s="44" t="n"/>
      <c r="J95" s="404" t="n"/>
      <c r="N95" s="404" t="n"/>
      <c r="R95" s="404" t="n"/>
      <c r="AB95" s="537" t="n"/>
      <c r="AC95" s="537" t="n"/>
      <c r="AF95" s="537" t="n"/>
      <c r="AG95" s="537" t="n"/>
    </row>
    <row customHeight="1" ht="15.75" r="96" s="452" spans="1:40">
      <c r="A96" s="44" t="n"/>
      <c r="J96" s="404" t="n"/>
      <c r="N96" s="404" t="n"/>
      <c r="R96" s="404" t="n"/>
      <c r="AB96" s="537" t="n"/>
      <c r="AC96" s="537" t="n"/>
      <c r="AF96" s="537" t="n"/>
      <c r="AG96" s="537" t="n"/>
    </row>
    <row customHeight="1" ht="15.75" r="97" s="452" spans="1:40">
      <c r="A97" s="44" t="n"/>
      <c r="J97" s="404" t="n"/>
      <c r="N97" s="404" t="n"/>
      <c r="R97" s="404" t="n"/>
      <c r="AB97" s="537" t="n"/>
      <c r="AC97" s="537" t="n"/>
      <c r="AF97" s="537" t="n"/>
      <c r="AG97" s="537" t="n"/>
    </row>
    <row customHeight="1" ht="15.75" r="98" s="452" spans="1:40">
      <c r="A98" s="44" t="n"/>
      <c r="J98" s="404" t="n"/>
      <c r="N98" s="404" t="n"/>
      <c r="R98" s="404" t="n"/>
      <c r="AB98" s="537" t="n"/>
      <c r="AC98" s="537" t="n"/>
      <c r="AF98" s="537" t="n"/>
      <c r="AG98" s="537" t="n"/>
    </row>
    <row customHeight="1" ht="15.75" r="99" s="452" spans="1:40">
      <c r="A99" s="44" t="n"/>
      <c r="J99" s="404" t="n"/>
      <c r="N99" s="404" t="n"/>
      <c r="R99" s="404" t="n"/>
      <c r="AB99" s="537" t="n"/>
      <c r="AC99" s="537" t="n"/>
      <c r="AF99" s="537" t="n"/>
      <c r="AG99" s="537" t="n"/>
    </row>
    <row customHeight="1" ht="15.75" r="100" s="452" spans="1:40">
      <c r="A100" s="44" t="n"/>
      <c r="J100" s="404" t="n"/>
      <c r="N100" s="404" t="n"/>
      <c r="R100" s="404" t="n"/>
      <c r="AB100" s="537" t="n"/>
      <c r="AC100" s="537" t="n"/>
      <c r="AF100" s="537" t="n"/>
      <c r="AG100" s="537" t="n"/>
    </row>
    <row customHeight="1" ht="15.75" r="101" s="452" spans="1:40">
      <c r="A101" s="44" t="n"/>
      <c r="J101" s="404" t="n"/>
      <c r="N101" s="404" t="n"/>
      <c r="R101" s="404" t="n"/>
      <c r="AB101" s="537" t="n"/>
      <c r="AC101" s="537" t="n"/>
      <c r="AF101" s="537" t="n"/>
      <c r="AG101" s="537" t="n"/>
    </row>
    <row customHeight="1" ht="15.75" r="102" s="452" spans="1:40">
      <c r="A102" s="44" t="n"/>
      <c r="J102" s="404" t="n"/>
      <c r="N102" s="404" t="n"/>
      <c r="R102" s="404" t="n"/>
      <c r="AB102" s="537" t="n"/>
      <c r="AC102" s="537" t="n"/>
      <c r="AF102" s="537" t="n"/>
      <c r="AG102" s="537" t="n"/>
    </row>
    <row customHeight="1" ht="15.75" r="103" s="452" spans="1:40">
      <c r="A103" s="44" t="n"/>
      <c r="J103" s="404" t="n"/>
      <c r="N103" s="404" t="n"/>
      <c r="R103" s="404" t="n"/>
      <c r="AB103" s="537" t="n"/>
      <c r="AC103" s="537" t="n"/>
      <c r="AF103" s="537" t="n"/>
      <c r="AG103" s="537" t="n"/>
    </row>
    <row customHeight="1" ht="15.75" r="104" s="452" spans="1:40">
      <c r="A104" s="44" t="n"/>
      <c r="J104" s="404" t="n"/>
      <c r="N104" s="404" t="n"/>
      <c r="R104" s="404" t="n"/>
      <c r="AB104" s="537" t="n"/>
      <c r="AC104" s="537" t="n"/>
      <c r="AF104" s="537" t="n"/>
      <c r="AG104" s="537" t="n"/>
    </row>
    <row customHeight="1" ht="15.75" r="105" s="452" spans="1:40">
      <c r="A105" s="44" t="n"/>
      <c r="J105" s="404" t="n"/>
      <c r="N105" s="404" t="n"/>
      <c r="R105" s="404" t="n"/>
      <c r="AB105" s="537" t="n"/>
      <c r="AC105" s="537" t="n"/>
      <c r="AF105" s="537" t="n"/>
      <c r="AG105" s="537" t="n"/>
    </row>
    <row customHeight="1" ht="15.75" r="106" s="452" spans="1:40">
      <c r="A106" s="44" t="n"/>
      <c r="J106" s="404" t="n"/>
      <c r="N106" s="404" t="n"/>
      <c r="R106" s="404" t="n"/>
      <c r="AB106" s="537" t="n"/>
      <c r="AC106" s="537" t="n"/>
      <c r="AF106" s="537" t="n"/>
      <c r="AG106" s="537" t="n"/>
    </row>
    <row customHeight="1" ht="15.75" r="107" s="452" spans="1:40">
      <c r="A107" s="44" t="n"/>
      <c r="J107" s="404" t="n"/>
      <c r="N107" s="404" t="n"/>
      <c r="R107" s="404" t="n"/>
      <c r="AB107" s="537" t="n"/>
      <c r="AC107" s="537" t="n"/>
      <c r="AF107" s="537" t="n"/>
      <c r="AG107" s="537" t="n"/>
    </row>
    <row customHeight="1" ht="15.75" r="108" s="452" spans="1:40">
      <c r="A108" s="44" t="n"/>
      <c r="J108" s="404" t="n"/>
      <c r="N108" s="404" t="n"/>
      <c r="R108" s="404" t="n"/>
      <c r="AB108" s="537" t="n"/>
      <c r="AC108" s="537" t="n"/>
      <c r="AF108" s="537" t="n"/>
      <c r="AG108" s="537" t="n"/>
    </row>
    <row customHeight="1" ht="15.75" r="109" s="452" spans="1:40">
      <c r="A109" s="44" t="n"/>
      <c r="J109" s="404" t="n"/>
      <c r="N109" s="404" t="n"/>
      <c r="R109" s="404" t="n"/>
      <c r="AB109" s="537" t="n"/>
      <c r="AC109" s="537" t="n"/>
      <c r="AF109" s="537" t="n"/>
      <c r="AG109" s="537" t="n"/>
    </row>
    <row customHeight="1" ht="15.75" r="110" s="452" spans="1:40">
      <c r="A110" s="44" t="n"/>
      <c r="J110" s="404" t="n"/>
      <c r="N110" s="404" t="n"/>
      <c r="R110" s="404" t="n"/>
      <c r="AB110" s="537" t="n"/>
      <c r="AC110" s="537" t="n"/>
      <c r="AF110" s="537" t="n"/>
      <c r="AG110" s="537" t="n"/>
    </row>
    <row customHeight="1" ht="15.75" r="111" s="452" spans="1:40">
      <c r="A111" s="44" t="n"/>
      <c r="J111" s="404" t="n"/>
      <c r="N111" s="404" t="n"/>
      <c r="R111" s="404" t="n"/>
      <c r="AB111" s="537" t="n"/>
      <c r="AC111" s="537" t="n"/>
      <c r="AF111" s="537" t="n"/>
      <c r="AG111" s="537" t="n"/>
    </row>
    <row customHeight="1" ht="15.75" r="112" s="452" spans="1:40">
      <c r="A112" s="44" t="n"/>
      <c r="J112" s="404" t="n"/>
      <c r="N112" s="404" t="n"/>
      <c r="R112" s="404" t="n"/>
      <c r="AB112" s="537" t="n"/>
      <c r="AC112" s="537" t="n"/>
      <c r="AF112" s="537" t="n"/>
      <c r="AG112" s="537" t="n"/>
    </row>
    <row customHeight="1" ht="15.75" r="113" s="452" spans="1:40">
      <c r="A113" s="44" t="n"/>
      <c r="J113" s="404" t="n"/>
      <c r="N113" s="404" t="n"/>
      <c r="R113" s="404" t="n"/>
      <c r="AB113" s="537" t="n"/>
      <c r="AC113" s="537" t="n"/>
      <c r="AF113" s="537" t="n"/>
      <c r="AG113" s="537" t="n"/>
    </row>
    <row customHeight="1" ht="15.75" r="114" s="452" spans="1:40">
      <c r="A114" s="44" t="n"/>
      <c r="J114" s="404" t="n"/>
      <c r="N114" s="404" t="n"/>
      <c r="R114" s="404" t="n"/>
      <c r="AB114" s="537" t="n"/>
      <c r="AC114" s="537" t="n"/>
      <c r="AF114" s="537" t="n"/>
      <c r="AG114" s="537" t="n"/>
    </row>
    <row customHeight="1" ht="15.75" r="115" s="452" spans="1:40">
      <c r="A115" s="44" t="n"/>
      <c r="J115" s="404" t="n"/>
      <c r="N115" s="404" t="n"/>
      <c r="R115" s="404" t="n"/>
      <c r="AB115" s="537" t="n"/>
      <c r="AC115" s="537" t="n"/>
      <c r="AF115" s="537" t="n"/>
      <c r="AG115" s="537" t="n"/>
    </row>
    <row customHeight="1" ht="15.75" r="116" s="452" spans="1:40">
      <c r="A116" s="44" t="n"/>
      <c r="J116" s="404" t="n"/>
      <c r="N116" s="404" t="n"/>
      <c r="R116" s="404" t="n"/>
      <c r="AB116" s="537" t="n"/>
      <c r="AC116" s="537" t="n"/>
      <c r="AF116" s="537" t="n"/>
      <c r="AG116" s="537" t="n"/>
    </row>
    <row customHeight="1" ht="15.75" r="117" s="452" spans="1:40">
      <c r="A117" s="44" t="n"/>
      <c r="J117" s="404" t="n"/>
      <c r="N117" s="404" t="n"/>
      <c r="R117" s="404" t="n"/>
      <c r="AB117" s="537" t="n"/>
      <c r="AC117" s="537" t="n"/>
      <c r="AF117" s="537" t="n"/>
      <c r="AG117" s="537" t="n"/>
    </row>
    <row customHeight="1" ht="15.75" r="118" s="452" spans="1:40">
      <c r="A118" s="44" t="n"/>
      <c r="J118" s="404" t="n"/>
      <c r="N118" s="404" t="n"/>
      <c r="R118" s="404" t="n"/>
      <c r="AB118" s="537" t="n"/>
      <c r="AC118" s="537" t="n"/>
      <c r="AF118" s="537" t="n"/>
      <c r="AG118" s="537" t="n"/>
    </row>
    <row customHeight="1" ht="15.75" r="119" s="452" spans="1:40">
      <c r="A119" s="44" t="n"/>
      <c r="J119" s="404" t="n"/>
      <c r="N119" s="404" t="n"/>
      <c r="R119" s="404" t="n"/>
      <c r="AB119" s="537" t="n"/>
      <c r="AC119" s="537" t="n"/>
      <c r="AF119" s="537" t="n"/>
      <c r="AG119" s="537" t="n"/>
    </row>
    <row customHeight="1" ht="15.75" r="120" s="452" spans="1:40">
      <c r="A120" s="44" t="n"/>
      <c r="J120" s="404" t="n"/>
      <c r="N120" s="404" t="n"/>
      <c r="R120" s="404" t="n"/>
      <c r="AB120" s="537" t="n"/>
      <c r="AC120" s="537" t="n"/>
      <c r="AF120" s="537" t="n"/>
      <c r="AG120" s="537" t="n"/>
    </row>
    <row customHeight="1" ht="15.75" r="121" s="452" spans="1:40">
      <c r="A121" s="44" t="n"/>
      <c r="J121" s="404" t="n"/>
      <c r="N121" s="404" t="n"/>
      <c r="R121" s="404" t="n"/>
      <c r="AB121" s="537" t="n"/>
      <c r="AC121" s="537" t="n"/>
      <c r="AF121" s="537" t="n"/>
      <c r="AG121" s="537" t="n"/>
    </row>
    <row customHeight="1" ht="15.75" r="122" s="452" spans="1:40">
      <c r="A122" s="44" t="n"/>
      <c r="J122" s="404" t="n"/>
      <c r="N122" s="404" t="n"/>
      <c r="R122" s="404" t="n"/>
      <c r="AB122" s="537" t="n"/>
      <c r="AC122" s="537" t="n"/>
      <c r="AF122" s="537" t="n"/>
      <c r="AG122" s="537" t="n"/>
    </row>
    <row customHeight="1" ht="15.75" r="123" s="452" spans="1:40">
      <c r="A123" s="44" t="n"/>
      <c r="J123" s="404" t="n"/>
      <c r="N123" s="404" t="n"/>
      <c r="R123" s="404" t="n"/>
      <c r="AB123" s="537" t="n"/>
      <c r="AC123" s="537" t="n"/>
      <c r="AF123" s="537" t="n"/>
      <c r="AG123" s="537" t="n"/>
    </row>
    <row customHeight="1" ht="15.75" r="124" s="452" spans="1:40">
      <c r="A124" s="44" t="n"/>
      <c r="J124" s="404" t="n"/>
      <c r="N124" s="404" t="n"/>
      <c r="R124" s="404" t="n"/>
      <c r="AB124" s="537" t="n"/>
      <c r="AC124" s="537" t="n"/>
      <c r="AF124" s="537" t="n"/>
      <c r="AG124" s="537" t="n"/>
    </row>
    <row customHeight="1" ht="15.75" r="125" s="452" spans="1:40">
      <c r="A125" s="44" t="n"/>
      <c r="J125" s="404" t="n"/>
      <c r="N125" s="404" t="n"/>
      <c r="R125" s="404" t="n"/>
      <c r="AB125" s="537" t="n"/>
      <c r="AC125" s="537" t="n"/>
      <c r="AF125" s="537" t="n"/>
      <c r="AG125" s="537" t="n"/>
    </row>
    <row customHeight="1" ht="15.75" r="126" s="452" spans="1:40">
      <c r="A126" s="44" t="n"/>
      <c r="J126" s="404" t="n"/>
      <c r="N126" s="404" t="n"/>
      <c r="R126" s="404" t="n"/>
      <c r="AB126" s="537" t="n"/>
      <c r="AC126" s="537" t="n"/>
      <c r="AF126" s="537" t="n"/>
      <c r="AG126" s="537" t="n"/>
    </row>
    <row customHeight="1" ht="15.75" r="127" s="452" spans="1:40">
      <c r="A127" s="44" t="n"/>
      <c r="J127" s="404" t="n"/>
      <c r="N127" s="404" t="n"/>
      <c r="R127" s="404" t="n"/>
      <c r="AB127" s="537" t="n"/>
      <c r="AC127" s="537" t="n"/>
      <c r="AF127" s="537" t="n"/>
      <c r="AG127" s="537" t="n"/>
    </row>
    <row customHeight="1" ht="15.75" r="128" s="452" spans="1:40">
      <c r="A128" s="44" t="n"/>
      <c r="J128" s="404" t="n"/>
      <c r="N128" s="404" t="n"/>
      <c r="R128" s="404" t="n"/>
      <c r="AB128" s="537" t="n"/>
      <c r="AC128" s="537" t="n"/>
      <c r="AF128" s="537" t="n"/>
      <c r="AG128" s="537" t="n"/>
    </row>
    <row customHeight="1" ht="15.75" r="129" s="452" spans="1:40">
      <c r="A129" s="44" t="n"/>
      <c r="J129" s="404" t="n"/>
      <c r="N129" s="404" t="n"/>
      <c r="R129" s="404" t="n"/>
      <c r="AB129" s="537" t="n"/>
      <c r="AC129" s="537" t="n"/>
      <c r="AF129" s="537" t="n"/>
      <c r="AG129" s="537" t="n"/>
    </row>
    <row customHeight="1" ht="15.75" r="130" s="452" spans="1:40">
      <c r="A130" s="44" t="n"/>
      <c r="J130" s="404" t="n"/>
      <c r="N130" s="404" t="n"/>
      <c r="R130" s="404" t="n"/>
      <c r="AB130" s="537" t="n"/>
      <c r="AC130" s="537" t="n"/>
      <c r="AF130" s="537" t="n"/>
      <c r="AG130" s="537" t="n"/>
    </row>
    <row customHeight="1" ht="15.75" r="131" s="452" spans="1:40">
      <c r="A131" s="44" t="n"/>
      <c r="J131" s="404" t="n"/>
      <c r="N131" s="404" t="n"/>
      <c r="R131" s="404" t="n"/>
      <c r="AB131" s="537" t="n"/>
      <c r="AC131" s="537" t="n"/>
      <c r="AF131" s="537" t="n"/>
      <c r="AG131" s="537" t="n"/>
    </row>
    <row customHeight="1" ht="15.75" r="132" s="452" spans="1:40">
      <c r="A132" s="44" t="n"/>
      <c r="J132" s="404" t="n"/>
      <c r="N132" s="404" t="n"/>
      <c r="R132" s="404" t="n"/>
      <c r="AB132" s="537" t="n"/>
      <c r="AC132" s="537" t="n"/>
      <c r="AF132" s="537" t="n"/>
      <c r="AG132" s="537" t="n"/>
    </row>
    <row customHeight="1" ht="15.75" r="133" s="452" spans="1:40">
      <c r="A133" s="44" t="n"/>
      <c r="J133" s="404" t="n"/>
      <c r="N133" s="404" t="n"/>
      <c r="R133" s="404" t="n"/>
      <c r="AB133" s="537" t="n"/>
      <c r="AC133" s="537" t="n"/>
      <c r="AF133" s="537" t="n"/>
      <c r="AG133" s="537" t="n"/>
    </row>
    <row customHeight="1" ht="15.75" r="134" s="452" spans="1:40">
      <c r="A134" s="44" t="n"/>
      <c r="J134" s="404" t="n"/>
      <c r="N134" s="404" t="n"/>
      <c r="R134" s="404" t="n"/>
      <c r="AB134" s="537" t="n"/>
      <c r="AC134" s="537" t="n"/>
      <c r="AF134" s="537" t="n"/>
      <c r="AG134" s="537" t="n"/>
    </row>
    <row customHeight="1" ht="15.75" r="135" s="452" spans="1:40">
      <c r="A135" s="44" t="n"/>
      <c r="J135" s="404" t="n"/>
      <c r="N135" s="404" t="n"/>
      <c r="R135" s="404" t="n"/>
      <c r="AB135" s="537" t="n"/>
      <c r="AC135" s="537" t="n"/>
      <c r="AF135" s="537" t="n"/>
      <c r="AG135" s="537" t="n"/>
    </row>
    <row customHeight="1" ht="15.75" r="136" s="452" spans="1:40">
      <c r="A136" s="44" t="n"/>
      <c r="J136" s="404" t="n"/>
      <c r="N136" s="404" t="n"/>
      <c r="R136" s="404" t="n"/>
      <c r="AB136" s="537" t="n"/>
      <c r="AC136" s="537" t="n"/>
      <c r="AF136" s="537" t="n"/>
      <c r="AG136" s="537" t="n"/>
    </row>
    <row customHeight="1" ht="15.75" r="137" s="452" spans="1:40">
      <c r="A137" s="44" t="n"/>
      <c r="J137" s="404" t="n"/>
      <c r="N137" s="404" t="n"/>
      <c r="R137" s="404" t="n"/>
      <c r="AB137" s="537" t="n"/>
      <c r="AC137" s="537" t="n"/>
      <c r="AF137" s="537" t="n"/>
      <c r="AG137" s="537" t="n"/>
    </row>
    <row customHeight="1" ht="15.75" r="138" s="452" spans="1:40">
      <c r="A138" s="44" t="n"/>
      <c r="J138" s="404" t="n"/>
      <c r="N138" s="404" t="n"/>
      <c r="R138" s="404" t="n"/>
      <c r="AB138" s="537" t="n"/>
      <c r="AC138" s="537" t="n"/>
      <c r="AF138" s="537" t="n"/>
      <c r="AG138" s="537" t="n"/>
    </row>
    <row customHeight="1" ht="15.75" r="139" s="452" spans="1:40">
      <c r="A139" s="44" t="n"/>
      <c r="J139" s="404" t="n"/>
      <c r="N139" s="404" t="n"/>
      <c r="R139" s="404" t="n"/>
      <c r="AB139" s="537" t="n"/>
      <c r="AC139" s="537" t="n"/>
      <c r="AF139" s="537" t="n"/>
      <c r="AG139" s="537" t="n"/>
    </row>
    <row customHeight="1" ht="15.75" r="140" s="452" spans="1:40">
      <c r="A140" s="44" t="n"/>
      <c r="J140" s="404" t="n"/>
      <c r="N140" s="404" t="n"/>
      <c r="R140" s="404" t="n"/>
      <c r="AB140" s="537" t="n"/>
      <c r="AC140" s="537" t="n"/>
      <c r="AF140" s="537" t="n"/>
      <c r="AG140" s="537" t="n"/>
    </row>
    <row customHeight="1" ht="15.75" r="141" s="452" spans="1:40">
      <c r="A141" s="44" t="n"/>
      <c r="J141" s="404" t="n"/>
      <c r="N141" s="404" t="n"/>
      <c r="R141" s="404" t="n"/>
      <c r="AB141" s="537" t="n"/>
      <c r="AC141" s="537" t="n"/>
      <c r="AF141" s="537" t="n"/>
      <c r="AG141" s="537" t="n"/>
    </row>
    <row customHeight="1" ht="15.75" r="142" s="452" spans="1:40">
      <c r="A142" s="44" t="n"/>
      <c r="J142" s="404" t="n"/>
      <c r="N142" s="404" t="n"/>
      <c r="R142" s="404" t="n"/>
      <c r="AB142" s="537" t="n"/>
      <c r="AC142" s="537" t="n"/>
      <c r="AF142" s="537" t="n"/>
      <c r="AG142" s="537" t="n"/>
    </row>
    <row customHeight="1" ht="15.75" r="143" s="452" spans="1:40">
      <c r="A143" s="44" t="n"/>
      <c r="J143" s="404" t="n"/>
      <c r="N143" s="404" t="n"/>
      <c r="R143" s="404" t="n"/>
      <c r="AB143" s="537" t="n"/>
      <c r="AC143" s="537" t="n"/>
      <c r="AF143" s="537" t="n"/>
      <c r="AG143" s="537" t="n"/>
    </row>
    <row customHeight="1" ht="15.75" r="144" s="452" spans="1:40">
      <c r="A144" s="44" t="n"/>
      <c r="J144" s="404" t="n"/>
      <c r="N144" s="404" t="n"/>
      <c r="R144" s="404" t="n"/>
      <c r="AB144" s="537" t="n"/>
      <c r="AC144" s="537" t="n"/>
      <c r="AF144" s="537" t="n"/>
      <c r="AG144" s="537" t="n"/>
    </row>
    <row customHeight="1" ht="15.75" r="145" s="452" spans="1:40">
      <c r="A145" s="44" t="n"/>
      <c r="J145" s="404" t="n"/>
      <c r="N145" s="404" t="n"/>
      <c r="R145" s="404" t="n"/>
      <c r="AB145" s="537" t="n"/>
      <c r="AC145" s="537" t="n"/>
      <c r="AF145" s="537" t="n"/>
      <c r="AG145" s="537" t="n"/>
    </row>
    <row customHeight="1" ht="15.75" r="146" s="452" spans="1:40">
      <c r="A146" s="44" t="n"/>
      <c r="J146" s="404" t="n"/>
      <c r="N146" s="404" t="n"/>
      <c r="R146" s="404" t="n"/>
      <c r="AB146" s="537" t="n"/>
      <c r="AC146" s="537" t="n"/>
      <c r="AF146" s="537" t="n"/>
      <c r="AG146" s="537" t="n"/>
    </row>
    <row customHeight="1" ht="15.75" r="147" s="452" spans="1:40">
      <c r="A147" s="44" t="n"/>
      <c r="J147" s="404" t="n"/>
      <c r="N147" s="404" t="n"/>
      <c r="R147" s="404" t="n"/>
      <c r="AB147" s="537" t="n"/>
      <c r="AC147" s="537" t="n"/>
      <c r="AF147" s="537" t="n"/>
      <c r="AG147" s="537" t="n"/>
    </row>
    <row customHeight="1" ht="15.75" r="148" s="452" spans="1:40">
      <c r="A148" s="44" t="n"/>
      <c r="J148" s="404" t="n"/>
      <c r="N148" s="404" t="n"/>
      <c r="R148" s="404" t="n"/>
      <c r="AB148" s="537" t="n"/>
      <c r="AC148" s="537" t="n"/>
      <c r="AF148" s="537" t="n"/>
      <c r="AG148" s="537" t="n"/>
    </row>
    <row customHeight="1" ht="15.75" r="149" s="452" spans="1:40">
      <c r="A149" s="44" t="n"/>
      <c r="J149" s="404" t="n"/>
      <c r="N149" s="404" t="n"/>
      <c r="R149" s="404" t="n"/>
      <c r="AB149" s="537" t="n"/>
      <c r="AC149" s="537" t="n"/>
      <c r="AF149" s="537" t="n"/>
      <c r="AG149" s="537" t="n"/>
    </row>
    <row customHeight="1" ht="15.75" r="150" s="452" spans="1:40">
      <c r="A150" s="44" t="n"/>
      <c r="J150" s="404" t="n"/>
      <c r="N150" s="404" t="n"/>
      <c r="R150" s="404" t="n"/>
      <c r="AB150" s="537" t="n"/>
      <c r="AC150" s="537" t="n"/>
      <c r="AF150" s="537" t="n"/>
      <c r="AG150" s="537" t="n"/>
    </row>
    <row customHeight="1" ht="15.75" r="151" s="452" spans="1:40">
      <c r="A151" s="44" t="n"/>
      <c r="J151" s="404" t="n"/>
      <c r="N151" s="404" t="n"/>
      <c r="R151" s="404" t="n"/>
      <c r="AB151" s="537" t="n"/>
      <c r="AC151" s="537" t="n"/>
      <c r="AF151" s="537" t="n"/>
      <c r="AG151" s="537" t="n"/>
    </row>
    <row customHeight="1" ht="15.75" r="152" s="452" spans="1:40">
      <c r="A152" s="44" t="n"/>
      <c r="J152" s="404" t="n"/>
      <c r="N152" s="404" t="n"/>
      <c r="R152" s="404" t="n"/>
      <c r="AB152" s="537" t="n"/>
      <c r="AC152" s="537" t="n"/>
      <c r="AF152" s="537" t="n"/>
      <c r="AG152" s="537" t="n"/>
    </row>
    <row customHeight="1" ht="15.75" r="153" s="452" spans="1:40">
      <c r="A153" s="44" t="n"/>
      <c r="J153" s="404" t="n"/>
      <c r="N153" s="404" t="n"/>
      <c r="R153" s="404" t="n"/>
      <c r="AB153" s="537" t="n"/>
      <c r="AC153" s="537" t="n"/>
      <c r="AF153" s="537" t="n"/>
      <c r="AG153" s="537" t="n"/>
    </row>
    <row customHeight="1" ht="15.75" r="154" s="452" spans="1:40">
      <c r="A154" s="44" t="n"/>
      <c r="J154" s="404" t="n"/>
      <c r="N154" s="404" t="n"/>
      <c r="R154" s="404" t="n"/>
      <c r="AB154" s="537" t="n"/>
      <c r="AC154" s="537" t="n"/>
      <c r="AF154" s="537" t="n"/>
      <c r="AG154" s="537" t="n"/>
    </row>
    <row customHeight="1" ht="15.75" r="155" s="452" spans="1:40">
      <c r="A155" s="44" t="n"/>
      <c r="J155" s="404" t="n"/>
      <c r="N155" s="404" t="n"/>
      <c r="R155" s="404" t="n"/>
      <c r="AB155" s="537" t="n"/>
      <c r="AC155" s="537" t="n"/>
      <c r="AF155" s="537" t="n"/>
      <c r="AG155" s="537" t="n"/>
    </row>
    <row customHeight="1" ht="15.75" r="156" s="452" spans="1:40">
      <c r="A156" s="44" t="n"/>
      <c r="J156" s="404" t="n"/>
      <c r="N156" s="404" t="n"/>
      <c r="R156" s="404" t="n"/>
      <c r="AB156" s="537" t="n"/>
      <c r="AC156" s="537" t="n"/>
      <c r="AF156" s="537" t="n"/>
      <c r="AG156" s="537" t="n"/>
    </row>
    <row customHeight="1" ht="15.75" r="157" s="452" spans="1:40">
      <c r="A157" s="44" t="n"/>
      <c r="J157" s="404" t="n"/>
      <c r="N157" s="404" t="n"/>
      <c r="R157" s="404" t="n"/>
      <c r="AB157" s="537" t="n"/>
      <c r="AC157" s="537" t="n"/>
      <c r="AF157" s="537" t="n"/>
      <c r="AG157" s="537" t="n"/>
    </row>
    <row customHeight="1" ht="15.75" r="158" s="452" spans="1:40">
      <c r="A158" s="44" t="n"/>
      <c r="J158" s="404" t="n"/>
      <c r="N158" s="404" t="n"/>
      <c r="R158" s="404" t="n"/>
      <c r="AB158" s="537" t="n"/>
      <c r="AC158" s="537" t="n"/>
      <c r="AF158" s="537" t="n"/>
      <c r="AG158" s="537" t="n"/>
    </row>
    <row customHeight="1" ht="15.75" r="159" s="452" spans="1:40">
      <c r="A159" s="44" t="n"/>
      <c r="J159" s="404" t="n"/>
      <c r="N159" s="404" t="n"/>
      <c r="R159" s="404" t="n"/>
      <c r="AB159" s="537" t="n"/>
      <c r="AC159" s="537" t="n"/>
      <c r="AF159" s="537" t="n"/>
      <c r="AG159" s="537" t="n"/>
    </row>
    <row customHeight="1" ht="15.75" r="160" s="452" spans="1:40">
      <c r="A160" s="44" t="n"/>
      <c r="J160" s="404" t="n"/>
      <c r="N160" s="404" t="n"/>
      <c r="R160" s="404" t="n"/>
      <c r="AB160" s="537" t="n"/>
      <c r="AC160" s="537" t="n"/>
      <c r="AF160" s="537" t="n"/>
      <c r="AG160" s="537" t="n"/>
    </row>
    <row customHeight="1" ht="15.75" r="161" s="452" spans="1:40">
      <c r="A161" s="44" t="n"/>
      <c r="J161" s="404" t="n"/>
      <c r="N161" s="404" t="n"/>
      <c r="R161" s="404" t="n"/>
      <c r="AB161" s="537" t="n"/>
      <c r="AC161" s="537" t="n"/>
      <c r="AF161" s="537" t="n"/>
      <c r="AG161" s="537" t="n"/>
    </row>
    <row customHeight="1" ht="15.75" r="162" s="452" spans="1:40">
      <c r="A162" s="44" t="n"/>
      <c r="J162" s="404" t="n"/>
      <c r="N162" s="404" t="n"/>
      <c r="R162" s="404" t="n"/>
      <c r="AB162" s="537" t="n"/>
      <c r="AC162" s="537" t="n"/>
      <c r="AF162" s="537" t="n"/>
      <c r="AG162" s="537" t="n"/>
    </row>
    <row customHeight="1" ht="15.75" r="163" s="452" spans="1:40">
      <c r="A163" s="44" t="n"/>
      <c r="J163" s="404" t="n"/>
      <c r="N163" s="404" t="n"/>
      <c r="R163" s="404" t="n"/>
      <c r="AB163" s="537" t="n"/>
      <c r="AC163" s="537" t="n"/>
      <c r="AF163" s="537" t="n"/>
      <c r="AG163" s="537" t="n"/>
    </row>
    <row customHeight="1" ht="15.75" r="164" s="452" spans="1:40">
      <c r="A164" s="44" t="n"/>
      <c r="J164" s="404" t="n"/>
      <c r="N164" s="404" t="n"/>
      <c r="R164" s="404" t="n"/>
      <c r="AB164" s="537" t="n"/>
      <c r="AC164" s="537" t="n"/>
      <c r="AF164" s="537" t="n"/>
      <c r="AG164" s="537" t="n"/>
    </row>
    <row customHeight="1" ht="15.75" r="165" s="452" spans="1:40">
      <c r="A165" s="44" t="n"/>
      <c r="J165" s="404" t="n"/>
      <c r="N165" s="404" t="n"/>
      <c r="R165" s="404" t="n"/>
      <c r="AB165" s="537" t="n"/>
      <c r="AC165" s="537" t="n"/>
      <c r="AF165" s="537" t="n"/>
      <c r="AG165" s="537" t="n"/>
    </row>
    <row customHeight="1" ht="15.75" r="166" s="452" spans="1:40">
      <c r="A166" s="44" t="n"/>
      <c r="J166" s="404" t="n"/>
      <c r="N166" s="404" t="n"/>
      <c r="R166" s="404" t="n"/>
      <c r="AB166" s="537" t="n"/>
      <c r="AC166" s="537" t="n"/>
      <c r="AF166" s="537" t="n"/>
      <c r="AG166" s="537" t="n"/>
    </row>
    <row customHeight="1" ht="15.75" r="167" s="452" spans="1:40">
      <c r="A167" s="44" t="n"/>
      <c r="J167" s="404" t="n"/>
      <c r="N167" s="404" t="n"/>
      <c r="R167" s="404" t="n"/>
      <c r="AB167" s="537" t="n"/>
      <c r="AC167" s="537" t="n"/>
      <c r="AF167" s="537" t="n"/>
      <c r="AG167" s="537" t="n"/>
    </row>
    <row customHeight="1" ht="15.75" r="168" s="452" spans="1:40">
      <c r="A168" s="44" t="n"/>
      <c r="J168" s="404" t="n"/>
      <c r="N168" s="404" t="n"/>
      <c r="R168" s="404" t="n"/>
      <c r="AB168" s="537" t="n"/>
      <c r="AC168" s="537" t="n"/>
      <c r="AF168" s="537" t="n"/>
      <c r="AG168" s="537" t="n"/>
    </row>
    <row customHeight="1" ht="15.75" r="169" s="452" spans="1:40">
      <c r="A169" s="44" t="n"/>
      <c r="J169" s="404" t="n"/>
      <c r="N169" s="404" t="n"/>
      <c r="R169" s="404" t="n"/>
      <c r="AB169" s="537" t="n"/>
      <c r="AC169" s="537" t="n"/>
      <c r="AF169" s="537" t="n"/>
      <c r="AG169" s="537" t="n"/>
    </row>
    <row customHeight="1" ht="15.75" r="170" s="452" spans="1:40">
      <c r="A170" s="44" t="n"/>
      <c r="J170" s="404" t="n"/>
      <c r="N170" s="404" t="n"/>
      <c r="R170" s="404" t="n"/>
      <c r="AB170" s="537" t="n"/>
      <c r="AC170" s="537" t="n"/>
      <c r="AF170" s="537" t="n"/>
      <c r="AG170" s="537" t="n"/>
    </row>
    <row customHeight="1" ht="15.75" r="171" s="452" spans="1:40">
      <c r="A171" s="44" t="n"/>
      <c r="J171" s="404" t="n"/>
      <c r="N171" s="404" t="n"/>
      <c r="R171" s="404" t="n"/>
      <c r="AB171" s="537" t="n"/>
      <c r="AC171" s="537" t="n"/>
      <c r="AF171" s="537" t="n"/>
      <c r="AG171" s="537" t="n"/>
    </row>
    <row customHeight="1" ht="15.75" r="172" s="452" spans="1:40">
      <c r="A172" s="44" t="n"/>
      <c r="J172" s="404" t="n"/>
      <c r="N172" s="404" t="n"/>
      <c r="R172" s="404" t="n"/>
      <c r="AB172" s="537" t="n"/>
      <c r="AC172" s="537" t="n"/>
      <c r="AF172" s="537" t="n"/>
      <c r="AG172" s="537" t="n"/>
    </row>
    <row customHeight="1" ht="15.75" r="173" s="452" spans="1:40">
      <c r="A173" s="44" t="n"/>
      <c r="J173" s="404" t="n"/>
      <c r="N173" s="404" t="n"/>
      <c r="R173" s="404" t="n"/>
      <c r="AB173" s="537" t="n"/>
      <c r="AC173" s="537" t="n"/>
      <c r="AF173" s="537" t="n"/>
      <c r="AG173" s="537" t="n"/>
    </row>
    <row customHeight="1" ht="15.75" r="174" s="452" spans="1:40">
      <c r="A174" s="44" t="n"/>
      <c r="J174" s="404" t="n"/>
      <c r="N174" s="404" t="n"/>
      <c r="R174" s="404" t="n"/>
      <c r="AB174" s="537" t="n"/>
      <c r="AC174" s="537" t="n"/>
      <c r="AF174" s="537" t="n"/>
      <c r="AG174" s="537" t="n"/>
    </row>
    <row customHeight="1" ht="15.75" r="175" s="452" spans="1:40">
      <c r="A175" s="44" t="n"/>
      <c r="J175" s="404" t="n"/>
      <c r="N175" s="404" t="n"/>
      <c r="R175" s="404" t="n"/>
      <c r="AB175" s="537" t="n"/>
      <c r="AC175" s="537" t="n"/>
      <c r="AF175" s="537" t="n"/>
      <c r="AG175" s="537" t="n"/>
    </row>
    <row customHeight="1" ht="15.75" r="176" s="452" spans="1:40">
      <c r="A176" s="44" t="n"/>
      <c r="J176" s="404" t="n"/>
      <c r="N176" s="404" t="n"/>
      <c r="R176" s="404" t="n"/>
      <c r="AB176" s="537" t="n"/>
      <c r="AC176" s="537" t="n"/>
      <c r="AF176" s="537" t="n"/>
      <c r="AG176" s="537" t="n"/>
    </row>
    <row customHeight="1" ht="15.75" r="177" s="452" spans="1:40">
      <c r="A177" s="44" t="n"/>
      <c r="J177" s="404" t="n"/>
      <c r="N177" s="404" t="n"/>
      <c r="R177" s="404" t="n"/>
      <c r="AB177" s="537" t="n"/>
      <c r="AC177" s="537" t="n"/>
      <c r="AF177" s="537" t="n"/>
      <c r="AG177" s="537" t="n"/>
    </row>
    <row customHeight="1" ht="15.75" r="178" s="452" spans="1:40">
      <c r="A178" s="44" t="n"/>
      <c r="J178" s="404" t="n"/>
      <c r="N178" s="404" t="n"/>
      <c r="R178" s="404" t="n"/>
      <c r="AB178" s="537" t="n"/>
      <c r="AC178" s="537" t="n"/>
      <c r="AF178" s="537" t="n"/>
      <c r="AG178" s="537" t="n"/>
    </row>
    <row customHeight="1" ht="15.75" r="179" s="452" spans="1:40">
      <c r="A179" s="44" t="n"/>
      <c r="J179" s="404" t="n"/>
      <c r="N179" s="404" t="n"/>
      <c r="R179" s="404" t="n"/>
      <c r="AB179" s="537" t="n"/>
      <c r="AC179" s="537" t="n"/>
      <c r="AF179" s="537" t="n"/>
      <c r="AG179" s="537" t="n"/>
    </row>
    <row customHeight="1" ht="15.75" r="180" s="452" spans="1:40">
      <c r="A180" s="44" t="n"/>
      <c r="J180" s="404" t="n"/>
      <c r="N180" s="404" t="n"/>
      <c r="R180" s="404" t="n"/>
      <c r="AB180" s="537" t="n"/>
      <c r="AC180" s="537" t="n"/>
      <c r="AF180" s="537" t="n"/>
      <c r="AG180" s="537" t="n"/>
    </row>
    <row customHeight="1" ht="15.75" r="181" s="452" spans="1:40">
      <c r="A181" s="44" t="n"/>
      <c r="J181" s="404" t="n"/>
      <c r="N181" s="404" t="n"/>
      <c r="R181" s="404" t="n"/>
      <c r="AB181" s="537" t="n"/>
      <c r="AC181" s="537" t="n"/>
      <c r="AF181" s="537" t="n"/>
      <c r="AG181" s="537" t="n"/>
    </row>
    <row customHeight="1" ht="15.75" r="182" s="452" spans="1:40">
      <c r="A182" s="44" t="n"/>
      <c r="J182" s="404" t="n"/>
      <c r="N182" s="404" t="n"/>
      <c r="R182" s="404" t="n"/>
      <c r="AB182" s="537" t="n"/>
      <c r="AC182" s="537" t="n"/>
      <c r="AF182" s="537" t="n"/>
      <c r="AG182" s="537" t="n"/>
    </row>
    <row customHeight="1" ht="15.75" r="183" s="452" spans="1:40">
      <c r="A183" s="44" t="n"/>
      <c r="J183" s="404" t="n"/>
      <c r="N183" s="404" t="n"/>
      <c r="R183" s="404" t="n"/>
      <c r="AB183" s="537" t="n"/>
      <c r="AC183" s="537" t="n"/>
      <c r="AF183" s="537" t="n"/>
      <c r="AG183" s="537" t="n"/>
    </row>
    <row customHeight="1" ht="15.75" r="184" s="452" spans="1:40">
      <c r="A184" s="44" t="n"/>
      <c r="J184" s="404" t="n"/>
      <c r="N184" s="404" t="n"/>
      <c r="R184" s="404" t="n"/>
      <c r="AB184" s="537" t="n"/>
      <c r="AC184" s="537" t="n"/>
      <c r="AF184" s="537" t="n"/>
      <c r="AG184" s="537" t="n"/>
    </row>
    <row customHeight="1" ht="15.75" r="185" s="452" spans="1:40">
      <c r="A185" s="44" t="n"/>
      <c r="J185" s="404" t="n"/>
      <c r="N185" s="404" t="n"/>
      <c r="R185" s="404" t="n"/>
      <c r="AB185" s="537" t="n"/>
      <c r="AC185" s="537" t="n"/>
      <c r="AF185" s="537" t="n"/>
      <c r="AG185" s="537" t="n"/>
    </row>
    <row customHeight="1" ht="15.75" r="186" s="452" spans="1:40">
      <c r="A186" s="44" t="n"/>
      <c r="J186" s="404" t="n"/>
      <c r="N186" s="404" t="n"/>
      <c r="R186" s="404" t="n"/>
      <c r="AB186" s="537" t="n"/>
      <c r="AC186" s="537" t="n"/>
      <c r="AF186" s="537" t="n"/>
      <c r="AG186" s="537" t="n"/>
    </row>
    <row customHeight="1" ht="15.75" r="187" s="452" spans="1:40">
      <c r="A187" s="44" t="n"/>
      <c r="J187" s="404" t="n"/>
      <c r="N187" s="404" t="n"/>
      <c r="R187" s="404" t="n"/>
      <c r="AB187" s="537" t="n"/>
      <c r="AC187" s="537" t="n"/>
      <c r="AF187" s="537" t="n"/>
      <c r="AG187" s="537" t="n"/>
    </row>
    <row customHeight="1" ht="15.75" r="188" s="452" spans="1:40">
      <c r="A188" s="44" t="n"/>
      <c r="J188" s="404" t="n"/>
      <c r="N188" s="404" t="n"/>
      <c r="R188" s="404" t="n"/>
      <c r="AB188" s="537" t="n"/>
      <c r="AC188" s="537" t="n"/>
      <c r="AF188" s="537" t="n"/>
      <c r="AG188" s="537" t="n"/>
    </row>
    <row customHeight="1" ht="15.75" r="189" s="452" spans="1:40">
      <c r="A189" s="44" t="n"/>
      <c r="J189" s="404" t="n"/>
      <c r="N189" s="404" t="n"/>
      <c r="R189" s="404" t="n"/>
      <c r="AB189" s="537" t="n"/>
      <c r="AC189" s="537" t="n"/>
      <c r="AF189" s="537" t="n"/>
      <c r="AG189" s="537" t="n"/>
    </row>
    <row customHeight="1" ht="15.75" r="190" s="452" spans="1:40">
      <c r="A190" s="44" t="n"/>
      <c r="J190" s="404" t="n"/>
      <c r="N190" s="404" t="n"/>
      <c r="R190" s="404" t="n"/>
      <c r="AB190" s="537" t="n"/>
      <c r="AC190" s="537" t="n"/>
      <c r="AF190" s="537" t="n"/>
      <c r="AG190" s="537" t="n"/>
    </row>
    <row customHeight="1" ht="15.75" r="191" s="452" spans="1:40">
      <c r="A191" s="44" t="n"/>
      <c r="J191" s="404" t="n"/>
      <c r="N191" s="404" t="n"/>
      <c r="R191" s="404" t="n"/>
      <c r="AB191" s="537" t="n"/>
      <c r="AC191" s="537" t="n"/>
      <c r="AF191" s="537" t="n"/>
      <c r="AG191" s="537" t="n"/>
    </row>
    <row customHeight="1" ht="15.75" r="192" s="452" spans="1:40">
      <c r="A192" s="44" t="n"/>
      <c r="J192" s="404" t="n"/>
      <c r="N192" s="404" t="n"/>
      <c r="R192" s="404" t="n"/>
      <c r="AB192" s="537" t="n"/>
      <c r="AC192" s="537" t="n"/>
      <c r="AF192" s="537" t="n"/>
      <c r="AG192" s="537" t="n"/>
    </row>
    <row customHeight="1" ht="15.75" r="193" s="452" spans="1:40">
      <c r="A193" s="44" t="n"/>
      <c r="J193" s="404" t="n"/>
      <c r="N193" s="404" t="n"/>
      <c r="R193" s="404" t="n"/>
      <c r="AB193" s="537" t="n"/>
      <c r="AC193" s="537" t="n"/>
      <c r="AF193" s="537" t="n"/>
      <c r="AG193" s="537" t="n"/>
    </row>
    <row customHeight="1" ht="15.75" r="194" s="452" spans="1:40">
      <c r="A194" s="44" t="n"/>
      <c r="J194" s="404" t="n"/>
      <c r="N194" s="404" t="n"/>
      <c r="R194" s="404" t="n"/>
      <c r="AB194" s="537" t="n"/>
      <c r="AC194" s="537" t="n"/>
      <c r="AF194" s="537" t="n"/>
      <c r="AG194" s="537" t="n"/>
    </row>
    <row customHeight="1" ht="15.75" r="195" s="452" spans="1:40">
      <c r="A195" s="44" t="n"/>
      <c r="J195" s="404" t="n"/>
      <c r="N195" s="404" t="n"/>
      <c r="R195" s="404" t="n"/>
      <c r="AB195" s="537" t="n"/>
      <c r="AC195" s="537" t="n"/>
      <c r="AF195" s="537" t="n"/>
      <c r="AG195" s="537" t="n"/>
    </row>
    <row customHeight="1" ht="15.75" r="196" s="452" spans="1:40">
      <c r="A196" s="44" t="n"/>
      <c r="J196" s="404" t="n"/>
      <c r="N196" s="404" t="n"/>
      <c r="R196" s="404" t="n"/>
      <c r="AB196" s="537" t="n"/>
      <c r="AC196" s="537" t="n"/>
      <c r="AF196" s="537" t="n"/>
      <c r="AG196" s="537" t="n"/>
    </row>
    <row customHeight="1" ht="15.75" r="197" s="452" spans="1:40">
      <c r="A197" s="44" t="n"/>
      <c r="J197" s="404" t="n"/>
      <c r="N197" s="404" t="n"/>
      <c r="R197" s="404" t="n"/>
      <c r="AB197" s="537" t="n"/>
      <c r="AC197" s="537" t="n"/>
      <c r="AF197" s="537" t="n"/>
      <c r="AG197" s="537" t="n"/>
    </row>
    <row customHeight="1" ht="15.75" r="198" s="452" spans="1:40">
      <c r="A198" s="44" t="n"/>
      <c r="J198" s="404" t="n"/>
      <c r="N198" s="404" t="n"/>
      <c r="R198" s="404" t="n"/>
      <c r="AB198" s="537" t="n"/>
      <c r="AC198" s="537" t="n"/>
      <c r="AF198" s="537" t="n"/>
      <c r="AG198" s="537" t="n"/>
    </row>
    <row customHeight="1" ht="15.75" r="199" s="452" spans="1:40">
      <c r="A199" s="44" t="n"/>
      <c r="J199" s="404" t="n"/>
      <c r="N199" s="404" t="n"/>
      <c r="R199" s="404" t="n"/>
      <c r="AB199" s="537" t="n"/>
      <c r="AC199" s="537" t="n"/>
      <c r="AF199" s="537" t="n"/>
      <c r="AG199" s="537" t="n"/>
    </row>
    <row customHeight="1" ht="15.75" r="200" s="452" spans="1:40">
      <c r="A200" s="44" t="n"/>
      <c r="J200" s="404" t="n"/>
      <c r="N200" s="404" t="n"/>
      <c r="R200" s="404" t="n"/>
      <c r="AB200" s="537" t="n"/>
      <c r="AC200" s="537" t="n"/>
      <c r="AF200" s="537" t="n"/>
      <c r="AG200" s="537" t="n"/>
    </row>
    <row customHeight="1" ht="15.75" r="201" s="452" spans="1:40">
      <c r="A201" s="44" t="n"/>
      <c r="J201" s="404" t="n"/>
      <c r="N201" s="404" t="n"/>
      <c r="R201" s="404" t="n"/>
      <c r="AB201" s="537" t="n"/>
      <c r="AC201" s="537" t="n"/>
      <c r="AF201" s="537" t="n"/>
      <c r="AG201" s="537" t="n"/>
    </row>
    <row customHeight="1" ht="15.75" r="202" s="452" spans="1:40">
      <c r="A202" s="44" t="n"/>
      <c r="J202" s="404" t="n"/>
      <c r="N202" s="404" t="n"/>
      <c r="R202" s="404" t="n"/>
      <c r="AB202" s="537" t="n"/>
      <c r="AC202" s="537" t="n"/>
      <c r="AF202" s="537" t="n"/>
      <c r="AG202" s="537" t="n"/>
    </row>
    <row customHeight="1" ht="15.75" r="203" s="452" spans="1:40">
      <c r="A203" s="44" t="n"/>
      <c r="J203" s="404" t="n"/>
      <c r="N203" s="404" t="n"/>
      <c r="R203" s="404" t="n"/>
      <c r="AB203" s="537" t="n"/>
      <c r="AC203" s="537" t="n"/>
      <c r="AF203" s="537" t="n"/>
      <c r="AG203" s="537" t="n"/>
    </row>
    <row customHeight="1" ht="15.75" r="204" s="452" spans="1:40">
      <c r="A204" s="44" t="n"/>
      <c r="J204" s="404" t="n"/>
      <c r="N204" s="404" t="n"/>
      <c r="R204" s="404" t="n"/>
      <c r="AB204" s="537" t="n"/>
      <c r="AC204" s="537" t="n"/>
      <c r="AF204" s="537" t="n"/>
      <c r="AG204" s="537" t="n"/>
    </row>
    <row customHeight="1" ht="15.75" r="205" s="452" spans="1:40">
      <c r="A205" s="44" t="n"/>
      <c r="J205" s="404" t="n"/>
      <c r="N205" s="404" t="n"/>
      <c r="R205" s="404" t="n"/>
      <c r="AB205" s="537" t="n"/>
      <c r="AC205" s="537" t="n"/>
      <c r="AF205" s="537" t="n"/>
      <c r="AG205" s="537" t="n"/>
    </row>
    <row customHeight="1" ht="15.75" r="206" s="452" spans="1:40">
      <c r="A206" s="44" t="n"/>
      <c r="J206" s="404" t="n"/>
      <c r="N206" s="404" t="n"/>
      <c r="R206" s="404" t="n"/>
      <c r="AB206" s="537" t="n"/>
      <c r="AC206" s="537" t="n"/>
      <c r="AF206" s="537" t="n"/>
      <c r="AG206" s="537" t="n"/>
    </row>
    <row customHeight="1" ht="15.75" r="207" s="452" spans="1:40">
      <c r="A207" s="44" t="n"/>
      <c r="J207" s="404" t="n"/>
      <c r="N207" s="404" t="n"/>
      <c r="R207" s="404" t="n"/>
      <c r="AB207" s="537" t="n"/>
      <c r="AC207" s="537" t="n"/>
      <c r="AF207" s="537" t="n"/>
      <c r="AG207" s="537" t="n"/>
    </row>
    <row customHeight="1" ht="15.75" r="208" s="452" spans="1:40">
      <c r="A208" s="44" t="n"/>
      <c r="J208" s="404" t="n"/>
      <c r="N208" s="404" t="n"/>
      <c r="R208" s="404" t="n"/>
      <c r="AB208" s="537" t="n"/>
      <c r="AC208" s="537" t="n"/>
      <c r="AF208" s="537" t="n"/>
      <c r="AG208" s="537" t="n"/>
    </row>
    <row customHeight="1" ht="15.75" r="209" s="452" spans="1:40">
      <c r="A209" s="44" t="n"/>
      <c r="J209" s="404" t="n"/>
      <c r="N209" s="404" t="n"/>
      <c r="R209" s="404" t="n"/>
      <c r="AB209" s="537" t="n"/>
      <c r="AC209" s="537" t="n"/>
      <c r="AF209" s="537" t="n"/>
      <c r="AG209" s="537" t="n"/>
    </row>
    <row customHeight="1" ht="15.75" r="210" s="452" spans="1:40">
      <c r="A210" s="44" t="n"/>
      <c r="J210" s="404" t="n"/>
      <c r="N210" s="404" t="n"/>
      <c r="R210" s="404" t="n"/>
      <c r="AB210" s="537" t="n"/>
      <c r="AC210" s="537" t="n"/>
      <c r="AF210" s="537" t="n"/>
      <c r="AG210" s="537" t="n"/>
    </row>
    <row customHeight="1" ht="15.75" r="211" s="452" spans="1:40">
      <c r="A211" s="44" t="n"/>
      <c r="J211" s="404" t="n"/>
      <c r="N211" s="404" t="n"/>
      <c r="R211" s="404" t="n"/>
      <c r="AB211" s="537" t="n"/>
      <c r="AC211" s="537" t="n"/>
      <c r="AF211" s="537" t="n"/>
      <c r="AG211" s="537" t="n"/>
    </row>
    <row customHeight="1" ht="15.75" r="212" s="452" spans="1:40">
      <c r="A212" s="44" t="n"/>
      <c r="J212" s="404" t="n"/>
      <c r="N212" s="404" t="n"/>
      <c r="R212" s="404" t="n"/>
      <c r="AB212" s="537" t="n"/>
      <c r="AC212" s="537" t="n"/>
      <c r="AF212" s="537" t="n"/>
      <c r="AG212" s="537" t="n"/>
    </row>
    <row customHeight="1" ht="15.75" r="213" s="452" spans="1:40">
      <c r="A213" s="44" t="n"/>
      <c r="J213" s="404" t="n"/>
      <c r="N213" s="404" t="n"/>
      <c r="R213" s="404" t="n"/>
      <c r="AB213" s="537" t="n"/>
      <c r="AC213" s="537" t="n"/>
      <c r="AF213" s="537" t="n"/>
      <c r="AG213" s="537" t="n"/>
    </row>
    <row customHeight="1" ht="15.75" r="214" s="452" spans="1:40">
      <c r="A214" s="44" t="n"/>
      <c r="J214" s="404" t="n"/>
      <c r="N214" s="404" t="n"/>
      <c r="R214" s="404" t="n"/>
      <c r="AB214" s="537" t="n"/>
      <c r="AC214" s="537" t="n"/>
      <c r="AF214" s="537" t="n"/>
      <c r="AG214" s="537" t="n"/>
    </row>
    <row customHeight="1" ht="15.75" r="215" s="452" spans="1:40">
      <c r="A215" s="44" t="n"/>
      <c r="J215" s="404" t="n"/>
      <c r="N215" s="404" t="n"/>
      <c r="R215" s="404" t="n"/>
      <c r="AB215" s="537" t="n"/>
      <c r="AC215" s="537" t="n"/>
      <c r="AF215" s="537" t="n"/>
      <c r="AG215" s="537" t="n"/>
    </row>
    <row customHeight="1" ht="15.75" r="216" s="452" spans="1:40">
      <c r="A216" s="44" t="n"/>
      <c r="J216" s="404" t="n"/>
      <c r="N216" s="404" t="n"/>
      <c r="R216" s="404" t="n"/>
      <c r="AB216" s="537" t="n"/>
      <c r="AC216" s="537" t="n"/>
      <c r="AF216" s="537" t="n"/>
      <c r="AG216" s="537" t="n"/>
    </row>
    <row customHeight="1" ht="15.75" r="217" s="452" spans="1:40">
      <c r="A217" s="44" t="n"/>
      <c r="J217" s="404" t="n"/>
      <c r="N217" s="404" t="n"/>
      <c r="R217" s="404" t="n"/>
      <c r="AB217" s="537" t="n"/>
      <c r="AC217" s="537" t="n"/>
      <c r="AF217" s="537" t="n"/>
      <c r="AG217" s="537" t="n"/>
    </row>
    <row customHeight="1" ht="15.75" r="218" s="452" spans="1:40">
      <c r="A218" s="44" t="n"/>
      <c r="J218" s="404" t="n"/>
      <c r="N218" s="404" t="n"/>
      <c r="R218" s="404" t="n"/>
      <c r="AB218" s="537" t="n"/>
      <c r="AC218" s="537" t="n"/>
      <c r="AF218" s="537" t="n"/>
      <c r="AG218" s="537" t="n"/>
    </row>
    <row customHeight="1" ht="15.75" r="219" s="452" spans="1:40">
      <c r="A219" s="44" t="n"/>
      <c r="J219" s="404" t="n"/>
      <c r="N219" s="404" t="n"/>
      <c r="R219" s="404" t="n"/>
      <c r="AB219" s="537" t="n"/>
      <c r="AC219" s="537" t="n"/>
      <c r="AF219" s="537" t="n"/>
      <c r="AG219" s="537" t="n"/>
    </row>
    <row customHeight="1" ht="15.75" r="220" s="452" spans="1:40">
      <c r="A220" s="44" t="n"/>
      <c r="J220" s="404" t="n"/>
      <c r="N220" s="404" t="n"/>
      <c r="R220" s="404" t="n"/>
      <c r="AB220" s="537" t="n"/>
      <c r="AC220" s="537" t="n"/>
      <c r="AF220" s="537" t="n"/>
      <c r="AG220" s="537" t="n"/>
    </row>
    <row customHeight="1" ht="15.75" r="221" s="452" spans="1:40">
      <c r="A221" s="44" t="n"/>
      <c r="J221" s="404" t="n"/>
      <c r="N221" s="404" t="n"/>
      <c r="R221" s="404" t="n"/>
      <c r="AB221" s="537" t="n"/>
      <c r="AC221" s="537" t="n"/>
      <c r="AF221" s="537" t="n"/>
      <c r="AG221" s="537" t="n"/>
    </row>
    <row customHeight="1" ht="15.75" r="222" s="452" spans="1:40">
      <c r="A222" s="44" t="n"/>
      <c r="J222" s="404" t="n"/>
      <c r="N222" s="404" t="n"/>
      <c r="R222" s="404" t="n"/>
      <c r="AB222" s="537" t="n"/>
      <c r="AC222" s="537" t="n"/>
      <c r="AF222" s="537" t="n"/>
      <c r="AG222" s="537" t="n"/>
    </row>
    <row customHeight="1" ht="15.75" r="223" s="452" spans="1:40">
      <c r="A223" s="44" t="n"/>
      <c r="J223" s="404" t="n"/>
      <c r="N223" s="404" t="n"/>
      <c r="R223" s="404" t="n"/>
      <c r="AB223" s="537" t="n"/>
      <c r="AC223" s="537" t="n"/>
      <c r="AF223" s="537" t="n"/>
      <c r="AG223" s="537" t="n"/>
    </row>
    <row customHeight="1" ht="15.75" r="224" s="452" spans="1:40">
      <c r="A224" s="44" t="n"/>
      <c r="J224" s="404" t="n"/>
      <c r="N224" s="404" t="n"/>
      <c r="R224" s="404" t="n"/>
      <c r="AB224" s="537" t="n"/>
      <c r="AC224" s="537" t="n"/>
      <c r="AF224" s="537" t="n"/>
      <c r="AG224" s="537" t="n"/>
    </row>
    <row customHeight="1" ht="15.75" r="225" s="452" spans="1:40">
      <c r="A225" s="44" t="n"/>
      <c r="J225" s="404" t="n"/>
      <c r="N225" s="404" t="n"/>
      <c r="R225" s="404" t="n"/>
      <c r="AB225" s="537" t="n"/>
      <c r="AC225" s="537" t="n"/>
      <c r="AF225" s="537" t="n"/>
      <c r="AG225" s="537" t="n"/>
    </row>
    <row customHeight="1" ht="15.75" r="226" s="452" spans="1:40">
      <c r="A226" s="44" t="n"/>
      <c r="J226" s="404" t="n"/>
      <c r="N226" s="404" t="n"/>
      <c r="R226" s="404" t="n"/>
      <c r="AB226" s="537" t="n"/>
      <c r="AC226" s="537" t="n"/>
      <c r="AF226" s="537" t="n"/>
      <c r="AG226" s="537" t="n"/>
    </row>
    <row customHeight="1" ht="15.75" r="227" s="452" spans="1:40">
      <c r="A227" s="44" t="n"/>
      <c r="J227" s="404" t="n"/>
      <c r="N227" s="404" t="n"/>
      <c r="R227" s="404" t="n"/>
      <c r="AB227" s="537" t="n"/>
      <c r="AC227" s="537" t="n"/>
      <c r="AF227" s="537" t="n"/>
      <c r="AG227" s="537" t="n"/>
    </row>
    <row customHeight="1" ht="15.75" r="228" s="452" spans="1:40">
      <c r="A228" s="44" t="n"/>
      <c r="J228" s="404" t="n"/>
      <c r="N228" s="404" t="n"/>
      <c r="R228" s="404" t="n"/>
      <c r="AB228" s="537" t="n"/>
      <c r="AC228" s="537" t="n"/>
      <c r="AF228" s="537" t="n"/>
      <c r="AG228" s="537" t="n"/>
    </row>
    <row customHeight="1" ht="15.75" r="229" s="452" spans="1:40">
      <c r="A229" s="44" t="n"/>
      <c r="J229" s="404" t="n"/>
      <c r="N229" s="404" t="n"/>
      <c r="R229" s="404" t="n"/>
      <c r="AB229" s="537" t="n"/>
      <c r="AC229" s="537" t="n"/>
      <c r="AF229" s="537" t="n"/>
      <c r="AG229" s="537" t="n"/>
    </row>
    <row customHeight="1" ht="15.75" r="230" s="452" spans="1:40">
      <c r="A230" s="44" t="n"/>
      <c r="J230" s="404" t="n"/>
      <c r="N230" s="404" t="n"/>
      <c r="R230" s="404" t="n"/>
      <c r="AB230" s="537" t="n"/>
      <c r="AC230" s="537" t="n"/>
      <c r="AF230" s="537" t="n"/>
      <c r="AG230" s="537" t="n"/>
    </row>
    <row customHeight="1" ht="15.75" r="231" s="452" spans="1:40">
      <c r="A231" s="44" t="n"/>
      <c r="J231" s="404" t="n"/>
      <c r="N231" s="404" t="n"/>
      <c r="R231" s="404" t="n"/>
      <c r="AB231" s="537" t="n"/>
      <c r="AC231" s="537" t="n"/>
      <c r="AF231" s="537" t="n"/>
      <c r="AG231" s="537" t="n"/>
    </row>
    <row customHeight="1" ht="15.75" r="232" s="452" spans="1:40">
      <c r="A232" s="44" t="n"/>
      <c r="J232" s="404" t="n"/>
      <c r="N232" s="404" t="n"/>
      <c r="R232" s="404" t="n"/>
      <c r="AB232" s="537" t="n"/>
      <c r="AC232" s="537" t="n"/>
      <c r="AF232" s="537" t="n"/>
      <c r="AG232" s="537" t="n"/>
    </row>
    <row customHeight="1" ht="15.75" r="233" s="452" spans="1:40">
      <c r="A233" s="44" t="n"/>
      <c r="J233" s="404" t="n"/>
      <c r="N233" s="404" t="n"/>
      <c r="R233" s="404" t="n"/>
      <c r="AB233" s="537" t="n"/>
      <c r="AC233" s="537" t="n"/>
      <c r="AF233" s="537" t="n"/>
      <c r="AG233" s="537" t="n"/>
    </row>
    <row customHeight="1" ht="15.75" r="234" s="452" spans="1:40">
      <c r="A234" s="44" t="n"/>
      <c r="J234" s="404" t="n"/>
      <c r="N234" s="404" t="n"/>
      <c r="R234" s="404" t="n"/>
      <c r="AB234" s="537" t="n"/>
      <c r="AC234" s="537" t="n"/>
      <c r="AF234" s="537" t="n"/>
      <c r="AG234" s="537" t="n"/>
    </row>
    <row customHeight="1" ht="15.75" r="235" s="452" spans="1:40">
      <c r="A235" s="44" t="n"/>
      <c r="J235" s="404" t="n"/>
      <c r="N235" s="404" t="n"/>
      <c r="R235" s="404" t="n"/>
      <c r="AB235" s="537" t="n"/>
      <c r="AC235" s="537" t="n"/>
      <c r="AF235" s="537" t="n"/>
      <c r="AG235" s="537" t="n"/>
    </row>
    <row customHeight="1" ht="15.75" r="236" s="452" spans="1:40">
      <c r="A236" s="44" t="n"/>
      <c r="J236" s="404" t="n"/>
      <c r="N236" s="404" t="n"/>
      <c r="R236" s="404" t="n"/>
      <c r="AB236" s="537" t="n"/>
      <c r="AC236" s="537" t="n"/>
      <c r="AF236" s="537" t="n"/>
      <c r="AG236" s="537" t="n"/>
    </row>
    <row customHeight="1" ht="15.75" r="237" s="452" spans="1:40">
      <c r="A237" s="44" t="n"/>
      <c r="J237" s="404" t="n"/>
      <c r="N237" s="404" t="n"/>
      <c r="R237" s="404" t="n"/>
      <c r="AB237" s="537" t="n"/>
      <c r="AC237" s="537" t="n"/>
      <c r="AF237" s="537" t="n"/>
      <c r="AG237" s="537" t="n"/>
    </row>
    <row customHeight="1" ht="15.75" r="238" s="452" spans="1:40">
      <c r="A238" s="44" t="n"/>
      <c r="J238" s="404" t="n"/>
      <c r="N238" s="404" t="n"/>
      <c r="R238" s="404" t="n"/>
      <c r="AB238" s="537" t="n"/>
      <c r="AC238" s="537" t="n"/>
      <c r="AF238" s="537" t="n"/>
      <c r="AG238" s="537" t="n"/>
    </row>
    <row customHeight="1" ht="15.75" r="239" s="452" spans="1:40">
      <c r="A239" s="44" t="n"/>
      <c r="J239" s="404" t="n"/>
      <c r="N239" s="404" t="n"/>
      <c r="R239" s="404" t="n"/>
      <c r="AB239" s="537" t="n"/>
      <c r="AC239" s="537" t="n"/>
      <c r="AF239" s="537" t="n"/>
      <c r="AG239" s="537" t="n"/>
    </row>
    <row customHeight="1" ht="15.75" r="240" s="452" spans="1:40">
      <c r="A240" s="44" t="n"/>
      <c r="J240" s="404" t="n"/>
      <c r="N240" s="404" t="n"/>
      <c r="R240" s="404" t="n"/>
      <c r="AB240" s="537" t="n"/>
      <c r="AC240" s="537" t="n"/>
      <c r="AF240" s="537" t="n"/>
      <c r="AG240" s="537" t="n"/>
    </row>
    <row customHeight="1" ht="15.75" r="241" s="452" spans="1:40">
      <c r="A241" s="44" t="n"/>
      <c r="J241" s="404" t="n"/>
      <c r="N241" s="404" t="n"/>
      <c r="R241" s="404" t="n"/>
      <c r="AB241" s="537" t="n"/>
      <c r="AC241" s="537" t="n"/>
      <c r="AF241" s="537" t="n"/>
      <c r="AG241" s="537" t="n"/>
    </row>
    <row customHeight="1" ht="15.75" r="242" s="452" spans="1:40">
      <c r="A242" s="44" t="n"/>
      <c r="J242" s="404" t="n"/>
      <c r="N242" s="404" t="n"/>
      <c r="R242" s="404" t="n"/>
      <c r="AB242" s="537" t="n"/>
      <c r="AC242" s="537" t="n"/>
      <c r="AF242" s="537" t="n"/>
      <c r="AG242" s="537" t="n"/>
    </row>
    <row customHeight="1" ht="15.75" r="243" s="452" spans="1:40">
      <c r="A243" s="44" t="n"/>
      <c r="J243" s="404" t="n"/>
      <c r="N243" s="404" t="n"/>
      <c r="R243" s="404" t="n"/>
      <c r="AB243" s="537" t="n"/>
      <c r="AC243" s="537" t="n"/>
      <c r="AF243" s="537" t="n"/>
      <c r="AG243" s="537" t="n"/>
    </row>
    <row customHeight="1" ht="15.75" r="244" s="452" spans="1:40">
      <c r="A244" s="44" t="n"/>
      <c r="J244" s="404" t="n"/>
      <c r="N244" s="404" t="n"/>
      <c r="R244" s="404" t="n"/>
      <c r="AB244" s="537" t="n"/>
      <c r="AC244" s="537" t="n"/>
      <c r="AF244" s="537" t="n"/>
      <c r="AG244" s="537" t="n"/>
    </row>
    <row customHeight="1" ht="15.75" r="245" s="452" spans="1:40">
      <c r="A245" s="44" t="n"/>
      <c r="J245" s="404" t="n"/>
      <c r="N245" s="404" t="n"/>
      <c r="R245" s="404" t="n"/>
      <c r="AB245" s="537" t="n"/>
      <c r="AC245" s="537" t="n"/>
      <c r="AF245" s="537" t="n"/>
      <c r="AG245" s="537" t="n"/>
    </row>
    <row customHeight="1" ht="15.75" r="246" s="452" spans="1:40">
      <c r="A246" s="44" t="n"/>
      <c r="J246" s="404" t="n"/>
      <c r="N246" s="404" t="n"/>
      <c r="R246" s="404" t="n"/>
      <c r="AB246" s="537" t="n"/>
      <c r="AC246" s="537" t="n"/>
      <c r="AF246" s="537" t="n"/>
      <c r="AG246" s="537" t="n"/>
    </row>
    <row customHeight="1" ht="15.75" r="247" s="452" spans="1:40">
      <c r="A247" s="44" t="n"/>
      <c r="J247" s="404" t="n"/>
      <c r="N247" s="404" t="n"/>
      <c r="R247" s="404" t="n"/>
      <c r="AB247" s="537" t="n"/>
      <c r="AC247" s="537" t="n"/>
      <c r="AF247" s="537" t="n"/>
      <c r="AG247" s="537" t="n"/>
    </row>
    <row customHeight="1" ht="15.75" r="248" s="452" spans="1:40">
      <c r="A248" s="44" t="n"/>
      <c r="J248" s="404" t="n"/>
      <c r="N248" s="404" t="n"/>
      <c r="R248" s="404" t="n"/>
      <c r="AB248" s="537" t="n"/>
      <c r="AC248" s="537" t="n"/>
      <c r="AF248" s="537" t="n"/>
      <c r="AG248" s="537" t="n"/>
    </row>
    <row customHeight="1" ht="15.75" r="249" s="452" spans="1:40">
      <c r="A249" s="44" t="n"/>
      <c r="J249" s="404" t="n"/>
      <c r="N249" s="404" t="n"/>
      <c r="R249" s="404" t="n"/>
      <c r="AB249" s="537" t="n"/>
      <c r="AC249" s="537" t="n"/>
      <c r="AF249" s="537" t="n"/>
      <c r="AG249" s="537" t="n"/>
    </row>
    <row customHeight="1" ht="15.75" r="250" s="452" spans="1:40">
      <c r="A250" s="44" t="n"/>
      <c r="J250" s="404" t="n"/>
      <c r="N250" s="404" t="n"/>
      <c r="R250" s="404" t="n"/>
      <c r="AB250" s="537" t="n"/>
      <c r="AC250" s="537" t="n"/>
      <c r="AF250" s="537" t="n"/>
      <c r="AG250" s="537" t="n"/>
    </row>
    <row customHeight="1" ht="15.75" r="251" s="452" spans="1:40">
      <c r="A251" s="44" t="n"/>
      <c r="J251" s="404" t="n"/>
      <c r="N251" s="404" t="n"/>
      <c r="R251" s="404" t="n"/>
      <c r="AB251" s="537" t="n"/>
      <c r="AC251" s="537" t="n"/>
      <c r="AF251" s="537" t="n"/>
      <c r="AG251" s="537" t="n"/>
    </row>
    <row customHeight="1" ht="15.75" r="252" s="452" spans="1:40">
      <c r="A252" s="44" t="n"/>
      <c r="J252" s="404" t="n"/>
      <c r="N252" s="404" t="n"/>
      <c r="R252" s="404" t="n"/>
      <c r="AB252" s="537" t="n"/>
      <c r="AC252" s="537" t="n"/>
      <c r="AF252" s="537" t="n"/>
      <c r="AG252" s="537" t="n"/>
    </row>
    <row customHeight="1" ht="15.75" r="253" s="452" spans="1:40">
      <c r="A253" s="44" t="n"/>
      <c r="J253" s="404" t="n"/>
      <c r="N253" s="404" t="n"/>
      <c r="R253" s="404" t="n"/>
      <c r="AB253" s="537" t="n"/>
      <c r="AC253" s="537" t="n"/>
      <c r="AF253" s="537" t="n"/>
      <c r="AG253" s="537" t="n"/>
    </row>
    <row customHeight="1" ht="15.75" r="254" s="452" spans="1:40">
      <c r="A254" s="44" t="n"/>
      <c r="J254" s="404" t="n"/>
      <c r="N254" s="404" t="n"/>
      <c r="R254" s="404" t="n"/>
      <c r="AB254" s="537" t="n"/>
      <c r="AC254" s="537" t="n"/>
      <c r="AF254" s="537" t="n"/>
      <c r="AG254" s="537" t="n"/>
    </row>
    <row customHeight="1" ht="15.75" r="255" s="452" spans="1:40">
      <c r="A255" s="44" t="n"/>
      <c r="J255" s="404" t="n"/>
      <c r="N255" s="404" t="n"/>
      <c r="R255" s="404" t="n"/>
      <c r="AB255" s="537" t="n"/>
      <c r="AC255" s="537" t="n"/>
      <c r="AF255" s="537" t="n"/>
      <c r="AG255" s="537" t="n"/>
    </row>
    <row customHeight="1" ht="15.75" r="256" s="452" spans="1:40">
      <c r="A256" s="44" t="n"/>
      <c r="J256" s="404" t="n"/>
      <c r="N256" s="404" t="n"/>
      <c r="R256" s="404" t="n"/>
      <c r="AB256" s="537" t="n"/>
      <c r="AC256" s="537" t="n"/>
      <c r="AF256" s="537" t="n"/>
      <c r="AG256" s="537" t="n"/>
    </row>
    <row customHeight="1" ht="15.75" r="257" s="452" spans="1:40">
      <c r="A257" s="44" t="n"/>
      <c r="J257" s="404" t="n"/>
      <c r="N257" s="404" t="n"/>
      <c r="R257" s="404" t="n"/>
      <c r="AB257" s="537" t="n"/>
      <c r="AC257" s="537" t="n"/>
      <c r="AF257" s="537" t="n"/>
      <c r="AG257" s="537" t="n"/>
    </row>
    <row customHeight="1" ht="15.75" r="258" s="452" spans="1:40">
      <c r="A258" s="44" t="n"/>
      <c r="J258" s="404" t="n"/>
      <c r="N258" s="404" t="n"/>
      <c r="R258" s="404" t="n"/>
      <c r="AB258" s="537" t="n"/>
      <c r="AC258" s="537" t="n"/>
      <c r="AF258" s="537" t="n"/>
      <c r="AG258" s="537" t="n"/>
    </row>
    <row customHeight="1" ht="15.75" r="259" s="452" spans="1:40">
      <c r="A259" s="44" t="n"/>
      <c r="J259" s="404" t="n"/>
      <c r="N259" s="404" t="n"/>
      <c r="R259" s="404" t="n"/>
      <c r="AB259" s="537" t="n"/>
      <c r="AC259" s="537" t="n"/>
      <c r="AF259" s="537" t="n"/>
      <c r="AG259" s="537" t="n"/>
    </row>
    <row customHeight="1" ht="15.75" r="260" s="452" spans="1:40">
      <c r="A260" s="44" t="n"/>
      <c r="J260" s="404" t="n"/>
      <c r="N260" s="404" t="n"/>
      <c r="R260" s="404" t="n"/>
      <c r="AB260" s="537" t="n"/>
      <c r="AC260" s="537" t="n"/>
      <c r="AF260" s="537" t="n"/>
      <c r="AG260" s="537" t="n"/>
    </row>
    <row customHeight="1" ht="15.75" r="261" s="452" spans="1:40">
      <c r="A261" s="44" t="n"/>
      <c r="J261" s="404" t="n"/>
      <c r="N261" s="404" t="n"/>
      <c r="R261" s="404" t="n"/>
      <c r="AB261" s="537" t="n"/>
      <c r="AC261" s="537" t="n"/>
      <c r="AF261" s="537" t="n"/>
      <c r="AG261" s="537" t="n"/>
    </row>
    <row customHeight="1" ht="15.75" r="262" s="452" spans="1:40">
      <c r="A262" s="44" t="n"/>
      <c r="J262" s="404" t="n"/>
      <c r="N262" s="404" t="n"/>
      <c r="R262" s="404" t="n"/>
      <c r="AB262" s="537" t="n"/>
      <c r="AC262" s="537" t="n"/>
      <c r="AF262" s="537" t="n"/>
      <c r="AG262" s="537" t="n"/>
    </row>
    <row customHeight="1" ht="15.75" r="263" s="452" spans="1:40">
      <c r="A263" s="44" t="n"/>
      <c r="J263" s="404" t="n"/>
      <c r="N263" s="404" t="n"/>
      <c r="R263" s="404" t="n"/>
      <c r="AB263" s="537" t="n"/>
      <c r="AC263" s="537" t="n"/>
      <c r="AF263" s="537" t="n"/>
      <c r="AG263" s="537" t="n"/>
    </row>
    <row customHeight="1" ht="15.75" r="264" s="452" spans="1:40">
      <c r="A264" s="44" t="n"/>
      <c r="J264" s="404" t="n"/>
      <c r="N264" s="404" t="n"/>
      <c r="R264" s="404" t="n"/>
      <c r="AB264" s="537" t="n"/>
      <c r="AC264" s="537" t="n"/>
      <c r="AF264" s="537" t="n"/>
      <c r="AG264" s="537" t="n"/>
    </row>
    <row customHeight="1" ht="15.75" r="265" s="452" spans="1:40">
      <c r="A265" s="44" t="n"/>
      <c r="J265" s="404" t="n"/>
      <c r="N265" s="404" t="n"/>
      <c r="R265" s="404" t="n"/>
      <c r="AB265" s="537" t="n"/>
      <c r="AC265" s="537" t="n"/>
      <c r="AF265" s="537" t="n"/>
      <c r="AG265" s="537" t="n"/>
    </row>
    <row customHeight="1" ht="15.75" r="266" s="452" spans="1:40">
      <c r="A266" s="44" t="n"/>
      <c r="J266" s="404" t="n"/>
      <c r="N266" s="404" t="n"/>
      <c r="R266" s="404" t="n"/>
      <c r="AB266" s="537" t="n"/>
      <c r="AC266" s="537" t="n"/>
      <c r="AF266" s="537" t="n"/>
      <c r="AG266" s="537" t="n"/>
    </row>
    <row customHeight="1" ht="15.75" r="267" s="452" spans="1:40">
      <c r="A267" s="44" t="n"/>
      <c r="J267" s="404" t="n"/>
      <c r="N267" s="404" t="n"/>
      <c r="R267" s="404" t="n"/>
      <c r="AB267" s="537" t="n"/>
      <c r="AC267" s="537" t="n"/>
      <c r="AF267" s="537" t="n"/>
      <c r="AG267" s="537" t="n"/>
    </row>
    <row customHeight="1" ht="15.75" r="268" s="452" spans="1:40">
      <c r="A268" s="44" t="n"/>
      <c r="J268" s="404" t="n"/>
      <c r="N268" s="404" t="n"/>
      <c r="R268" s="404" t="n"/>
      <c r="AB268" s="537" t="n"/>
      <c r="AC268" s="537" t="n"/>
      <c r="AF268" s="537" t="n"/>
      <c r="AG268" s="537" t="n"/>
    </row>
    <row customHeight="1" ht="15.75" r="269" s="452" spans="1:40">
      <c r="A269" s="44" t="n"/>
      <c r="J269" s="404" t="n"/>
      <c r="N269" s="404" t="n"/>
      <c r="R269" s="404" t="n"/>
      <c r="AB269" s="537" t="n"/>
      <c r="AC269" s="537" t="n"/>
      <c r="AF269" s="537" t="n"/>
      <c r="AG269" s="537" t="n"/>
    </row>
    <row customHeight="1" ht="15.75" r="270" s="452" spans="1:40">
      <c r="A270" s="44" t="n"/>
      <c r="J270" s="404" t="n"/>
      <c r="N270" s="404" t="n"/>
      <c r="R270" s="404" t="n"/>
      <c r="AB270" s="537" t="n"/>
      <c r="AC270" s="537" t="n"/>
      <c r="AF270" s="537" t="n"/>
      <c r="AG270" s="537" t="n"/>
    </row>
    <row customHeight="1" ht="15.75" r="271" s="452" spans="1:40">
      <c r="A271" s="44" t="n"/>
      <c r="J271" s="404" t="n"/>
      <c r="N271" s="404" t="n"/>
      <c r="R271" s="404" t="n"/>
      <c r="AB271" s="537" t="n"/>
      <c r="AC271" s="537" t="n"/>
      <c r="AF271" s="537" t="n"/>
      <c r="AG271" s="537" t="n"/>
    </row>
    <row customHeight="1" ht="15.75" r="272" s="452" spans="1:40">
      <c r="A272" s="44" t="n"/>
      <c r="J272" s="404" t="n"/>
      <c r="N272" s="404" t="n"/>
      <c r="R272" s="404" t="n"/>
      <c r="AB272" s="537" t="n"/>
      <c r="AC272" s="537" t="n"/>
      <c r="AF272" s="537" t="n"/>
      <c r="AG272" s="537" t="n"/>
    </row>
    <row customHeight="1" ht="15.75" r="273" s="452" spans="1:40">
      <c r="A273" s="44" t="n"/>
      <c r="J273" s="404" t="n"/>
      <c r="N273" s="404" t="n"/>
      <c r="R273" s="404" t="n"/>
      <c r="AB273" s="537" t="n"/>
      <c r="AC273" s="537" t="n"/>
      <c r="AF273" s="537" t="n"/>
      <c r="AG273" s="537" t="n"/>
    </row>
    <row customHeight="1" ht="15.75" r="274" s="452" spans="1:40">
      <c r="A274" s="44" t="n"/>
      <c r="J274" s="404" t="n"/>
      <c r="N274" s="404" t="n"/>
      <c r="R274" s="404" t="n"/>
      <c r="AB274" s="537" t="n"/>
      <c r="AC274" s="537" t="n"/>
      <c r="AF274" s="537" t="n"/>
      <c r="AG274" s="537" t="n"/>
    </row>
    <row customHeight="1" ht="15.75" r="275" s="452" spans="1:40">
      <c r="A275" s="44" t="n"/>
      <c r="J275" s="404" t="n"/>
      <c r="N275" s="404" t="n"/>
      <c r="R275" s="404" t="n"/>
      <c r="AB275" s="537" t="n"/>
      <c r="AC275" s="537" t="n"/>
      <c r="AF275" s="537" t="n"/>
      <c r="AG275" s="537" t="n"/>
    </row>
    <row customHeight="1" ht="15.75" r="276" s="452" spans="1:40">
      <c r="A276" s="44" t="n"/>
      <c r="J276" s="404" t="n"/>
      <c r="N276" s="404" t="n"/>
      <c r="R276" s="404" t="n"/>
      <c r="AB276" s="537" t="n"/>
      <c r="AC276" s="537" t="n"/>
      <c r="AF276" s="537" t="n"/>
      <c r="AG276" s="537" t="n"/>
    </row>
    <row customHeight="1" ht="15.75" r="277" s="452" spans="1:40">
      <c r="A277" s="44" t="n"/>
      <c r="J277" s="404" t="n"/>
      <c r="N277" s="404" t="n"/>
      <c r="R277" s="404" t="n"/>
      <c r="AB277" s="537" t="n"/>
      <c r="AC277" s="537" t="n"/>
      <c r="AF277" s="537" t="n"/>
      <c r="AG277" s="537" t="n"/>
    </row>
    <row customHeight="1" ht="15.75" r="278" s="452" spans="1:40">
      <c r="A278" s="44" t="n"/>
      <c r="J278" s="404" t="n"/>
      <c r="N278" s="404" t="n"/>
      <c r="R278" s="404" t="n"/>
      <c r="AB278" s="537" t="n"/>
      <c r="AC278" s="537" t="n"/>
      <c r="AF278" s="537" t="n"/>
      <c r="AG278" s="537" t="n"/>
    </row>
    <row customHeight="1" ht="15.75" r="279" s="452" spans="1:40">
      <c r="A279" s="44" t="n"/>
      <c r="J279" s="404" t="n"/>
      <c r="N279" s="404" t="n"/>
      <c r="R279" s="404" t="n"/>
      <c r="AB279" s="537" t="n"/>
      <c r="AC279" s="537" t="n"/>
      <c r="AF279" s="537" t="n"/>
      <c r="AG279" s="537" t="n"/>
    </row>
    <row customHeight="1" ht="15.75" r="280" s="452" spans="1:40">
      <c r="A280" s="44" t="n"/>
      <c r="J280" s="404" t="n"/>
      <c r="N280" s="404" t="n"/>
      <c r="R280" s="404" t="n"/>
      <c r="AB280" s="537" t="n"/>
      <c r="AC280" s="537" t="n"/>
      <c r="AF280" s="537" t="n"/>
      <c r="AG280" s="537" t="n"/>
    </row>
    <row customHeight="1" ht="15.75" r="281" s="452" spans="1:40">
      <c r="A281" s="44" t="n"/>
      <c r="J281" s="404" t="n"/>
      <c r="N281" s="404" t="n"/>
      <c r="R281" s="404" t="n"/>
      <c r="AB281" s="537" t="n"/>
      <c r="AC281" s="537" t="n"/>
      <c r="AF281" s="537" t="n"/>
      <c r="AG281" s="537" t="n"/>
    </row>
    <row customHeight="1" ht="15.75" r="282" s="452" spans="1:40">
      <c r="A282" s="44" t="n"/>
      <c r="J282" s="404" t="n"/>
      <c r="N282" s="404" t="n"/>
      <c r="R282" s="404" t="n"/>
      <c r="AB282" s="537" t="n"/>
      <c r="AC282" s="537" t="n"/>
      <c r="AF282" s="537" t="n"/>
      <c r="AG282" s="537" t="n"/>
    </row>
    <row customHeight="1" ht="15.75" r="283" s="452" spans="1:40">
      <c r="A283" s="44" t="n"/>
      <c r="J283" s="404" t="n"/>
      <c r="N283" s="404" t="n"/>
      <c r="R283" s="404" t="n"/>
      <c r="AB283" s="537" t="n"/>
      <c r="AC283" s="537" t="n"/>
      <c r="AF283" s="537" t="n"/>
      <c r="AG283" s="537" t="n"/>
    </row>
    <row customHeight="1" ht="15.75" r="284" s="452" spans="1:40">
      <c r="A284" s="44" t="n"/>
      <c r="J284" s="404" t="n"/>
      <c r="N284" s="404" t="n"/>
      <c r="R284" s="404" t="n"/>
      <c r="AB284" s="537" t="n"/>
      <c r="AC284" s="537" t="n"/>
      <c r="AF284" s="537" t="n"/>
      <c r="AG284" s="537" t="n"/>
    </row>
    <row customHeight="1" ht="15.75" r="285" s="452" spans="1:40">
      <c r="A285" s="44" t="n"/>
      <c r="J285" s="404" t="n"/>
      <c r="N285" s="404" t="n"/>
      <c r="R285" s="404" t="n"/>
      <c r="AB285" s="537" t="n"/>
      <c r="AC285" s="537" t="n"/>
      <c r="AF285" s="537" t="n"/>
      <c r="AG285" s="537" t="n"/>
    </row>
    <row customHeight="1" ht="15.75" r="286" s="452" spans="1:40">
      <c r="A286" s="44" t="n"/>
      <c r="J286" s="404" t="n"/>
      <c r="N286" s="404" t="n"/>
      <c r="R286" s="404" t="n"/>
      <c r="AB286" s="537" t="n"/>
      <c r="AC286" s="537" t="n"/>
      <c r="AF286" s="537" t="n"/>
      <c r="AG286" s="537" t="n"/>
    </row>
    <row customHeight="1" ht="15.75" r="287" s="452" spans="1:40">
      <c r="A287" s="44" t="n"/>
      <c r="J287" s="404" t="n"/>
      <c r="N287" s="404" t="n"/>
      <c r="R287" s="404" t="n"/>
      <c r="AB287" s="537" t="n"/>
      <c r="AC287" s="537" t="n"/>
      <c r="AF287" s="537" t="n"/>
      <c r="AG287" s="537" t="n"/>
    </row>
    <row customHeight="1" ht="15.75" r="288" s="452" spans="1:40">
      <c r="A288" s="44" t="n"/>
      <c r="J288" s="404" t="n"/>
      <c r="N288" s="404" t="n"/>
      <c r="R288" s="404" t="n"/>
      <c r="AB288" s="537" t="n"/>
      <c r="AC288" s="537" t="n"/>
      <c r="AF288" s="537" t="n"/>
      <c r="AG288" s="537" t="n"/>
    </row>
    <row customHeight="1" ht="15.75" r="289" s="452" spans="1:40">
      <c r="A289" s="44" t="n"/>
      <c r="J289" s="404" t="n"/>
      <c r="N289" s="404" t="n"/>
      <c r="R289" s="404" t="n"/>
      <c r="AB289" s="537" t="n"/>
      <c r="AC289" s="537" t="n"/>
      <c r="AF289" s="537" t="n"/>
      <c r="AG289" s="537" t="n"/>
    </row>
    <row customHeight="1" ht="15.75" r="290" s="452" spans="1:40">
      <c r="A290" s="44" t="n"/>
      <c r="J290" s="404" t="n"/>
      <c r="N290" s="404" t="n"/>
      <c r="R290" s="404" t="n"/>
      <c r="AB290" s="537" t="n"/>
      <c r="AC290" s="537" t="n"/>
      <c r="AF290" s="537" t="n"/>
      <c r="AG290" s="537" t="n"/>
    </row>
    <row customHeight="1" ht="15.75" r="291" s="452" spans="1:40">
      <c r="A291" s="44" t="n"/>
      <c r="J291" s="404" t="n"/>
      <c r="N291" s="404" t="n"/>
      <c r="R291" s="404" t="n"/>
      <c r="AB291" s="537" t="n"/>
      <c r="AC291" s="537" t="n"/>
      <c r="AF291" s="537" t="n"/>
      <c r="AG291" s="537" t="n"/>
    </row>
    <row customHeight="1" ht="15.75" r="292" s="452" spans="1:40">
      <c r="A292" s="44" t="n"/>
      <c r="J292" s="404" t="n"/>
      <c r="N292" s="404" t="n"/>
      <c r="R292" s="404" t="n"/>
      <c r="AB292" s="537" t="n"/>
      <c r="AC292" s="537" t="n"/>
      <c r="AF292" s="537" t="n"/>
      <c r="AG292" s="537" t="n"/>
    </row>
    <row customHeight="1" ht="15.75" r="293" s="452" spans="1:40">
      <c r="A293" s="44" t="n"/>
      <c r="J293" s="404" t="n"/>
      <c r="N293" s="404" t="n"/>
      <c r="R293" s="404" t="n"/>
      <c r="AB293" s="537" t="n"/>
      <c r="AC293" s="537" t="n"/>
      <c r="AF293" s="537" t="n"/>
      <c r="AG293" s="537" t="n"/>
    </row>
    <row customHeight="1" ht="15.75" r="294" s="452" spans="1:40">
      <c r="A294" s="44" t="n"/>
      <c r="J294" s="404" t="n"/>
      <c r="N294" s="404" t="n"/>
      <c r="R294" s="404" t="n"/>
      <c r="AB294" s="537" t="n"/>
      <c r="AC294" s="537" t="n"/>
      <c r="AF294" s="537" t="n"/>
      <c r="AG294" s="537" t="n"/>
    </row>
    <row customHeight="1" ht="15.75" r="295" s="452" spans="1:40">
      <c r="A295" s="44" t="n"/>
      <c r="J295" s="404" t="n"/>
      <c r="N295" s="404" t="n"/>
      <c r="R295" s="404" t="n"/>
      <c r="AB295" s="537" t="n"/>
      <c r="AC295" s="537" t="n"/>
      <c r="AF295" s="537" t="n"/>
      <c r="AG295" s="537" t="n"/>
    </row>
    <row customHeight="1" ht="15.75" r="296" s="452" spans="1:40">
      <c r="A296" s="44" t="n"/>
      <c r="J296" s="404" t="n"/>
      <c r="N296" s="404" t="n"/>
      <c r="R296" s="404" t="n"/>
      <c r="AB296" s="537" t="n"/>
      <c r="AC296" s="537" t="n"/>
      <c r="AF296" s="537" t="n"/>
      <c r="AG296" s="537" t="n"/>
    </row>
    <row customHeight="1" ht="15.75" r="297" s="452" spans="1:40">
      <c r="A297" s="44" t="n"/>
      <c r="J297" s="404" t="n"/>
      <c r="N297" s="404" t="n"/>
      <c r="R297" s="404" t="n"/>
      <c r="AB297" s="537" t="n"/>
      <c r="AC297" s="537" t="n"/>
      <c r="AF297" s="537" t="n"/>
      <c r="AG297" s="537" t="n"/>
    </row>
    <row customHeight="1" ht="15.75" r="298" s="452" spans="1:40">
      <c r="A298" s="44" t="n"/>
      <c r="J298" s="404" t="n"/>
      <c r="N298" s="404" t="n"/>
      <c r="R298" s="404" t="n"/>
      <c r="AB298" s="537" t="n"/>
      <c r="AC298" s="537" t="n"/>
      <c r="AF298" s="537" t="n"/>
      <c r="AG298" s="537" t="n"/>
    </row>
    <row customHeight="1" ht="15.75" r="299" s="452" spans="1:40">
      <c r="A299" s="44" t="n"/>
      <c r="J299" s="404" t="n"/>
      <c r="N299" s="404" t="n"/>
      <c r="R299" s="404" t="n"/>
      <c r="AB299" s="537" t="n"/>
      <c r="AC299" s="537" t="n"/>
      <c r="AF299" s="537" t="n"/>
      <c r="AG299" s="537" t="n"/>
    </row>
    <row customHeight="1" ht="15.75" r="300" s="452" spans="1:40">
      <c r="A300" s="44" t="n"/>
      <c r="J300" s="404" t="n"/>
      <c r="N300" s="404" t="n"/>
      <c r="R300" s="404" t="n"/>
      <c r="AB300" s="537" t="n"/>
      <c r="AC300" s="537" t="n"/>
      <c r="AF300" s="537" t="n"/>
      <c r="AG300" s="537" t="n"/>
    </row>
    <row customHeight="1" ht="15.75" r="301" s="452" spans="1:40">
      <c r="A301" s="44" t="n"/>
      <c r="J301" s="404" t="n"/>
      <c r="N301" s="404" t="n"/>
      <c r="R301" s="404" t="n"/>
      <c r="AB301" s="537" t="n"/>
      <c r="AC301" s="537" t="n"/>
      <c r="AF301" s="537" t="n"/>
      <c r="AG301" s="537" t="n"/>
    </row>
    <row customHeight="1" ht="15.75" r="302" s="452" spans="1:40">
      <c r="A302" s="44" t="n"/>
      <c r="J302" s="404" t="n"/>
      <c r="N302" s="404" t="n"/>
      <c r="R302" s="404" t="n"/>
      <c r="AB302" s="537" t="n"/>
      <c r="AC302" s="537" t="n"/>
      <c r="AF302" s="537" t="n"/>
      <c r="AG302" s="537" t="n"/>
    </row>
    <row customHeight="1" ht="15.75" r="303" s="452" spans="1:40">
      <c r="A303" s="44" t="n"/>
      <c r="J303" s="404" t="n"/>
      <c r="N303" s="404" t="n"/>
      <c r="R303" s="404" t="n"/>
      <c r="AB303" s="537" t="n"/>
      <c r="AC303" s="537" t="n"/>
      <c r="AF303" s="537" t="n"/>
      <c r="AG303" s="537" t="n"/>
    </row>
    <row customHeight="1" ht="15.75" r="304" s="452" spans="1:40">
      <c r="A304" s="44" t="n"/>
      <c r="J304" s="404" t="n"/>
      <c r="N304" s="404" t="n"/>
      <c r="R304" s="404" t="n"/>
      <c r="AB304" s="537" t="n"/>
      <c r="AC304" s="537" t="n"/>
      <c r="AF304" s="537" t="n"/>
      <c r="AG304" s="537" t="n"/>
    </row>
    <row customHeight="1" ht="15.75" r="305" s="452" spans="1:40">
      <c r="A305" s="44" t="n"/>
      <c r="J305" s="404" t="n"/>
      <c r="N305" s="404" t="n"/>
      <c r="R305" s="404" t="n"/>
      <c r="AB305" s="537" t="n"/>
      <c r="AC305" s="537" t="n"/>
      <c r="AF305" s="537" t="n"/>
      <c r="AG305" s="537" t="n"/>
    </row>
    <row customHeight="1" ht="15.75" r="306" s="452" spans="1:40">
      <c r="A306" s="44" t="n"/>
      <c r="J306" s="404" t="n"/>
      <c r="N306" s="404" t="n"/>
      <c r="R306" s="404" t="n"/>
      <c r="AB306" s="537" t="n"/>
      <c r="AC306" s="537" t="n"/>
      <c r="AF306" s="537" t="n"/>
      <c r="AG306" s="537" t="n"/>
    </row>
    <row customHeight="1" ht="15.75" r="307" s="452" spans="1:40">
      <c r="A307" s="44" t="n"/>
      <c r="J307" s="404" t="n"/>
      <c r="N307" s="404" t="n"/>
      <c r="R307" s="404" t="n"/>
      <c r="AB307" s="537" t="n"/>
      <c r="AC307" s="537" t="n"/>
      <c r="AF307" s="537" t="n"/>
      <c r="AG307" s="537" t="n"/>
    </row>
    <row customHeight="1" ht="15.75" r="308" s="452" spans="1:40">
      <c r="A308" s="44" t="n"/>
      <c r="J308" s="404" t="n"/>
      <c r="N308" s="404" t="n"/>
      <c r="R308" s="404" t="n"/>
      <c r="AB308" s="537" t="n"/>
      <c r="AC308" s="537" t="n"/>
      <c r="AF308" s="537" t="n"/>
      <c r="AG308" s="537" t="n"/>
    </row>
    <row customHeight="1" ht="15.75" r="309" s="452" spans="1:40">
      <c r="A309" s="44" t="n"/>
      <c r="J309" s="404" t="n"/>
      <c r="N309" s="404" t="n"/>
      <c r="R309" s="404" t="n"/>
      <c r="AB309" s="537" t="n"/>
      <c r="AC309" s="537" t="n"/>
      <c r="AF309" s="537" t="n"/>
      <c r="AG309" s="537" t="n"/>
    </row>
    <row customHeight="1" ht="15.75" r="310" s="452" spans="1:40">
      <c r="A310" s="44" t="n"/>
      <c r="J310" s="404" t="n"/>
      <c r="N310" s="404" t="n"/>
      <c r="R310" s="404" t="n"/>
      <c r="AB310" s="537" t="n"/>
      <c r="AC310" s="537" t="n"/>
      <c r="AF310" s="537" t="n"/>
      <c r="AG310" s="537" t="n"/>
    </row>
    <row customHeight="1" ht="15.75" r="311" s="452" spans="1:40">
      <c r="A311" s="44" t="n"/>
      <c r="J311" s="404" t="n"/>
      <c r="N311" s="404" t="n"/>
      <c r="R311" s="404" t="n"/>
      <c r="AB311" s="537" t="n"/>
      <c r="AC311" s="537" t="n"/>
      <c r="AF311" s="537" t="n"/>
      <c r="AG311" s="537" t="n"/>
    </row>
    <row customHeight="1" ht="15.75" r="312" s="452" spans="1:40">
      <c r="A312" s="44" t="n"/>
      <c r="J312" s="404" t="n"/>
      <c r="N312" s="404" t="n"/>
      <c r="R312" s="404" t="n"/>
      <c r="AB312" s="537" t="n"/>
      <c r="AC312" s="537" t="n"/>
      <c r="AF312" s="537" t="n"/>
      <c r="AG312" s="537" t="n"/>
    </row>
    <row customHeight="1" ht="15.75" r="313" s="452" spans="1:40">
      <c r="A313" s="44" t="n"/>
      <c r="J313" s="404" t="n"/>
      <c r="N313" s="404" t="n"/>
      <c r="R313" s="404" t="n"/>
      <c r="AB313" s="537" t="n"/>
      <c r="AC313" s="537" t="n"/>
      <c r="AF313" s="537" t="n"/>
      <c r="AG313" s="537" t="n"/>
    </row>
    <row customHeight="1" ht="15.75" r="314" s="452" spans="1:40">
      <c r="A314" s="44" t="n"/>
      <c r="J314" s="404" t="n"/>
      <c r="N314" s="404" t="n"/>
      <c r="R314" s="404" t="n"/>
      <c r="AB314" s="537" t="n"/>
      <c r="AC314" s="537" t="n"/>
      <c r="AF314" s="537" t="n"/>
      <c r="AG314" s="537" t="n"/>
    </row>
    <row customHeight="1" ht="15.75" r="315" s="452" spans="1:40">
      <c r="A315" s="44" t="n"/>
      <c r="J315" s="404" t="n"/>
      <c r="N315" s="404" t="n"/>
      <c r="R315" s="404" t="n"/>
      <c r="AB315" s="537" t="n"/>
      <c r="AC315" s="537" t="n"/>
      <c r="AF315" s="537" t="n"/>
      <c r="AG315" s="537" t="n"/>
    </row>
    <row customHeight="1" ht="15.75" r="316" s="452" spans="1:40">
      <c r="A316" s="44" t="n"/>
      <c r="J316" s="404" t="n"/>
      <c r="N316" s="404" t="n"/>
      <c r="R316" s="404" t="n"/>
      <c r="AB316" s="537" t="n"/>
      <c r="AC316" s="537" t="n"/>
      <c r="AF316" s="537" t="n"/>
      <c r="AG316" s="537" t="n"/>
    </row>
    <row customHeight="1" ht="15.75" r="317" s="452" spans="1:40">
      <c r="A317" s="44" t="n"/>
      <c r="J317" s="404" t="n"/>
      <c r="N317" s="404" t="n"/>
      <c r="R317" s="404" t="n"/>
      <c r="AB317" s="537" t="n"/>
      <c r="AC317" s="537" t="n"/>
      <c r="AF317" s="537" t="n"/>
      <c r="AG317" s="537" t="n"/>
    </row>
    <row customHeight="1" ht="15.75" r="318" s="452" spans="1:40">
      <c r="A318" s="44" t="n"/>
      <c r="J318" s="404" t="n"/>
      <c r="N318" s="404" t="n"/>
      <c r="R318" s="404" t="n"/>
      <c r="AB318" s="537" t="n"/>
      <c r="AC318" s="537" t="n"/>
      <c r="AF318" s="537" t="n"/>
      <c r="AG318" s="537" t="n"/>
    </row>
    <row customHeight="1" ht="15.75" r="319" s="452" spans="1:40">
      <c r="A319" s="44" t="n"/>
      <c r="J319" s="404" t="n"/>
      <c r="N319" s="404" t="n"/>
      <c r="R319" s="404" t="n"/>
      <c r="AB319" s="537" t="n"/>
      <c r="AC319" s="537" t="n"/>
      <c r="AF319" s="537" t="n"/>
      <c r="AG319" s="537" t="n"/>
    </row>
    <row customHeight="1" ht="15.75" r="320" s="452" spans="1:40">
      <c r="A320" s="44" t="n"/>
      <c r="J320" s="404" t="n"/>
      <c r="N320" s="404" t="n"/>
      <c r="R320" s="404" t="n"/>
      <c r="AB320" s="537" t="n"/>
      <c r="AC320" s="537" t="n"/>
      <c r="AF320" s="537" t="n"/>
      <c r="AG320" s="537" t="n"/>
    </row>
    <row customHeight="1" ht="15.75" r="321" s="452" spans="1:40">
      <c r="A321" s="44" t="n"/>
      <c r="J321" s="404" t="n"/>
      <c r="N321" s="404" t="n"/>
      <c r="R321" s="404" t="n"/>
      <c r="AB321" s="537" t="n"/>
      <c r="AC321" s="537" t="n"/>
      <c r="AF321" s="537" t="n"/>
      <c r="AG321" s="537" t="n"/>
    </row>
    <row customHeight="1" ht="15.75" r="322" s="452" spans="1:40">
      <c r="A322" s="44" t="n"/>
      <c r="J322" s="404" t="n"/>
      <c r="N322" s="404" t="n"/>
      <c r="R322" s="404" t="n"/>
      <c r="AB322" s="537" t="n"/>
      <c r="AC322" s="537" t="n"/>
      <c r="AF322" s="537" t="n"/>
      <c r="AG322" s="537" t="n"/>
    </row>
    <row customHeight="1" ht="15.75" r="323" s="452" spans="1:40">
      <c r="A323" s="44" t="n"/>
      <c r="J323" s="404" t="n"/>
      <c r="N323" s="404" t="n"/>
      <c r="R323" s="404" t="n"/>
      <c r="AB323" s="537" t="n"/>
      <c r="AC323" s="537" t="n"/>
      <c r="AF323" s="537" t="n"/>
      <c r="AG323" s="537" t="n"/>
    </row>
    <row customHeight="1" ht="15.75" r="324" s="452" spans="1:40">
      <c r="A324" s="44" t="n"/>
      <c r="J324" s="404" t="n"/>
      <c r="N324" s="404" t="n"/>
      <c r="R324" s="404" t="n"/>
      <c r="AB324" s="537" t="n"/>
      <c r="AC324" s="537" t="n"/>
      <c r="AF324" s="537" t="n"/>
      <c r="AG324" s="537" t="n"/>
    </row>
    <row customHeight="1" ht="15.75" r="325" s="452" spans="1:40">
      <c r="A325" s="44" t="n"/>
      <c r="J325" s="404" t="n"/>
      <c r="N325" s="404" t="n"/>
      <c r="R325" s="404" t="n"/>
      <c r="AB325" s="537" t="n"/>
      <c r="AC325" s="537" t="n"/>
      <c r="AF325" s="537" t="n"/>
      <c r="AG325" s="537" t="n"/>
    </row>
    <row customHeight="1" ht="15.75" r="326" s="452" spans="1:40">
      <c r="A326" s="44" t="n"/>
      <c r="J326" s="404" t="n"/>
      <c r="N326" s="404" t="n"/>
      <c r="R326" s="404" t="n"/>
      <c r="AB326" s="537" t="n"/>
      <c r="AC326" s="537" t="n"/>
      <c r="AF326" s="537" t="n"/>
      <c r="AG326" s="537" t="n"/>
    </row>
    <row customHeight="1" ht="15.75" r="327" s="452" spans="1:40">
      <c r="A327" s="44" t="n"/>
      <c r="J327" s="404" t="n"/>
      <c r="N327" s="404" t="n"/>
      <c r="R327" s="404" t="n"/>
      <c r="AB327" s="537" t="n"/>
      <c r="AC327" s="537" t="n"/>
      <c r="AF327" s="537" t="n"/>
      <c r="AG327" s="537" t="n"/>
    </row>
    <row customHeight="1" ht="15.75" r="328" s="452" spans="1:40">
      <c r="A328" s="44" t="n"/>
      <c r="J328" s="404" t="n"/>
      <c r="N328" s="404" t="n"/>
      <c r="R328" s="404" t="n"/>
      <c r="AB328" s="537" t="n"/>
      <c r="AC328" s="537" t="n"/>
      <c r="AF328" s="537" t="n"/>
      <c r="AG328" s="537" t="n"/>
    </row>
    <row customHeight="1" ht="15.75" r="329" s="452" spans="1:40">
      <c r="A329" s="44" t="n"/>
      <c r="J329" s="404" t="n"/>
      <c r="N329" s="404" t="n"/>
      <c r="R329" s="404" t="n"/>
      <c r="AB329" s="537" t="n"/>
      <c r="AC329" s="537" t="n"/>
      <c r="AF329" s="537" t="n"/>
      <c r="AG329" s="537" t="n"/>
    </row>
    <row customHeight="1" ht="15.75" r="330" s="452" spans="1:40">
      <c r="A330" s="44" t="n"/>
      <c r="J330" s="404" t="n"/>
      <c r="N330" s="404" t="n"/>
      <c r="R330" s="404" t="n"/>
      <c r="AB330" s="537" t="n"/>
      <c r="AC330" s="537" t="n"/>
      <c r="AF330" s="537" t="n"/>
      <c r="AG330" s="537" t="n"/>
    </row>
    <row customHeight="1" ht="15.75" r="331" s="452" spans="1:40">
      <c r="A331" s="44" t="n"/>
      <c r="J331" s="404" t="n"/>
      <c r="N331" s="404" t="n"/>
      <c r="R331" s="404" t="n"/>
      <c r="AB331" s="537" t="n"/>
      <c r="AC331" s="537" t="n"/>
      <c r="AF331" s="537" t="n"/>
      <c r="AG331" s="537" t="n"/>
    </row>
    <row customHeight="1" ht="15.75" r="332" s="452" spans="1:40">
      <c r="A332" s="44" t="n"/>
      <c r="J332" s="404" t="n"/>
      <c r="N332" s="404" t="n"/>
      <c r="R332" s="404" t="n"/>
      <c r="AB332" s="537" t="n"/>
      <c r="AC332" s="537" t="n"/>
      <c r="AF332" s="537" t="n"/>
      <c r="AG332" s="537" t="n"/>
    </row>
    <row customHeight="1" ht="15.75" r="333" s="452" spans="1:40">
      <c r="A333" s="44" t="n"/>
      <c r="J333" s="404" t="n"/>
      <c r="N333" s="404" t="n"/>
      <c r="R333" s="404" t="n"/>
      <c r="AB333" s="537" t="n"/>
      <c r="AC333" s="537" t="n"/>
      <c r="AF333" s="537" t="n"/>
      <c r="AG333" s="537" t="n"/>
    </row>
    <row customHeight="1" ht="15.75" r="334" s="452" spans="1:40">
      <c r="A334" s="44" t="n"/>
      <c r="J334" s="404" t="n"/>
      <c r="N334" s="404" t="n"/>
      <c r="R334" s="404" t="n"/>
      <c r="AB334" s="537" t="n"/>
      <c r="AC334" s="537" t="n"/>
      <c r="AF334" s="537" t="n"/>
      <c r="AG334" s="537" t="n"/>
    </row>
    <row customHeight="1" ht="15.75" r="335" s="452" spans="1:40">
      <c r="A335" s="44" t="n"/>
      <c r="J335" s="404" t="n"/>
      <c r="N335" s="404" t="n"/>
      <c r="R335" s="404" t="n"/>
      <c r="AB335" s="537" t="n"/>
      <c r="AC335" s="537" t="n"/>
      <c r="AF335" s="537" t="n"/>
      <c r="AG335" s="537" t="n"/>
    </row>
    <row customHeight="1" ht="15.75" r="336" s="452" spans="1:40">
      <c r="A336" s="44" t="n"/>
      <c r="J336" s="404" t="n"/>
      <c r="N336" s="404" t="n"/>
      <c r="R336" s="404" t="n"/>
      <c r="AB336" s="537" t="n"/>
      <c r="AC336" s="537" t="n"/>
      <c r="AF336" s="537" t="n"/>
      <c r="AG336" s="537" t="n"/>
    </row>
    <row customHeight="1" ht="15.75" r="337" s="452" spans="1:40">
      <c r="A337" s="44" t="n"/>
      <c r="J337" s="404" t="n"/>
      <c r="N337" s="404" t="n"/>
      <c r="R337" s="404" t="n"/>
      <c r="AB337" s="537" t="n"/>
      <c r="AC337" s="537" t="n"/>
      <c r="AF337" s="537" t="n"/>
      <c r="AG337" s="537" t="n"/>
    </row>
    <row customHeight="1" ht="15.75" r="338" s="452" spans="1:40">
      <c r="A338" s="44" t="n"/>
      <c r="J338" s="404" t="n"/>
      <c r="N338" s="404" t="n"/>
      <c r="R338" s="404" t="n"/>
      <c r="AB338" s="537" t="n"/>
      <c r="AC338" s="537" t="n"/>
      <c r="AF338" s="537" t="n"/>
      <c r="AG338" s="537" t="n"/>
    </row>
    <row customHeight="1" ht="15.75" r="339" s="452" spans="1:40">
      <c r="A339" s="44" t="n"/>
      <c r="J339" s="404" t="n"/>
      <c r="N339" s="404" t="n"/>
      <c r="R339" s="404" t="n"/>
      <c r="AB339" s="537" t="n"/>
      <c r="AC339" s="537" t="n"/>
      <c r="AF339" s="537" t="n"/>
      <c r="AG339" s="537" t="n"/>
    </row>
    <row customHeight="1" ht="15.75" r="340" s="452" spans="1:40">
      <c r="A340" s="44" t="n"/>
      <c r="J340" s="404" t="n"/>
      <c r="N340" s="404" t="n"/>
      <c r="R340" s="404" t="n"/>
      <c r="AB340" s="537" t="n"/>
      <c r="AC340" s="537" t="n"/>
      <c r="AF340" s="537" t="n"/>
      <c r="AG340" s="537" t="n"/>
    </row>
    <row customHeight="1" ht="15.75" r="341" s="452" spans="1:40">
      <c r="A341" s="44" t="n"/>
      <c r="J341" s="404" t="n"/>
      <c r="N341" s="404" t="n"/>
      <c r="R341" s="404" t="n"/>
      <c r="AB341" s="537" t="n"/>
      <c r="AC341" s="537" t="n"/>
      <c r="AF341" s="537" t="n"/>
      <c r="AG341" s="537" t="n"/>
    </row>
    <row customHeight="1" ht="15.75" r="342" s="452" spans="1:40">
      <c r="A342" s="44" t="n"/>
      <c r="J342" s="404" t="n"/>
      <c r="N342" s="404" t="n"/>
      <c r="R342" s="404" t="n"/>
      <c r="AB342" s="537" t="n"/>
      <c r="AC342" s="537" t="n"/>
      <c r="AF342" s="537" t="n"/>
      <c r="AG342" s="537" t="n"/>
    </row>
    <row customHeight="1" ht="15.75" r="343" s="452" spans="1:40">
      <c r="A343" s="44" t="n"/>
      <c r="J343" s="404" t="n"/>
      <c r="N343" s="404" t="n"/>
      <c r="R343" s="404" t="n"/>
      <c r="AB343" s="537" t="n"/>
      <c r="AC343" s="537" t="n"/>
      <c r="AF343" s="537" t="n"/>
      <c r="AG343" s="537" t="n"/>
    </row>
    <row customHeight="1" ht="15.75" r="344" s="452" spans="1:40">
      <c r="A344" s="44" t="n"/>
      <c r="J344" s="404" t="n"/>
      <c r="N344" s="404" t="n"/>
      <c r="R344" s="404" t="n"/>
      <c r="AB344" s="537" t="n"/>
      <c r="AC344" s="537" t="n"/>
      <c r="AF344" s="537" t="n"/>
      <c r="AG344" s="537" t="n"/>
    </row>
    <row customHeight="1" ht="15.75" r="345" s="452" spans="1:40">
      <c r="A345" s="44" t="n"/>
      <c r="J345" s="404" t="n"/>
      <c r="N345" s="404" t="n"/>
      <c r="R345" s="404" t="n"/>
      <c r="AB345" s="537" t="n"/>
      <c r="AC345" s="537" t="n"/>
      <c r="AF345" s="537" t="n"/>
      <c r="AG345" s="537" t="n"/>
    </row>
    <row customHeight="1" ht="15.75" r="346" s="452" spans="1:40">
      <c r="A346" s="44" t="n"/>
      <c r="J346" s="404" t="n"/>
      <c r="N346" s="404" t="n"/>
      <c r="R346" s="404" t="n"/>
      <c r="AB346" s="537" t="n"/>
      <c r="AC346" s="537" t="n"/>
      <c r="AF346" s="537" t="n"/>
      <c r="AG346" s="537" t="n"/>
    </row>
    <row customHeight="1" ht="15.75" r="347" s="452" spans="1:40">
      <c r="A347" s="44" t="n"/>
      <c r="J347" s="404" t="n"/>
      <c r="N347" s="404" t="n"/>
      <c r="R347" s="404" t="n"/>
      <c r="AB347" s="537" t="n"/>
      <c r="AC347" s="537" t="n"/>
      <c r="AF347" s="537" t="n"/>
      <c r="AG347" s="537" t="n"/>
    </row>
    <row customHeight="1" ht="15.75" r="348" s="452" spans="1:40">
      <c r="A348" s="44" t="n"/>
      <c r="J348" s="404" t="n"/>
      <c r="N348" s="404" t="n"/>
      <c r="R348" s="404" t="n"/>
      <c r="AB348" s="537" t="n"/>
      <c r="AC348" s="537" t="n"/>
      <c r="AF348" s="537" t="n"/>
      <c r="AG348" s="537" t="n"/>
    </row>
    <row customHeight="1" ht="15.75" r="349" s="452" spans="1:40">
      <c r="A349" s="44" t="n"/>
      <c r="J349" s="404" t="n"/>
      <c r="N349" s="404" t="n"/>
      <c r="R349" s="404" t="n"/>
      <c r="AB349" s="537" t="n"/>
      <c r="AC349" s="537" t="n"/>
      <c r="AF349" s="537" t="n"/>
      <c r="AG349" s="537" t="n"/>
    </row>
    <row customHeight="1" ht="15.75" r="350" s="452" spans="1:40">
      <c r="A350" s="44" t="n"/>
      <c r="J350" s="404" t="n"/>
      <c r="N350" s="404" t="n"/>
      <c r="R350" s="404" t="n"/>
      <c r="AB350" s="537" t="n"/>
      <c r="AC350" s="537" t="n"/>
      <c r="AF350" s="537" t="n"/>
      <c r="AG350" s="537" t="n"/>
    </row>
    <row customHeight="1" ht="15.75" r="351" s="452" spans="1:40">
      <c r="A351" s="44" t="n"/>
      <c r="J351" s="404" t="n"/>
      <c r="N351" s="404" t="n"/>
      <c r="R351" s="404" t="n"/>
      <c r="AB351" s="537" t="n"/>
      <c r="AC351" s="537" t="n"/>
      <c r="AF351" s="537" t="n"/>
      <c r="AG351" s="537" t="n"/>
    </row>
    <row customHeight="1" ht="15.75" r="352" s="452" spans="1:40">
      <c r="A352" s="44" t="n"/>
      <c r="J352" s="404" t="n"/>
      <c r="N352" s="404" t="n"/>
      <c r="R352" s="404" t="n"/>
      <c r="AB352" s="537" t="n"/>
      <c r="AC352" s="537" t="n"/>
      <c r="AF352" s="537" t="n"/>
      <c r="AG352" s="537" t="n"/>
    </row>
    <row customHeight="1" ht="15.75" r="353" s="452" spans="1:40">
      <c r="A353" s="44" t="n"/>
      <c r="J353" s="404" t="n"/>
      <c r="N353" s="404" t="n"/>
      <c r="R353" s="404" t="n"/>
      <c r="AB353" s="537" t="n"/>
      <c r="AC353" s="537" t="n"/>
      <c r="AF353" s="537" t="n"/>
      <c r="AG353" s="537" t="n"/>
    </row>
    <row customHeight="1" ht="15.75" r="354" s="452" spans="1:40">
      <c r="A354" s="44" t="n"/>
      <c r="J354" s="404" t="n"/>
      <c r="N354" s="404" t="n"/>
      <c r="R354" s="404" t="n"/>
      <c r="AB354" s="537" t="n"/>
      <c r="AC354" s="537" t="n"/>
      <c r="AF354" s="537" t="n"/>
      <c r="AG354" s="537" t="n"/>
    </row>
    <row customHeight="1" ht="15.75" r="355" s="452" spans="1:40">
      <c r="A355" s="44" t="n"/>
      <c r="J355" s="404" t="n"/>
      <c r="N355" s="404" t="n"/>
      <c r="R355" s="404" t="n"/>
      <c r="AB355" s="537" t="n"/>
      <c r="AC355" s="537" t="n"/>
      <c r="AF355" s="537" t="n"/>
      <c r="AG355" s="537" t="n"/>
    </row>
    <row customHeight="1" ht="15.75" r="356" s="452" spans="1:40">
      <c r="A356" s="44" t="n"/>
      <c r="J356" s="404" t="n"/>
      <c r="N356" s="404" t="n"/>
      <c r="R356" s="404" t="n"/>
      <c r="AB356" s="537" t="n"/>
      <c r="AC356" s="537" t="n"/>
      <c r="AF356" s="537" t="n"/>
      <c r="AG356" s="537" t="n"/>
    </row>
    <row customHeight="1" ht="15.75" r="357" s="452" spans="1:40">
      <c r="A357" s="44" t="n"/>
      <c r="J357" s="404" t="n"/>
      <c r="N357" s="404" t="n"/>
      <c r="R357" s="404" t="n"/>
      <c r="AB357" s="537" t="n"/>
      <c r="AC357" s="537" t="n"/>
      <c r="AF357" s="537" t="n"/>
      <c r="AG357" s="537" t="n"/>
    </row>
    <row customHeight="1" ht="15.75" r="358" s="452" spans="1:40">
      <c r="A358" s="44" t="n"/>
      <c r="J358" s="404" t="n"/>
      <c r="N358" s="404" t="n"/>
      <c r="R358" s="404" t="n"/>
      <c r="AB358" s="537" t="n"/>
      <c r="AC358" s="537" t="n"/>
      <c r="AF358" s="537" t="n"/>
      <c r="AG358" s="537" t="n"/>
    </row>
    <row customHeight="1" ht="15.75" r="359" s="452" spans="1:40">
      <c r="A359" s="44" t="n"/>
      <c r="J359" s="404" t="n"/>
      <c r="N359" s="404" t="n"/>
      <c r="R359" s="404" t="n"/>
      <c r="AB359" s="537" t="n"/>
      <c r="AC359" s="537" t="n"/>
      <c r="AF359" s="537" t="n"/>
      <c r="AG359" s="537" t="n"/>
    </row>
    <row customHeight="1" ht="15.75" r="360" s="452" spans="1:40">
      <c r="A360" s="44" t="n"/>
      <c r="J360" s="404" t="n"/>
      <c r="N360" s="404" t="n"/>
      <c r="R360" s="404" t="n"/>
      <c r="AB360" s="537" t="n"/>
      <c r="AC360" s="537" t="n"/>
      <c r="AF360" s="537" t="n"/>
      <c r="AG360" s="537" t="n"/>
    </row>
    <row customHeight="1" ht="15.75" r="361" s="452" spans="1:40">
      <c r="A361" s="44" t="n"/>
      <c r="J361" s="404" t="n"/>
      <c r="N361" s="404" t="n"/>
      <c r="R361" s="404" t="n"/>
      <c r="AB361" s="537" t="n"/>
      <c r="AC361" s="537" t="n"/>
      <c r="AF361" s="537" t="n"/>
      <c r="AG361" s="537" t="n"/>
    </row>
    <row customHeight="1" ht="15.75" r="362" s="452" spans="1:40">
      <c r="A362" s="44" t="n"/>
      <c r="J362" s="404" t="n"/>
      <c r="N362" s="404" t="n"/>
      <c r="R362" s="404" t="n"/>
      <c r="AB362" s="537" t="n"/>
      <c r="AC362" s="537" t="n"/>
      <c r="AF362" s="537" t="n"/>
      <c r="AG362" s="537" t="n"/>
    </row>
    <row customHeight="1" ht="15.75" r="363" s="452" spans="1:40">
      <c r="A363" s="44" t="n"/>
      <c r="J363" s="404" t="n"/>
      <c r="N363" s="404" t="n"/>
      <c r="R363" s="404" t="n"/>
      <c r="AB363" s="537" t="n"/>
      <c r="AC363" s="537" t="n"/>
      <c r="AF363" s="537" t="n"/>
      <c r="AG363" s="537" t="n"/>
    </row>
    <row customHeight="1" ht="15.75" r="364" s="452" spans="1:40">
      <c r="A364" s="44" t="n"/>
      <c r="J364" s="404" t="n"/>
      <c r="N364" s="404" t="n"/>
      <c r="R364" s="404" t="n"/>
      <c r="AB364" s="537" t="n"/>
      <c r="AC364" s="537" t="n"/>
      <c r="AF364" s="537" t="n"/>
      <c r="AG364" s="537" t="n"/>
    </row>
    <row customHeight="1" ht="15.75" r="365" s="452" spans="1:40">
      <c r="A365" s="44" t="n"/>
      <c r="J365" s="404" t="n"/>
      <c r="N365" s="404" t="n"/>
      <c r="R365" s="404" t="n"/>
      <c r="AB365" s="537" t="n"/>
      <c r="AC365" s="537" t="n"/>
      <c r="AF365" s="537" t="n"/>
      <c r="AG365" s="537" t="n"/>
    </row>
    <row customHeight="1" ht="15.75" r="366" s="452" spans="1:40">
      <c r="A366" s="44" t="n"/>
      <c r="J366" s="404" t="n"/>
      <c r="N366" s="404" t="n"/>
      <c r="R366" s="404" t="n"/>
      <c r="AB366" s="537" t="n"/>
      <c r="AC366" s="537" t="n"/>
      <c r="AF366" s="537" t="n"/>
      <c r="AG366" s="537" t="n"/>
    </row>
    <row customHeight="1" ht="15.75" r="367" s="452" spans="1:40">
      <c r="A367" s="44" t="n"/>
      <c r="J367" s="404" t="n"/>
      <c r="N367" s="404" t="n"/>
      <c r="R367" s="404" t="n"/>
      <c r="AB367" s="537" t="n"/>
      <c r="AC367" s="537" t="n"/>
      <c r="AF367" s="537" t="n"/>
      <c r="AG367" s="537" t="n"/>
    </row>
    <row customHeight="1" ht="15.75" r="368" s="452" spans="1:40">
      <c r="A368" s="44" t="n"/>
      <c r="J368" s="404" t="n"/>
      <c r="N368" s="404" t="n"/>
      <c r="R368" s="404" t="n"/>
      <c r="AB368" s="537" t="n"/>
      <c r="AC368" s="537" t="n"/>
      <c r="AF368" s="537" t="n"/>
      <c r="AG368" s="537" t="n"/>
    </row>
    <row customHeight="1" ht="15.75" r="369" s="452" spans="1:40">
      <c r="A369" s="44" t="n"/>
      <c r="J369" s="404" t="n"/>
      <c r="N369" s="404" t="n"/>
      <c r="R369" s="404" t="n"/>
      <c r="AB369" s="537" t="n"/>
      <c r="AC369" s="537" t="n"/>
      <c r="AF369" s="537" t="n"/>
      <c r="AG369" s="537" t="n"/>
    </row>
    <row customHeight="1" ht="15.75" r="370" s="452" spans="1:40">
      <c r="A370" s="44" t="n"/>
      <c r="J370" s="404" t="n"/>
      <c r="N370" s="404" t="n"/>
      <c r="R370" s="404" t="n"/>
      <c r="AB370" s="537" t="n"/>
      <c r="AC370" s="537" t="n"/>
      <c r="AF370" s="537" t="n"/>
      <c r="AG370" s="537" t="n"/>
    </row>
    <row customHeight="1" ht="15.75" r="371" s="452" spans="1:40">
      <c r="A371" s="44" t="n"/>
      <c r="J371" s="404" t="n"/>
      <c r="N371" s="404" t="n"/>
      <c r="R371" s="404" t="n"/>
      <c r="AB371" s="537" t="n"/>
      <c r="AC371" s="537" t="n"/>
      <c r="AF371" s="537" t="n"/>
      <c r="AG371" s="537" t="n"/>
    </row>
    <row customHeight="1" ht="15.75" r="372" s="452" spans="1:40">
      <c r="A372" s="44" t="n"/>
      <c r="J372" s="404" t="n"/>
      <c r="N372" s="404" t="n"/>
      <c r="R372" s="404" t="n"/>
      <c r="AB372" s="537" t="n"/>
      <c r="AC372" s="537" t="n"/>
      <c r="AF372" s="537" t="n"/>
      <c r="AG372" s="537" t="n"/>
    </row>
    <row customHeight="1" ht="15.75" r="373" s="452" spans="1:40">
      <c r="A373" s="44" t="n"/>
      <c r="J373" s="404" t="n"/>
      <c r="N373" s="404" t="n"/>
      <c r="R373" s="404" t="n"/>
      <c r="AB373" s="537" t="n"/>
      <c r="AC373" s="537" t="n"/>
      <c r="AF373" s="537" t="n"/>
      <c r="AG373" s="537" t="n"/>
    </row>
    <row customHeight="1" ht="15.75" r="374" s="452" spans="1:40">
      <c r="A374" s="44" t="n"/>
      <c r="J374" s="404" t="n"/>
      <c r="N374" s="404" t="n"/>
      <c r="R374" s="404" t="n"/>
      <c r="AB374" s="537" t="n"/>
      <c r="AC374" s="537" t="n"/>
      <c r="AF374" s="537" t="n"/>
      <c r="AG374" s="537" t="n"/>
    </row>
    <row customHeight="1" ht="15.75" r="375" s="452" spans="1:40">
      <c r="A375" s="44" t="n"/>
      <c r="J375" s="404" t="n"/>
      <c r="N375" s="404" t="n"/>
      <c r="R375" s="404" t="n"/>
      <c r="AB375" s="537" t="n"/>
      <c r="AC375" s="537" t="n"/>
      <c r="AF375" s="537" t="n"/>
      <c r="AG375" s="537" t="n"/>
    </row>
    <row customHeight="1" ht="15.75" r="376" s="452" spans="1:40">
      <c r="A376" s="44" t="n"/>
      <c r="J376" s="404" t="n"/>
      <c r="N376" s="404" t="n"/>
      <c r="R376" s="404" t="n"/>
      <c r="AB376" s="537" t="n"/>
      <c r="AC376" s="537" t="n"/>
      <c r="AF376" s="537" t="n"/>
      <c r="AG376" s="537" t="n"/>
    </row>
    <row customHeight="1" ht="15.75" r="377" s="452" spans="1:40">
      <c r="A377" s="44" t="n"/>
      <c r="J377" s="404" t="n"/>
      <c r="N377" s="404" t="n"/>
      <c r="R377" s="404" t="n"/>
      <c r="AB377" s="537" t="n"/>
      <c r="AC377" s="537" t="n"/>
      <c r="AF377" s="537" t="n"/>
      <c r="AG377" s="537" t="n"/>
    </row>
    <row customHeight="1" ht="15.75" r="378" s="452" spans="1:40">
      <c r="A378" s="44" t="n"/>
      <c r="J378" s="404" t="n"/>
      <c r="N378" s="404" t="n"/>
      <c r="R378" s="404" t="n"/>
      <c r="AB378" s="537" t="n"/>
      <c r="AC378" s="537" t="n"/>
      <c r="AF378" s="537" t="n"/>
      <c r="AG378" s="537" t="n"/>
    </row>
    <row customHeight="1" ht="15.75" r="379" s="452" spans="1:40">
      <c r="A379" s="44" t="n"/>
      <c r="J379" s="404" t="n"/>
      <c r="N379" s="404" t="n"/>
      <c r="R379" s="404" t="n"/>
      <c r="AB379" s="537" t="n"/>
      <c r="AC379" s="537" t="n"/>
      <c r="AF379" s="537" t="n"/>
      <c r="AG379" s="537" t="n"/>
    </row>
    <row customHeight="1" ht="15.75" r="380" s="452" spans="1:40">
      <c r="A380" s="44" t="n"/>
      <c r="J380" s="404" t="n"/>
      <c r="N380" s="404" t="n"/>
      <c r="R380" s="404" t="n"/>
      <c r="AB380" s="537" t="n"/>
      <c r="AC380" s="537" t="n"/>
      <c r="AF380" s="537" t="n"/>
      <c r="AG380" s="537" t="n"/>
    </row>
    <row customHeight="1" ht="15.75" r="381" s="452" spans="1:40">
      <c r="A381" s="44" t="n"/>
      <c r="J381" s="404" t="n"/>
      <c r="N381" s="404" t="n"/>
      <c r="R381" s="404" t="n"/>
      <c r="AB381" s="537" t="n"/>
      <c r="AC381" s="537" t="n"/>
      <c r="AF381" s="537" t="n"/>
      <c r="AG381" s="537" t="n"/>
    </row>
    <row customHeight="1" ht="15.75" r="382" s="452" spans="1:40">
      <c r="A382" s="44" t="n"/>
      <c r="J382" s="404" t="n"/>
      <c r="N382" s="404" t="n"/>
      <c r="R382" s="404" t="n"/>
      <c r="AB382" s="537" t="n"/>
      <c r="AC382" s="537" t="n"/>
      <c r="AF382" s="537" t="n"/>
      <c r="AG382" s="537" t="n"/>
    </row>
    <row customHeight="1" ht="15.75" r="383" s="452" spans="1:40">
      <c r="A383" s="44" t="n"/>
      <c r="J383" s="404" t="n"/>
      <c r="N383" s="404" t="n"/>
      <c r="R383" s="404" t="n"/>
      <c r="AB383" s="537" t="n"/>
      <c r="AC383" s="537" t="n"/>
      <c r="AF383" s="537" t="n"/>
      <c r="AG383" s="537" t="n"/>
    </row>
    <row customHeight="1" ht="15.75" r="384" s="452" spans="1:40">
      <c r="A384" s="44" t="n"/>
      <c r="J384" s="404" t="n"/>
      <c r="N384" s="404" t="n"/>
      <c r="R384" s="404" t="n"/>
      <c r="AB384" s="537" t="n"/>
      <c r="AC384" s="537" t="n"/>
      <c r="AF384" s="537" t="n"/>
      <c r="AG384" s="537" t="n"/>
    </row>
    <row customHeight="1" ht="15.75" r="385" s="452" spans="1:40">
      <c r="A385" s="44" t="n"/>
      <c r="J385" s="404" t="n"/>
      <c r="N385" s="404" t="n"/>
      <c r="R385" s="404" t="n"/>
      <c r="AB385" s="537" t="n"/>
      <c r="AC385" s="537" t="n"/>
      <c r="AF385" s="537" t="n"/>
      <c r="AG385" s="537" t="n"/>
    </row>
    <row customHeight="1" ht="15.75" r="386" s="452" spans="1:40">
      <c r="A386" s="44" t="n"/>
      <c r="J386" s="404" t="n"/>
      <c r="N386" s="404" t="n"/>
      <c r="R386" s="404" t="n"/>
      <c r="AB386" s="537" t="n"/>
      <c r="AC386" s="537" t="n"/>
      <c r="AF386" s="537" t="n"/>
      <c r="AG386" s="537" t="n"/>
    </row>
    <row customHeight="1" ht="15.75" r="387" s="452" spans="1:40">
      <c r="A387" s="44" t="n"/>
      <c r="J387" s="404" t="n"/>
      <c r="N387" s="404" t="n"/>
      <c r="R387" s="404" t="n"/>
      <c r="AB387" s="537" t="n"/>
      <c r="AC387" s="537" t="n"/>
      <c r="AF387" s="537" t="n"/>
      <c r="AG387" s="537" t="n"/>
    </row>
    <row customHeight="1" ht="15.75" r="388" s="452" spans="1:40">
      <c r="A388" s="44" t="n"/>
      <c r="J388" s="404" t="n"/>
      <c r="N388" s="404" t="n"/>
      <c r="R388" s="404" t="n"/>
      <c r="AB388" s="537" t="n"/>
      <c r="AC388" s="537" t="n"/>
      <c r="AF388" s="537" t="n"/>
      <c r="AG388" s="537" t="n"/>
    </row>
    <row customHeight="1" ht="15.75" r="389" s="452" spans="1:40">
      <c r="A389" s="44" t="n"/>
      <c r="J389" s="404" t="n"/>
      <c r="N389" s="404" t="n"/>
      <c r="R389" s="404" t="n"/>
      <c r="AB389" s="537" t="n"/>
      <c r="AC389" s="537" t="n"/>
      <c r="AF389" s="537" t="n"/>
      <c r="AG389" s="537" t="n"/>
    </row>
    <row customHeight="1" ht="15.75" r="390" s="452" spans="1:40">
      <c r="A390" s="44" t="n"/>
      <c r="J390" s="404" t="n"/>
      <c r="N390" s="404" t="n"/>
      <c r="R390" s="404" t="n"/>
      <c r="AB390" s="537" t="n"/>
      <c r="AC390" s="537" t="n"/>
      <c r="AF390" s="537" t="n"/>
      <c r="AG390" s="537" t="n"/>
    </row>
    <row customHeight="1" ht="15.75" r="391" s="452" spans="1:40">
      <c r="A391" s="44" t="n"/>
      <c r="J391" s="404" t="n"/>
      <c r="N391" s="404" t="n"/>
      <c r="R391" s="404" t="n"/>
      <c r="AB391" s="537" t="n"/>
      <c r="AC391" s="537" t="n"/>
      <c r="AF391" s="537" t="n"/>
      <c r="AG391" s="537" t="n"/>
    </row>
    <row customHeight="1" ht="15.75" r="392" s="452" spans="1:40">
      <c r="A392" s="44" t="n"/>
      <c r="J392" s="404" t="n"/>
      <c r="N392" s="404" t="n"/>
      <c r="R392" s="404" t="n"/>
      <c r="AB392" s="537" t="n"/>
      <c r="AC392" s="537" t="n"/>
      <c r="AF392" s="537" t="n"/>
      <c r="AG392" s="537" t="n"/>
    </row>
    <row customHeight="1" ht="15.75" r="393" s="452" spans="1:40">
      <c r="A393" s="44" t="n"/>
      <c r="J393" s="404" t="n"/>
      <c r="N393" s="404" t="n"/>
      <c r="R393" s="404" t="n"/>
      <c r="AB393" s="537" t="n"/>
      <c r="AC393" s="537" t="n"/>
      <c r="AF393" s="537" t="n"/>
      <c r="AG393" s="537" t="n"/>
    </row>
    <row customHeight="1" ht="15.75" r="394" s="452" spans="1:40">
      <c r="A394" s="44" t="n"/>
      <c r="J394" s="404" t="n"/>
      <c r="N394" s="404" t="n"/>
      <c r="R394" s="404" t="n"/>
      <c r="AB394" s="537" t="n"/>
      <c r="AC394" s="537" t="n"/>
      <c r="AF394" s="537" t="n"/>
      <c r="AG394" s="537" t="n"/>
    </row>
    <row customHeight="1" ht="15.75" r="395" s="452" spans="1:40">
      <c r="A395" s="44" t="n"/>
      <c r="J395" s="404" t="n"/>
      <c r="N395" s="404" t="n"/>
      <c r="R395" s="404" t="n"/>
      <c r="AB395" s="537" t="n"/>
      <c r="AC395" s="537" t="n"/>
      <c r="AF395" s="537" t="n"/>
      <c r="AG395" s="537" t="n"/>
    </row>
    <row customHeight="1" ht="15.75" r="396" s="452" spans="1:40">
      <c r="A396" s="44" t="n"/>
      <c r="J396" s="404" t="n"/>
      <c r="N396" s="404" t="n"/>
      <c r="R396" s="404" t="n"/>
      <c r="AB396" s="537" t="n"/>
      <c r="AC396" s="537" t="n"/>
      <c r="AF396" s="537" t="n"/>
      <c r="AG396" s="537" t="n"/>
    </row>
    <row customHeight="1" ht="15.75" r="397" s="452" spans="1:40">
      <c r="A397" s="44" t="n"/>
      <c r="J397" s="404" t="n"/>
      <c r="N397" s="404" t="n"/>
      <c r="R397" s="404" t="n"/>
      <c r="AB397" s="537" t="n"/>
      <c r="AC397" s="537" t="n"/>
      <c r="AF397" s="537" t="n"/>
      <c r="AG397" s="537" t="n"/>
    </row>
    <row customHeight="1" ht="15.75" r="398" s="452" spans="1:40">
      <c r="A398" s="44" t="n"/>
      <c r="J398" s="404" t="n"/>
      <c r="N398" s="404" t="n"/>
      <c r="R398" s="404" t="n"/>
      <c r="AB398" s="537" t="n"/>
      <c r="AC398" s="537" t="n"/>
      <c r="AF398" s="537" t="n"/>
      <c r="AG398" s="537" t="n"/>
    </row>
    <row customHeight="1" ht="15.75" r="399" s="452" spans="1:40">
      <c r="A399" s="44" t="n"/>
      <c r="J399" s="404" t="n"/>
      <c r="N399" s="404" t="n"/>
      <c r="R399" s="404" t="n"/>
      <c r="AB399" s="537" t="n"/>
      <c r="AC399" s="537" t="n"/>
      <c r="AF399" s="537" t="n"/>
      <c r="AG399" s="537" t="n"/>
    </row>
    <row customHeight="1" ht="15.75" r="400" s="452" spans="1:40">
      <c r="A400" s="44" t="n"/>
      <c r="J400" s="404" t="n"/>
      <c r="N400" s="404" t="n"/>
      <c r="R400" s="404" t="n"/>
      <c r="AB400" s="537" t="n"/>
      <c r="AC400" s="537" t="n"/>
      <c r="AF400" s="537" t="n"/>
      <c r="AG400" s="537" t="n"/>
    </row>
    <row customHeight="1" ht="15.75" r="401" s="452" spans="1:40">
      <c r="A401" s="44" t="n"/>
      <c r="J401" s="404" t="n"/>
      <c r="N401" s="404" t="n"/>
      <c r="R401" s="404" t="n"/>
      <c r="AB401" s="537" t="n"/>
      <c r="AC401" s="537" t="n"/>
      <c r="AF401" s="537" t="n"/>
      <c r="AG401" s="537" t="n"/>
    </row>
    <row customHeight="1" ht="15.75" r="402" s="452" spans="1:40">
      <c r="A402" s="44" t="n"/>
      <c r="J402" s="404" t="n"/>
      <c r="N402" s="404" t="n"/>
      <c r="R402" s="404" t="n"/>
      <c r="AB402" s="537" t="n"/>
      <c r="AC402" s="537" t="n"/>
      <c r="AF402" s="537" t="n"/>
      <c r="AG402" s="537" t="n"/>
    </row>
    <row customHeight="1" ht="15.75" r="403" s="452" spans="1:40">
      <c r="A403" s="44" t="n"/>
      <c r="J403" s="404" t="n"/>
      <c r="N403" s="404" t="n"/>
      <c r="R403" s="404" t="n"/>
      <c r="AB403" s="537" t="n"/>
      <c r="AC403" s="537" t="n"/>
      <c r="AF403" s="537" t="n"/>
      <c r="AG403" s="537" t="n"/>
    </row>
    <row customHeight="1" ht="15.75" r="404" s="452" spans="1:40">
      <c r="A404" s="44" t="n"/>
      <c r="J404" s="404" t="n"/>
      <c r="N404" s="404" t="n"/>
      <c r="R404" s="404" t="n"/>
      <c r="AB404" s="537" t="n"/>
      <c r="AC404" s="537" t="n"/>
      <c r="AF404" s="537" t="n"/>
      <c r="AG404" s="537" t="n"/>
    </row>
    <row customHeight="1" ht="15.75" r="405" s="452" spans="1:40">
      <c r="A405" s="44" t="n"/>
      <c r="J405" s="404" t="n"/>
      <c r="N405" s="404" t="n"/>
      <c r="R405" s="404" t="n"/>
      <c r="AB405" s="537" t="n"/>
      <c r="AC405" s="537" t="n"/>
      <c r="AF405" s="537" t="n"/>
      <c r="AG405" s="537" t="n"/>
    </row>
    <row customHeight="1" ht="15.75" r="406" s="452" spans="1:40">
      <c r="A406" s="44" t="n"/>
      <c r="J406" s="404" t="n"/>
      <c r="N406" s="404" t="n"/>
      <c r="R406" s="404" t="n"/>
      <c r="AB406" s="537" t="n"/>
      <c r="AC406" s="537" t="n"/>
      <c r="AF406" s="537" t="n"/>
      <c r="AG406" s="537" t="n"/>
    </row>
    <row customHeight="1" ht="15.75" r="407" s="452" spans="1:40">
      <c r="A407" s="44" t="n"/>
      <c r="J407" s="404" t="n"/>
      <c r="N407" s="404" t="n"/>
      <c r="R407" s="404" t="n"/>
      <c r="AB407" s="537" t="n"/>
      <c r="AC407" s="537" t="n"/>
      <c r="AF407" s="537" t="n"/>
      <c r="AG407" s="537" t="n"/>
    </row>
    <row customHeight="1" ht="15.75" r="408" s="452" spans="1:40">
      <c r="A408" s="44" t="n"/>
      <c r="J408" s="404" t="n"/>
      <c r="N408" s="404" t="n"/>
      <c r="R408" s="404" t="n"/>
      <c r="AB408" s="537" t="n"/>
      <c r="AC408" s="537" t="n"/>
      <c r="AF408" s="537" t="n"/>
      <c r="AG408" s="537" t="n"/>
    </row>
    <row customHeight="1" ht="15.75" r="409" s="452" spans="1:40">
      <c r="A409" s="44" t="n"/>
      <c r="J409" s="404" t="n"/>
      <c r="N409" s="404" t="n"/>
      <c r="R409" s="404" t="n"/>
      <c r="AB409" s="537" t="n"/>
      <c r="AC409" s="537" t="n"/>
      <c r="AF409" s="537" t="n"/>
      <c r="AG409" s="537" t="n"/>
    </row>
    <row customHeight="1" ht="15.75" r="410" s="452" spans="1:40">
      <c r="A410" s="44" t="n"/>
      <c r="J410" s="404" t="n"/>
      <c r="N410" s="404" t="n"/>
      <c r="R410" s="404" t="n"/>
      <c r="AB410" s="537" t="n"/>
      <c r="AC410" s="537" t="n"/>
      <c r="AF410" s="537" t="n"/>
      <c r="AG410" s="537" t="n"/>
    </row>
    <row customHeight="1" ht="15.75" r="411" s="452" spans="1:40">
      <c r="A411" s="44" t="n"/>
      <c r="J411" s="404" t="n"/>
      <c r="N411" s="404" t="n"/>
      <c r="R411" s="404" t="n"/>
      <c r="AB411" s="537" t="n"/>
      <c r="AC411" s="537" t="n"/>
      <c r="AF411" s="537" t="n"/>
      <c r="AG411" s="537" t="n"/>
    </row>
    <row customHeight="1" ht="15.75" r="412" s="452" spans="1:40">
      <c r="A412" s="44" t="n"/>
      <c r="J412" s="404" t="n"/>
      <c r="N412" s="404" t="n"/>
      <c r="R412" s="404" t="n"/>
      <c r="AB412" s="537" t="n"/>
      <c r="AC412" s="537" t="n"/>
      <c r="AF412" s="537" t="n"/>
      <c r="AG412" s="537" t="n"/>
    </row>
    <row customHeight="1" ht="15.75" r="413" s="452" spans="1:40">
      <c r="A413" s="44" t="n"/>
      <c r="J413" s="404" t="n"/>
      <c r="N413" s="404" t="n"/>
      <c r="R413" s="404" t="n"/>
      <c r="AB413" s="537" t="n"/>
      <c r="AC413" s="537" t="n"/>
      <c r="AF413" s="537" t="n"/>
      <c r="AG413" s="537" t="n"/>
    </row>
    <row customHeight="1" ht="15.75" r="414" s="452" spans="1:40">
      <c r="A414" s="44" t="n"/>
      <c r="J414" s="404" t="n"/>
      <c r="N414" s="404" t="n"/>
      <c r="R414" s="404" t="n"/>
      <c r="AB414" s="537" t="n"/>
      <c r="AC414" s="537" t="n"/>
      <c r="AF414" s="537" t="n"/>
      <c r="AG414" s="537" t="n"/>
    </row>
    <row customHeight="1" ht="15.75" r="415" s="452" spans="1:40">
      <c r="A415" s="44" t="n"/>
      <c r="J415" s="404" t="n"/>
      <c r="N415" s="404" t="n"/>
      <c r="R415" s="404" t="n"/>
      <c r="AB415" s="537" t="n"/>
      <c r="AC415" s="537" t="n"/>
      <c r="AF415" s="537" t="n"/>
      <c r="AG415" s="537" t="n"/>
    </row>
    <row customHeight="1" ht="15.75" r="416" s="452" spans="1:40">
      <c r="A416" s="44" t="n"/>
      <c r="J416" s="404" t="n"/>
      <c r="N416" s="404" t="n"/>
      <c r="R416" s="404" t="n"/>
      <c r="AB416" s="537" t="n"/>
      <c r="AC416" s="537" t="n"/>
      <c r="AF416" s="537" t="n"/>
      <c r="AG416" s="537" t="n"/>
    </row>
    <row customHeight="1" ht="15.75" r="417" s="452" spans="1:40">
      <c r="A417" s="44" t="n"/>
      <c r="J417" s="404" t="n"/>
      <c r="N417" s="404" t="n"/>
      <c r="R417" s="404" t="n"/>
      <c r="AB417" s="537" t="n"/>
      <c r="AC417" s="537" t="n"/>
      <c r="AF417" s="537" t="n"/>
      <c r="AG417" s="537" t="n"/>
    </row>
    <row customHeight="1" ht="15.75" r="418" s="452" spans="1:40">
      <c r="A418" s="44" t="n"/>
      <c r="J418" s="404" t="n"/>
      <c r="N418" s="404" t="n"/>
      <c r="R418" s="404" t="n"/>
      <c r="AB418" s="537" t="n"/>
      <c r="AC418" s="537" t="n"/>
      <c r="AF418" s="537" t="n"/>
      <c r="AG418" s="537" t="n"/>
    </row>
    <row customHeight="1" ht="15.75" r="419" s="452" spans="1:40">
      <c r="A419" s="44" t="n"/>
      <c r="J419" s="404" t="n"/>
      <c r="N419" s="404" t="n"/>
      <c r="R419" s="404" t="n"/>
      <c r="AB419" s="537" t="n"/>
      <c r="AC419" s="537" t="n"/>
      <c r="AF419" s="537" t="n"/>
      <c r="AG419" s="537" t="n"/>
    </row>
    <row customHeight="1" ht="15.75" r="420" s="452" spans="1:40">
      <c r="A420" s="44" t="n"/>
      <c r="J420" s="404" t="n"/>
      <c r="N420" s="404" t="n"/>
      <c r="R420" s="404" t="n"/>
      <c r="AB420" s="537" t="n"/>
      <c r="AC420" s="537" t="n"/>
      <c r="AF420" s="537" t="n"/>
      <c r="AG420" s="537" t="n"/>
    </row>
    <row customHeight="1" ht="15.75" r="421" s="452" spans="1:40">
      <c r="A421" s="44" t="n"/>
      <c r="J421" s="404" t="n"/>
      <c r="N421" s="404" t="n"/>
      <c r="R421" s="404" t="n"/>
      <c r="AB421" s="537" t="n"/>
      <c r="AC421" s="537" t="n"/>
      <c r="AF421" s="537" t="n"/>
      <c r="AG421" s="537" t="n"/>
    </row>
    <row customHeight="1" ht="15.75" r="422" s="452" spans="1:40">
      <c r="A422" s="44" t="n"/>
      <c r="J422" s="404" t="n"/>
      <c r="N422" s="404" t="n"/>
      <c r="R422" s="404" t="n"/>
      <c r="AB422" s="537" t="n"/>
      <c r="AC422" s="537" t="n"/>
      <c r="AF422" s="537" t="n"/>
      <c r="AG422" s="537" t="n"/>
    </row>
    <row customHeight="1" ht="15.75" r="423" s="452" spans="1:40">
      <c r="A423" s="44" t="n"/>
      <c r="J423" s="404" t="n"/>
      <c r="N423" s="404" t="n"/>
      <c r="R423" s="404" t="n"/>
      <c r="AB423" s="537" t="n"/>
      <c r="AC423" s="537" t="n"/>
      <c r="AF423" s="537" t="n"/>
      <c r="AG423" s="537" t="n"/>
    </row>
    <row customHeight="1" ht="15.75" r="424" s="452" spans="1:40">
      <c r="A424" s="44" t="n"/>
      <c r="J424" s="404" t="n"/>
      <c r="N424" s="404" t="n"/>
      <c r="R424" s="404" t="n"/>
      <c r="AB424" s="537" t="n"/>
      <c r="AC424" s="537" t="n"/>
      <c r="AF424" s="537" t="n"/>
      <c r="AG424" s="537" t="n"/>
    </row>
    <row customHeight="1" ht="15.75" r="425" s="452" spans="1:40">
      <c r="A425" s="44" t="n"/>
      <c r="J425" s="404" t="n"/>
      <c r="N425" s="404" t="n"/>
      <c r="R425" s="404" t="n"/>
      <c r="AB425" s="537" t="n"/>
      <c r="AC425" s="537" t="n"/>
      <c r="AF425" s="537" t="n"/>
      <c r="AG425" s="537" t="n"/>
    </row>
    <row customHeight="1" ht="15.75" r="426" s="452" spans="1:40">
      <c r="A426" s="44" t="n"/>
      <c r="J426" s="404" t="n"/>
      <c r="N426" s="404" t="n"/>
      <c r="R426" s="404" t="n"/>
      <c r="AB426" s="537" t="n"/>
      <c r="AC426" s="537" t="n"/>
      <c r="AF426" s="537" t="n"/>
      <c r="AG426" s="537" t="n"/>
    </row>
    <row customHeight="1" ht="15.75" r="427" s="452" spans="1:40">
      <c r="A427" s="44" t="n"/>
      <c r="J427" s="404" t="n"/>
      <c r="N427" s="404" t="n"/>
      <c r="R427" s="404" t="n"/>
      <c r="AB427" s="537" t="n"/>
      <c r="AC427" s="537" t="n"/>
      <c r="AF427" s="537" t="n"/>
      <c r="AG427" s="537" t="n"/>
    </row>
    <row customHeight="1" ht="15.75" r="428" s="452" spans="1:40">
      <c r="A428" s="44" t="n"/>
      <c r="J428" s="404" t="n"/>
      <c r="N428" s="404" t="n"/>
      <c r="R428" s="404" t="n"/>
      <c r="AB428" s="537" t="n"/>
      <c r="AC428" s="537" t="n"/>
      <c r="AF428" s="537" t="n"/>
      <c r="AG428" s="537" t="n"/>
    </row>
    <row customHeight="1" ht="15.75" r="429" s="452" spans="1:40">
      <c r="A429" s="44" t="n"/>
      <c r="J429" s="404" t="n"/>
      <c r="N429" s="404" t="n"/>
      <c r="R429" s="404" t="n"/>
      <c r="AB429" s="537" t="n"/>
      <c r="AC429" s="537" t="n"/>
      <c r="AF429" s="537" t="n"/>
      <c r="AG429" s="537" t="n"/>
    </row>
    <row customHeight="1" ht="15.75" r="430" s="452" spans="1:40">
      <c r="A430" s="44" t="n"/>
      <c r="J430" s="404" t="n"/>
      <c r="N430" s="404" t="n"/>
      <c r="R430" s="404" t="n"/>
      <c r="AB430" s="537" t="n"/>
      <c r="AC430" s="537" t="n"/>
      <c r="AF430" s="537" t="n"/>
      <c r="AG430" s="537" t="n"/>
    </row>
    <row customHeight="1" ht="15.75" r="431" s="452" spans="1:40">
      <c r="A431" s="44" t="n"/>
      <c r="J431" s="404" t="n"/>
      <c r="N431" s="404" t="n"/>
      <c r="R431" s="404" t="n"/>
      <c r="AB431" s="537" t="n"/>
      <c r="AC431" s="537" t="n"/>
      <c r="AF431" s="537" t="n"/>
      <c r="AG431" s="537" t="n"/>
    </row>
    <row customHeight="1" ht="15.75" r="432" s="452" spans="1:40">
      <c r="A432" s="44" t="n"/>
      <c r="J432" s="404" t="n"/>
      <c r="N432" s="404" t="n"/>
      <c r="R432" s="404" t="n"/>
      <c r="AB432" s="537" t="n"/>
      <c r="AC432" s="537" t="n"/>
      <c r="AF432" s="537" t="n"/>
      <c r="AG432" s="537" t="n"/>
    </row>
    <row customHeight="1" ht="15.75" r="433" s="452" spans="1:40">
      <c r="A433" s="44" t="n"/>
      <c r="J433" s="404" t="n"/>
      <c r="N433" s="404" t="n"/>
      <c r="R433" s="404" t="n"/>
      <c r="AB433" s="537" t="n"/>
      <c r="AC433" s="537" t="n"/>
      <c r="AF433" s="537" t="n"/>
      <c r="AG433" s="537" t="n"/>
    </row>
    <row customHeight="1" ht="15.75" r="434" s="452" spans="1:40">
      <c r="A434" s="44" t="n"/>
      <c r="J434" s="404" t="n"/>
      <c r="N434" s="404" t="n"/>
      <c r="R434" s="404" t="n"/>
      <c r="AB434" s="537" t="n"/>
      <c r="AC434" s="537" t="n"/>
      <c r="AF434" s="537" t="n"/>
      <c r="AG434" s="537" t="n"/>
    </row>
    <row customHeight="1" ht="15.75" r="435" s="452" spans="1:40">
      <c r="A435" s="44" t="n"/>
      <c r="J435" s="404" t="n"/>
      <c r="N435" s="404" t="n"/>
      <c r="R435" s="404" t="n"/>
      <c r="AB435" s="537" t="n"/>
      <c r="AC435" s="537" t="n"/>
      <c r="AF435" s="537" t="n"/>
      <c r="AG435" s="537" t="n"/>
    </row>
    <row customHeight="1" ht="15.75" r="436" s="452" spans="1:40">
      <c r="A436" s="44" t="n"/>
      <c r="J436" s="404" t="n"/>
      <c r="N436" s="404" t="n"/>
      <c r="R436" s="404" t="n"/>
      <c r="AB436" s="537" t="n"/>
      <c r="AC436" s="537" t="n"/>
      <c r="AF436" s="537" t="n"/>
      <c r="AG436" s="537" t="n"/>
    </row>
    <row customHeight="1" ht="15.75" r="437" s="452" spans="1:40">
      <c r="A437" s="44" t="n"/>
      <c r="J437" s="404" t="n"/>
      <c r="N437" s="404" t="n"/>
      <c r="R437" s="404" t="n"/>
      <c r="AB437" s="537" t="n"/>
      <c r="AC437" s="537" t="n"/>
      <c r="AF437" s="537" t="n"/>
      <c r="AG437" s="537" t="n"/>
    </row>
    <row customHeight="1" ht="15.75" r="438" s="452" spans="1:40">
      <c r="A438" s="44" t="n"/>
      <c r="J438" s="404" t="n"/>
      <c r="N438" s="404" t="n"/>
      <c r="R438" s="404" t="n"/>
      <c r="AB438" s="537" t="n"/>
      <c r="AC438" s="537" t="n"/>
      <c r="AF438" s="537" t="n"/>
      <c r="AG438" s="537" t="n"/>
    </row>
    <row customHeight="1" ht="15.75" r="439" s="452" spans="1:40">
      <c r="A439" s="44" t="n"/>
      <c r="J439" s="404" t="n"/>
      <c r="N439" s="404" t="n"/>
      <c r="R439" s="404" t="n"/>
      <c r="AB439" s="537" t="n"/>
      <c r="AC439" s="537" t="n"/>
      <c r="AF439" s="537" t="n"/>
      <c r="AG439" s="537" t="n"/>
    </row>
    <row customHeight="1" ht="15.75" r="440" s="452" spans="1:40">
      <c r="A440" s="44" t="n"/>
      <c r="J440" s="404" t="n"/>
      <c r="N440" s="404" t="n"/>
      <c r="R440" s="404" t="n"/>
      <c r="AB440" s="537" t="n"/>
      <c r="AC440" s="537" t="n"/>
      <c r="AF440" s="537" t="n"/>
      <c r="AG440" s="537" t="n"/>
    </row>
    <row customHeight="1" ht="15.75" r="441" s="452" spans="1:40">
      <c r="A441" s="44" t="n"/>
      <c r="J441" s="404" t="n"/>
      <c r="N441" s="404" t="n"/>
      <c r="R441" s="404" t="n"/>
      <c r="AB441" s="537" t="n"/>
      <c r="AC441" s="537" t="n"/>
      <c r="AF441" s="537" t="n"/>
      <c r="AG441" s="537" t="n"/>
    </row>
    <row customHeight="1" ht="15.75" r="442" s="452" spans="1:40">
      <c r="A442" s="44" t="n"/>
      <c r="J442" s="404" t="n"/>
      <c r="N442" s="404" t="n"/>
      <c r="R442" s="404" t="n"/>
      <c r="AB442" s="537" t="n"/>
      <c r="AC442" s="537" t="n"/>
      <c r="AF442" s="537" t="n"/>
      <c r="AG442" s="537" t="n"/>
    </row>
    <row customHeight="1" ht="15.75" r="443" s="452" spans="1:40">
      <c r="A443" s="44" t="n"/>
      <c r="J443" s="404" t="n"/>
      <c r="N443" s="404" t="n"/>
      <c r="R443" s="404" t="n"/>
      <c r="AB443" s="537" t="n"/>
      <c r="AC443" s="537" t="n"/>
      <c r="AF443" s="537" t="n"/>
      <c r="AG443" s="537" t="n"/>
    </row>
    <row customHeight="1" ht="15.75" r="444" s="452" spans="1:40">
      <c r="A444" s="44" t="n"/>
      <c r="J444" s="404" t="n"/>
      <c r="N444" s="404" t="n"/>
      <c r="R444" s="404" t="n"/>
      <c r="AB444" s="537" t="n"/>
      <c r="AC444" s="537" t="n"/>
      <c r="AF444" s="537" t="n"/>
      <c r="AG444" s="537" t="n"/>
    </row>
    <row customHeight="1" ht="15.75" r="445" s="452" spans="1:40">
      <c r="A445" s="44" t="n"/>
      <c r="J445" s="404" t="n"/>
      <c r="N445" s="404" t="n"/>
      <c r="R445" s="404" t="n"/>
      <c r="AB445" s="537" t="n"/>
      <c r="AC445" s="537" t="n"/>
      <c r="AF445" s="537" t="n"/>
      <c r="AG445" s="537" t="n"/>
    </row>
    <row customHeight="1" ht="15.75" r="446" s="452" spans="1:40">
      <c r="A446" s="44" t="n"/>
      <c r="J446" s="404" t="n"/>
      <c r="N446" s="404" t="n"/>
      <c r="R446" s="404" t="n"/>
      <c r="AB446" s="537" t="n"/>
      <c r="AC446" s="537" t="n"/>
      <c r="AF446" s="537" t="n"/>
      <c r="AG446" s="537" t="n"/>
    </row>
    <row customHeight="1" ht="15.75" r="447" s="452" spans="1:40">
      <c r="A447" s="44" t="n"/>
      <c r="J447" s="404" t="n"/>
      <c r="N447" s="404" t="n"/>
      <c r="R447" s="404" t="n"/>
      <c r="AB447" s="537" t="n"/>
      <c r="AC447" s="537" t="n"/>
      <c r="AF447" s="537" t="n"/>
      <c r="AG447" s="537" t="n"/>
    </row>
    <row customHeight="1" ht="15.75" r="448" s="452" spans="1:40">
      <c r="A448" s="44" t="n"/>
      <c r="J448" s="404" t="n"/>
      <c r="N448" s="404" t="n"/>
      <c r="R448" s="404" t="n"/>
      <c r="AB448" s="537" t="n"/>
      <c r="AC448" s="537" t="n"/>
      <c r="AF448" s="537" t="n"/>
      <c r="AG448" s="537" t="n"/>
    </row>
    <row customHeight="1" ht="15.75" r="449" s="452" spans="1:40">
      <c r="A449" s="44" t="n"/>
      <c r="J449" s="404" t="n"/>
      <c r="N449" s="404" t="n"/>
      <c r="R449" s="404" t="n"/>
      <c r="AB449" s="537" t="n"/>
      <c r="AC449" s="537" t="n"/>
      <c r="AF449" s="537" t="n"/>
      <c r="AG449" s="537" t="n"/>
    </row>
    <row customHeight="1" ht="15.75" r="450" s="452" spans="1:40">
      <c r="A450" s="44" t="n"/>
      <c r="J450" s="404" t="n"/>
      <c r="N450" s="404" t="n"/>
      <c r="R450" s="404" t="n"/>
      <c r="AB450" s="537" t="n"/>
      <c r="AC450" s="537" t="n"/>
      <c r="AF450" s="537" t="n"/>
      <c r="AG450" s="537" t="n"/>
    </row>
    <row customHeight="1" ht="15.75" r="451" s="452" spans="1:40">
      <c r="A451" s="44" t="n"/>
      <c r="J451" s="404" t="n"/>
      <c r="N451" s="404" t="n"/>
      <c r="R451" s="404" t="n"/>
      <c r="AB451" s="537" t="n"/>
      <c r="AC451" s="537" t="n"/>
      <c r="AF451" s="537" t="n"/>
      <c r="AG451" s="537" t="n"/>
    </row>
    <row customHeight="1" ht="15.75" r="452" s="452" spans="1:40">
      <c r="A452" s="44" t="n"/>
      <c r="J452" s="404" t="n"/>
      <c r="N452" s="404" t="n"/>
      <c r="R452" s="404" t="n"/>
      <c r="AB452" s="537" t="n"/>
      <c r="AC452" s="537" t="n"/>
      <c r="AF452" s="537" t="n"/>
      <c r="AG452" s="537" t="n"/>
    </row>
    <row customHeight="1" ht="15.75" r="453" s="452" spans="1:40">
      <c r="A453" s="44" t="n"/>
      <c r="J453" s="404" t="n"/>
      <c r="N453" s="404" t="n"/>
      <c r="R453" s="404" t="n"/>
      <c r="AB453" s="537" t="n"/>
      <c r="AC453" s="537" t="n"/>
      <c r="AF453" s="537" t="n"/>
      <c r="AG453" s="537" t="n"/>
    </row>
    <row customHeight="1" ht="15.75" r="454" s="452" spans="1:40">
      <c r="A454" s="44" t="n"/>
      <c r="J454" s="404" t="n"/>
      <c r="N454" s="404" t="n"/>
      <c r="R454" s="404" t="n"/>
      <c r="AB454" s="537" t="n"/>
      <c r="AC454" s="537" t="n"/>
      <c r="AF454" s="537" t="n"/>
      <c r="AG454" s="537" t="n"/>
    </row>
    <row customHeight="1" ht="15.75" r="455" s="452" spans="1:40">
      <c r="A455" s="44" t="n"/>
      <c r="J455" s="404" t="n"/>
      <c r="N455" s="404" t="n"/>
      <c r="R455" s="404" t="n"/>
      <c r="AB455" s="537" t="n"/>
      <c r="AC455" s="537" t="n"/>
      <c r="AF455" s="537" t="n"/>
      <c r="AG455" s="537" t="n"/>
    </row>
    <row customHeight="1" ht="15.75" r="456" s="452" spans="1:40">
      <c r="A456" s="44" t="n"/>
      <c r="J456" s="404" t="n"/>
      <c r="N456" s="404" t="n"/>
      <c r="R456" s="404" t="n"/>
      <c r="AB456" s="537" t="n"/>
      <c r="AC456" s="537" t="n"/>
      <c r="AF456" s="537" t="n"/>
      <c r="AG456" s="537" t="n"/>
    </row>
    <row customHeight="1" ht="15.75" r="457" s="452" spans="1:40">
      <c r="A457" s="44" t="n"/>
      <c r="J457" s="404" t="n"/>
      <c r="N457" s="404" t="n"/>
      <c r="R457" s="404" t="n"/>
      <c r="AB457" s="537" t="n"/>
      <c r="AC457" s="537" t="n"/>
      <c r="AF457" s="537" t="n"/>
      <c r="AG457" s="537" t="n"/>
    </row>
    <row customHeight="1" ht="15.75" r="458" s="452" spans="1:40">
      <c r="A458" s="44" t="n"/>
      <c r="J458" s="404" t="n"/>
      <c r="N458" s="404" t="n"/>
      <c r="R458" s="404" t="n"/>
      <c r="AB458" s="537" t="n"/>
      <c r="AC458" s="537" t="n"/>
      <c r="AF458" s="537" t="n"/>
      <c r="AG458" s="537" t="n"/>
    </row>
    <row customHeight="1" ht="15.75" r="459" s="452" spans="1:40">
      <c r="A459" s="44" t="n"/>
      <c r="J459" s="404" t="n"/>
      <c r="N459" s="404" t="n"/>
      <c r="R459" s="404" t="n"/>
      <c r="AB459" s="537" t="n"/>
      <c r="AC459" s="537" t="n"/>
      <c r="AF459" s="537" t="n"/>
      <c r="AG459" s="537" t="n"/>
    </row>
    <row customHeight="1" ht="15.75" r="460" s="452" spans="1:40">
      <c r="A460" s="44" t="n"/>
      <c r="J460" s="404" t="n"/>
      <c r="N460" s="404" t="n"/>
      <c r="R460" s="404" t="n"/>
      <c r="AB460" s="537" t="n"/>
      <c r="AC460" s="537" t="n"/>
      <c r="AF460" s="537" t="n"/>
      <c r="AG460" s="537" t="n"/>
    </row>
    <row customHeight="1" ht="15.75" r="461" s="452" spans="1:40">
      <c r="A461" s="44" t="n"/>
      <c r="J461" s="404" t="n"/>
      <c r="N461" s="404" t="n"/>
      <c r="R461" s="404" t="n"/>
      <c r="AB461" s="537" t="n"/>
      <c r="AC461" s="537" t="n"/>
      <c r="AF461" s="537" t="n"/>
      <c r="AG461" s="537" t="n"/>
    </row>
    <row customHeight="1" ht="15.75" r="462" s="452" spans="1:40">
      <c r="A462" s="44" t="n"/>
      <c r="J462" s="404" t="n"/>
      <c r="N462" s="404" t="n"/>
      <c r="R462" s="404" t="n"/>
      <c r="AB462" s="537" t="n"/>
      <c r="AC462" s="537" t="n"/>
      <c r="AF462" s="537" t="n"/>
      <c r="AG462" s="537" t="n"/>
    </row>
    <row customHeight="1" ht="15.75" r="463" s="452" spans="1:40">
      <c r="A463" s="44" t="n"/>
      <c r="J463" s="404" t="n"/>
      <c r="N463" s="404" t="n"/>
      <c r="R463" s="404" t="n"/>
      <c r="AB463" s="537" t="n"/>
      <c r="AC463" s="537" t="n"/>
      <c r="AF463" s="537" t="n"/>
      <c r="AG463" s="537" t="n"/>
    </row>
    <row customHeight="1" ht="15.75" r="464" s="452" spans="1:40">
      <c r="A464" s="44" t="n"/>
      <c r="J464" s="404" t="n"/>
      <c r="N464" s="404" t="n"/>
      <c r="R464" s="404" t="n"/>
      <c r="AB464" s="537" t="n"/>
      <c r="AC464" s="537" t="n"/>
      <c r="AF464" s="537" t="n"/>
      <c r="AG464" s="537" t="n"/>
    </row>
    <row customHeight="1" ht="15.75" r="465" s="452" spans="1:40">
      <c r="A465" s="44" t="n"/>
      <c r="J465" s="404" t="n"/>
      <c r="N465" s="404" t="n"/>
      <c r="R465" s="404" t="n"/>
      <c r="AB465" s="537" t="n"/>
      <c r="AC465" s="537" t="n"/>
      <c r="AF465" s="537" t="n"/>
      <c r="AG465" s="537" t="n"/>
    </row>
    <row customHeight="1" ht="15.75" r="466" s="452" spans="1:40">
      <c r="A466" s="44" t="n"/>
      <c r="J466" s="404" t="n"/>
      <c r="N466" s="404" t="n"/>
      <c r="R466" s="404" t="n"/>
      <c r="AB466" s="537" t="n"/>
      <c r="AC466" s="537" t="n"/>
      <c r="AF466" s="537" t="n"/>
      <c r="AG466" s="537" t="n"/>
    </row>
    <row customHeight="1" ht="15.75" r="467" s="452" spans="1:40">
      <c r="A467" s="44" t="n"/>
      <c r="J467" s="404" t="n"/>
      <c r="N467" s="404" t="n"/>
      <c r="R467" s="404" t="n"/>
      <c r="AB467" s="537" t="n"/>
      <c r="AC467" s="537" t="n"/>
      <c r="AF467" s="537" t="n"/>
      <c r="AG467" s="537" t="n"/>
    </row>
    <row customHeight="1" ht="15.75" r="468" s="452" spans="1:40">
      <c r="A468" s="44" t="n"/>
      <c r="J468" s="404" t="n"/>
      <c r="N468" s="404" t="n"/>
      <c r="R468" s="404" t="n"/>
      <c r="AB468" s="537" t="n"/>
      <c r="AC468" s="537" t="n"/>
      <c r="AF468" s="537" t="n"/>
      <c r="AG468" s="537" t="n"/>
    </row>
    <row customHeight="1" ht="15.75" r="469" s="452" spans="1:40">
      <c r="A469" s="44" t="n"/>
      <c r="J469" s="404" t="n"/>
      <c r="N469" s="404" t="n"/>
      <c r="R469" s="404" t="n"/>
      <c r="AB469" s="537" t="n"/>
      <c r="AC469" s="537" t="n"/>
      <c r="AF469" s="537" t="n"/>
      <c r="AG469" s="537" t="n"/>
    </row>
    <row customHeight="1" ht="15.75" r="470" s="452" spans="1:40">
      <c r="A470" s="44" t="n"/>
      <c r="J470" s="404" t="n"/>
      <c r="N470" s="404" t="n"/>
      <c r="R470" s="404" t="n"/>
      <c r="AB470" s="537" t="n"/>
      <c r="AC470" s="537" t="n"/>
      <c r="AF470" s="537" t="n"/>
      <c r="AG470" s="537" t="n"/>
    </row>
    <row customHeight="1" ht="15.75" r="471" s="452" spans="1:40">
      <c r="A471" s="44" t="n"/>
      <c r="J471" s="404" t="n"/>
      <c r="N471" s="404" t="n"/>
      <c r="R471" s="404" t="n"/>
      <c r="AB471" s="537" t="n"/>
      <c r="AC471" s="537" t="n"/>
      <c r="AF471" s="537" t="n"/>
      <c r="AG471" s="537" t="n"/>
    </row>
    <row customHeight="1" ht="15.75" r="472" s="452" spans="1:40">
      <c r="A472" s="44" t="n"/>
      <c r="J472" s="404" t="n"/>
      <c r="N472" s="404" t="n"/>
      <c r="R472" s="404" t="n"/>
      <c r="AB472" s="537" t="n"/>
      <c r="AC472" s="537" t="n"/>
      <c r="AF472" s="537" t="n"/>
      <c r="AG472" s="537" t="n"/>
    </row>
    <row customHeight="1" ht="15.75" r="473" s="452" spans="1:40">
      <c r="A473" s="44" t="n"/>
      <c r="J473" s="404" t="n"/>
      <c r="N473" s="404" t="n"/>
      <c r="R473" s="404" t="n"/>
      <c r="AB473" s="537" t="n"/>
      <c r="AC473" s="537" t="n"/>
      <c r="AF473" s="537" t="n"/>
      <c r="AG473" s="537" t="n"/>
    </row>
    <row customHeight="1" ht="15.75" r="474" s="452" spans="1:40">
      <c r="A474" s="44" t="n"/>
      <c r="J474" s="404" t="n"/>
      <c r="N474" s="404" t="n"/>
      <c r="R474" s="404" t="n"/>
      <c r="AB474" s="537" t="n"/>
      <c r="AC474" s="537" t="n"/>
      <c r="AF474" s="537" t="n"/>
      <c r="AG474" s="537" t="n"/>
    </row>
    <row customHeight="1" ht="15.75" r="475" s="452" spans="1:40">
      <c r="A475" s="44" t="n"/>
      <c r="J475" s="404" t="n"/>
      <c r="N475" s="404" t="n"/>
      <c r="R475" s="404" t="n"/>
      <c r="AB475" s="537" t="n"/>
      <c r="AC475" s="537" t="n"/>
      <c r="AF475" s="537" t="n"/>
      <c r="AG475" s="537" t="n"/>
    </row>
    <row customHeight="1" ht="15.75" r="476" s="452" spans="1:40">
      <c r="A476" s="44" t="n"/>
      <c r="J476" s="404" t="n"/>
      <c r="N476" s="404" t="n"/>
      <c r="R476" s="404" t="n"/>
      <c r="AB476" s="537" t="n"/>
      <c r="AC476" s="537" t="n"/>
      <c r="AF476" s="537" t="n"/>
      <c r="AG476" s="537" t="n"/>
    </row>
    <row customHeight="1" ht="15.75" r="477" s="452" spans="1:40">
      <c r="A477" s="44" t="n"/>
      <c r="J477" s="404" t="n"/>
      <c r="N477" s="404" t="n"/>
      <c r="R477" s="404" t="n"/>
      <c r="AB477" s="537" t="n"/>
      <c r="AC477" s="537" t="n"/>
      <c r="AF477" s="537" t="n"/>
      <c r="AG477" s="537" t="n"/>
    </row>
    <row customHeight="1" ht="15.75" r="478" s="452" spans="1:40">
      <c r="A478" s="44" t="n"/>
      <c r="J478" s="404" t="n"/>
      <c r="N478" s="404" t="n"/>
      <c r="R478" s="404" t="n"/>
      <c r="AB478" s="537" t="n"/>
      <c r="AC478" s="537" t="n"/>
      <c r="AF478" s="537" t="n"/>
      <c r="AG478" s="537" t="n"/>
    </row>
    <row customHeight="1" ht="15.75" r="479" s="452" spans="1:40">
      <c r="A479" s="44" t="n"/>
      <c r="J479" s="404" t="n"/>
      <c r="N479" s="404" t="n"/>
      <c r="R479" s="404" t="n"/>
      <c r="AB479" s="537" t="n"/>
      <c r="AC479" s="537" t="n"/>
      <c r="AF479" s="537" t="n"/>
      <c r="AG479" s="537" t="n"/>
    </row>
    <row customHeight="1" ht="15.75" r="480" s="452" spans="1:40">
      <c r="A480" s="44" t="n"/>
      <c r="J480" s="404" t="n"/>
      <c r="N480" s="404" t="n"/>
      <c r="R480" s="404" t="n"/>
      <c r="AB480" s="537" t="n"/>
      <c r="AC480" s="537" t="n"/>
      <c r="AF480" s="537" t="n"/>
      <c r="AG480" s="537" t="n"/>
    </row>
    <row customHeight="1" ht="15.75" r="481" s="452" spans="1:40">
      <c r="A481" s="44" t="n"/>
      <c r="J481" s="404" t="n"/>
      <c r="N481" s="404" t="n"/>
      <c r="R481" s="404" t="n"/>
      <c r="AB481" s="537" t="n"/>
      <c r="AC481" s="537" t="n"/>
      <c r="AF481" s="537" t="n"/>
      <c r="AG481" s="537" t="n"/>
    </row>
    <row customHeight="1" ht="15.75" r="482" s="452" spans="1:40">
      <c r="A482" s="44" t="n"/>
      <c r="J482" s="404" t="n"/>
      <c r="N482" s="404" t="n"/>
      <c r="R482" s="404" t="n"/>
      <c r="AB482" s="537" t="n"/>
      <c r="AC482" s="537" t="n"/>
      <c r="AF482" s="537" t="n"/>
      <c r="AG482" s="537" t="n"/>
    </row>
    <row customHeight="1" ht="15.75" r="483" s="452" spans="1:40">
      <c r="A483" s="44" t="n"/>
      <c r="J483" s="404" t="n"/>
      <c r="N483" s="404" t="n"/>
      <c r="R483" s="404" t="n"/>
      <c r="AB483" s="537" t="n"/>
      <c r="AC483" s="537" t="n"/>
      <c r="AF483" s="537" t="n"/>
      <c r="AG483" s="537" t="n"/>
    </row>
    <row customHeight="1" ht="15.75" r="484" s="452" spans="1:40">
      <c r="A484" s="44" t="n"/>
      <c r="J484" s="404" t="n"/>
      <c r="N484" s="404" t="n"/>
      <c r="R484" s="404" t="n"/>
      <c r="AB484" s="537" t="n"/>
      <c r="AC484" s="537" t="n"/>
      <c r="AF484" s="537" t="n"/>
      <c r="AG484" s="537" t="n"/>
    </row>
    <row customHeight="1" ht="15.75" r="485" s="452" spans="1:40">
      <c r="A485" s="44" t="n"/>
      <c r="J485" s="404" t="n"/>
      <c r="N485" s="404" t="n"/>
      <c r="R485" s="404" t="n"/>
      <c r="AB485" s="537" t="n"/>
      <c r="AC485" s="537" t="n"/>
      <c r="AF485" s="537" t="n"/>
      <c r="AG485" s="537" t="n"/>
    </row>
    <row customHeight="1" ht="15.75" r="486" s="452" spans="1:40">
      <c r="A486" s="44" t="n"/>
      <c r="J486" s="404" t="n"/>
      <c r="N486" s="404" t="n"/>
      <c r="R486" s="404" t="n"/>
      <c r="AB486" s="537" t="n"/>
      <c r="AC486" s="537" t="n"/>
      <c r="AF486" s="537" t="n"/>
      <c r="AG486" s="537" t="n"/>
    </row>
    <row customHeight="1" ht="15.75" r="487" s="452" spans="1:40">
      <c r="A487" s="44" t="n"/>
      <c r="J487" s="404" t="n"/>
      <c r="N487" s="404" t="n"/>
      <c r="R487" s="404" t="n"/>
      <c r="AB487" s="537" t="n"/>
      <c r="AC487" s="537" t="n"/>
      <c r="AF487" s="537" t="n"/>
      <c r="AG487" s="537" t="n"/>
    </row>
    <row customHeight="1" ht="15.75" r="488" s="452" spans="1:40">
      <c r="A488" s="44" t="n"/>
      <c r="J488" s="404" t="n"/>
      <c r="N488" s="404" t="n"/>
      <c r="R488" s="404" t="n"/>
      <c r="AB488" s="537" t="n"/>
      <c r="AC488" s="537" t="n"/>
      <c r="AF488" s="537" t="n"/>
      <c r="AG488" s="537" t="n"/>
    </row>
    <row customHeight="1" ht="15.75" r="489" s="452" spans="1:40">
      <c r="A489" s="44" t="n"/>
      <c r="J489" s="404" t="n"/>
      <c r="N489" s="404" t="n"/>
      <c r="R489" s="404" t="n"/>
      <c r="AB489" s="537" t="n"/>
      <c r="AC489" s="537" t="n"/>
      <c r="AF489" s="537" t="n"/>
      <c r="AG489" s="537" t="n"/>
    </row>
    <row customHeight="1" ht="15.75" r="490" s="452" spans="1:40">
      <c r="A490" s="44" t="n"/>
      <c r="J490" s="404" t="n"/>
      <c r="N490" s="404" t="n"/>
      <c r="R490" s="404" t="n"/>
      <c r="AB490" s="537" t="n"/>
      <c r="AC490" s="537" t="n"/>
      <c r="AF490" s="537" t="n"/>
      <c r="AG490" s="537" t="n"/>
    </row>
    <row customHeight="1" ht="15.75" r="491" s="452" spans="1:40">
      <c r="A491" s="44" t="n"/>
      <c r="J491" s="404" t="n"/>
      <c r="N491" s="404" t="n"/>
      <c r="R491" s="404" t="n"/>
      <c r="AB491" s="537" t="n"/>
      <c r="AC491" s="537" t="n"/>
      <c r="AF491" s="537" t="n"/>
      <c r="AG491" s="537" t="n"/>
    </row>
    <row customHeight="1" ht="15.75" r="492" s="452" spans="1:40">
      <c r="A492" s="44" t="n"/>
      <c r="J492" s="404" t="n"/>
      <c r="N492" s="404" t="n"/>
      <c r="R492" s="404" t="n"/>
      <c r="AB492" s="537" t="n"/>
      <c r="AC492" s="537" t="n"/>
      <c r="AF492" s="537" t="n"/>
      <c r="AG492" s="537" t="n"/>
    </row>
    <row customHeight="1" ht="15.75" r="493" s="452" spans="1:40">
      <c r="A493" s="44" t="n"/>
      <c r="J493" s="404" t="n"/>
      <c r="N493" s="404" t="n"/>
      <c r="R493" s="404" t="n"/>
      <c r="AB493" s="537" t="n"/>
      <c r="AC493" s="537" t="n"/>
      <c r="AF493" s="537" t="n"/>
      <c r="AG493" s="537" t="n"/>
    </row>
    <row customHeight="1" ht="15.75" r="494" s="452" spans="1:40">
      <c r="A494" s="44" t="n"/>
      <c r="J494" s="404" t="n"/>
      <c r="N494" s="404" t="n"/>
      <c r="R494" s="404" t="n"/>
      <c r="AB494" s="537" t="n"/>
      <c r="AC494" s="537" t="n"/>
      <c r="AF494" s="537" t="n"/>
      <c r="AG494" s="537" t="n"/>
    </row>
    <row customHeight="1" ht="15.75" r="495" s="452" spans="1:40">
      <c r="A495" s="44" t="n"/>
      <c r="J495" s="404" t="n"/>
      <c r="N495" s="404" t="n"/>
      <c r="R495" s="404" t="n"/>
      <c r="AB495" s="537" t="n"/>
      <c r="AC495" s="537" t="n"/>
      <c r="AF495" s="537" t="n"/>
      <c r="AG495" s="537" t="n"/>
    </row>
    <row customHeight="1" ht="15.75" r="496" s="452" spans="1:40">
      <c r="A496" s="44" t="n"/>
      <c r="J496" s="404" t="n"/>
      <c r="N496" s="404" t="n"/>
      <c r="R496" s="404" t="n"/>
      <c r="AB496" s="537" t="n"/>
      <c r="AC496" s="537" t="n"/>
      <c r="AF496" s="537" t="n"/>
      <c r="AG496" s="537" t="n"/>
    </row>
    <row customHeight="1" ht="15.75" r="497" s="452" spans="1:40">
      <c r="A497" s="44" t="n"/>
      <c r="J497" s="404" t="n"/>
      <c r="N497" s="404" t="n"/>
      <c r="R497" s="404" t="n"/>
      <c r="AB497" s="537" t="n"/>
      <c r="AC497" s="537" t="n"/>
      <c r="AF497" s="537" t="n"/>
      <c r="AG497" s="537" t="n"/>
    </row>
    <row customHeight="1" ht="15.75" r="498" s="452" spans="1:40">
      <c r="A498" s="44" t="n"/>
      <c r="J498" s="404" t="n"/>
      <c r="N498" s="404" t="n"/>
      <c r="R498" s="404" t="n"/>
      <c r="AB498" s="537" t="n"/>
      <c r="AC498" s="537" t="n"/>
      <c r="AF498" s="537" t="n"/>
      <c r="AG498" s="537" t="n"/>
    </row>
    <row customHeight="1" ht="15.75" r="499" s="452" spans="1:40">
      <c r="A499" s="44" t="n"/>
      <c r="J499" s="404" t="n"/>
      <c r="N499" s="404" t="n"/>
      <c r="R499" s="404" t="n"/>
      <c r="AB499" s="537" t="n"/>
      <c r="AC499" s="537" t="n"/>
      <c r="AF499" s="537" t="n"/>
      <c r="AG499" s="537" t="n"/>
    </row>
    <row customHeight="1" ht="15.75" r="500" s="452" spans="1:40">
      <c r="A500" s="44" t="n"/>
      <c r="J500" s="404" t="n"/>
      <c r="N500" s="404" t="n"/>
      <c r="R500" s="404" t="n"/>
      <c r="AB500" s="537" t="n"/>
      <c r="AC500" s="537" t="n"/>
      <c r="AF500" s="537" t="n"/>
      <c r="AG500" s="537" t="n"/>
    </row>
    <row customHeight="1" ht="15.75" r="501" s="452" spans="1:40">
      <c r="A501" s="44" t="n"/>
      <c r="J501" s="404" t="n"/>
      <c r="N501" s="404" t="n"/>
      <c r="R501" s="404" t="n"/>
      <c r="AB501" s="537" t="n"/>
      <c r="AC501" s="537" t="n"/>
      <c r="AF501" s="537" t="n"/>
      <c r="AG501" s="537" t="n"/>
    </row>
    <row customHeight="1" ht="15.75" r="502" s="452" spans="1:40">
      <c r="A502" s="44" t="n"/>
      <c r="J502" s="404" t="n"/>
      <c r="N502" s="404" t="n"/>
      <c r="R502" s="404" t="n"/>
      <c r="AB502" s="537" t="n"/>
      <c r="AC502" s="537" t="n"/>
      <c r="AF502" s="537" t="n"/>
      <c r="AG502" s="537" t="n"/>
    </row>
    <row customHeight="1" ht="15.75" r="503" s="452" spans="1:40">
      <c r="A503" s="44" t="n"/>
      <c r="J503" s="404" t="n"/>
      <c r="N503" s="404" t="n"/>
      <c r="R503" s="404" t="n"/>
      <c r="AB503" s="537" t="n"/>
      <c r="AC503" s="537" t="n"/>
      <c r="AF503" s="537" t="n"/>
      <c r="AG503" s="537" t="n"/>
    </row>
    <row customHeight="1" ht="15.75" r="504" s="452" spans="1:40">
      <c r="A504" s="44" t="n"/>
      <c r="J504" s="404" t="n"/>
      <c r="N504" s="404" t="n"/>
      <c r="R504" s="404" t="n"/>
      <c r="AB504" s="537" t="n"/>
      <c r="AC504" s="537" t="n"/>
      <c r="AF504" s="537" t="n"/>
      <c r="AG504" s="537" t="n"/>
    </row>
    <row customHeight="1" ht="15.75" r="505" s="452" spans="1:40">
      <c r="A505" s="44" t="n"/>
      <c r="J505" s="404" t="n"/>
      <c r="N505" s="404" t="n"/>
      <c r="R505" s="404" t="n"/>
      <c r="AB505" s="537" t="n"/>
      <c r="AC505" s="537" t="n"/>
      <c r="AF505" s="537" t="n"/>
      <c r="AG505" s="537" t="n"/>
    </row>
    <row customHeight="1" ht="15.75" r="506" s="452" spans="1:40">
      <c r="A506" s="44" t="n"/>
      <c r="J506" s="404" t="n"/>
      <c r="N506" s="404" t="n"/>
      <c r="R506" s="404" t="n"/>
      <c r="AB506" s="537" t="n"/>
      <c r="AC506" s="537" t="n"/>
      <c r="AF506" s="537" t="n"/>
      <c r="AG506" s="537" t="n"/>
    </row>
    <row customHeight="1" ht="15.75" r="507" s="452" spans="1:40">
      <c r="A507" s="44" t="n"/>
      <c r="J507" s="404" t="n"/>
      <c r="N507" s="404" t="n"/>
      <c r="R507" s="404" t="n"/>
      <c r="AB507" s="537" t="n"/>
      <c r="AC507" s="537" t="n"/>
      <c r="AF507" s="537" t="n"/>
      <c r="AG507" s="537" t="n"/>
    </row>
    <row customHeight="1" ht="15.75" r="508" s="452" spans="1:40">
      <c r="A508" s="44" t="n"/>
      <c r="J508" s="404" t="n"/>
      <c r="N508" s="404" t="n"/>
      <c r="R508" s="404" t="n"/>
      <c r="AB508" s="537" t="n"/>
      <c r="AC508" s="537" t="n"/>
      <c r="AF508" s="537" t="n"/>
      <c r="AG508" s="537" t="n"/>
    </row>
    <row customHeight="1" ht="15.75" r="509" s="452" spans="1:40">
      <c r="A509" s="44" t="n"/>
      <c r="J509" s="404" t="n"/>
      <c r="N509" s="404" t="n"/>
      <c r="R509" s="404" t="n"/>
      <c r="AB509" s="537" t="n"/>
      <c r="AC509" s="537" t="n"/>
      <c r="AF509" s="537" t="n"/>
      <c r="AG509" s="537" t="n"/>
    </row>
    <row customHeight="1" ht="15.75" r="510" s="452" spans="1:40">
      <c r="A510" s="44" t="n"/>
      <c r="J510" s="404" t="n"/>
      <c r="N510" s="404" t="n"/>
      <c r="R510" s="404" t="n"/>
      <c r="AB510" s="537" t="n"/>
      <c r="AC510" s="537" t="n"/>
      <c r="AF510" s="537" t="n"/>
      <c r="AG510" s="537" t="n"/>
    </row>
    <row customHeight="1" ht="15.75" r="511" s="452" spans="1:40">
      <c r="A511" s="44" t="n"/>
      <c r="J511" s="404" t="n"/>
      <c r="N511" s="404" t="n"/>
      <c r="R511" s="404" t="n"/>
      <c r="AB511" s="537" t="n"/>
      <c r="AC511" s="537" t="n"/>
      <c r="AF511" s="537" t="n"/>
      <c r="AG511" s="537" t="n"/>
    </row>
    <row customHeight="1" ht="15.75" r="512" s="452" spans="1:40">
      <c r="A512" s="44" t="n"/>
      <c r="J512" s="404" t="n"/>
      <c r="N512" s="404" t="n"/>
      <c r="R512" s="404" t="n"/>
      <c r="AB512" s="537" t="n"/>
      <c r="AC512" s="537" t="n"/>
      <c r="AF512" s="537" t="n"/>
      <c r="AG512" s="537" t="n"/>
    </row>
    <row customHeight="1" ht="15.75" r="513" s="452" spans="1:40">
      <c r="A513" s="44" t="n"/>
      <c r="J513" s="404" t="n"/>
      <c r="N513" s="404" t="n"/>
      <c r="R513" s="404" t="n"/>
      <c r="AB513" s="537" t="n"/>
      <c r="AC513" s="537" t="n"/>
      <c r="AF513" s="537" t="n"/>
      <c r="AG513" s="537" t="n"/>
    </row>
    <row customHeight="1" ht="15.75" r="514" s="452" spans="1:40">
      <c r="A514" s="44" t="n"/>
      <c r="J514" s="404" t="n"/>
      <c r="N514" s="404" t="n"/>
      <c r="R514" s="404" t="n"/>
      <c r="AB514" s="537" t="n"/>
      <c r="AC514" s="537" t="n"/>
      <c r="AF514" s="537" t="n"/>
      <c r="AG514" s="537" t="n"/>
    </row>
    <row customHeight="1" ht="15.75" r="515" s="452" spans="1:40">
      <c r="A515" s="44" t="n"/>
      <c r="J515" s="404" t="n"/>
      <c r="N515" s="404" t="n"/>
      <c r="R515" s="404" t="n"/>
      <c r="AB515" s="537" t="n"/>
      <c r="AC515" s="537" t="n"/>
      <c r="AF515" s="537" t="n"/>
      <c r="AG515" s="537" t="n"/>
    </row>
    <row customHeight="1" ht="15.75" r="516" s="452" spans="1:40">
      <c r="A516" s="44" t="n"/>
      <c r="J516" s="404" t="n"/>
      <c r="N516" s="404" t="n"/>
      <c r="R516" s="404" t="n"/>
      <c r="AB516" s="537" t="n"/>
      <c r="AC516" s="537" t="n"/>
      <c r="AF516" s="537" t="n"/>
      <c r="AG516" s="537" t="n"/>
    </row>
    <row customHeight="1" ht="15.75" r="517" s="452" spans="1:40">
      <c r="A517" s="44" t="n"/>
      <c r="J517" s="404" t="n"/>
      <c r="N517" s="404" t="n"/>
      <c r="R517" s="404" t="n"/>
      <c r="AB517" s="537" t="n"/>
      <c r="AC517" s="537" t="n"/>
      <c r="AF517" s="537" t="n"/>
      <c r="AG517" s="537" t="n"/>
    </row>
    <row customHeight="1" ht="15.75" r="518" s="452" spans="1:40">
      <c r="A518" s="44" t="n"/>
      <c r="J518" s="404" t="n"/>
      <c r="N518" s="404" t="n"/>
      <c r="R518" s="404" t="n"/>
      <c r="AB518" s="537" t="n"/>
      <c r="AC518" s="537" t="n"/>
      <c r="AF518" s="537" t="n"/>
      <c r="AG518" s="537" t="n"/>
    </row>
    <row customHeight="1" ht="15.75" r="519" s="452" spans="1:40">
      <c r="A519" s="44" t="n"/>
      <c r="J519" s="404" t="n"/>
      <c r="N519" s="404" t="n"/>
      <c r="R519" s="404" t="n"/>
      <c r="AB519" s="537" t="n"/>
      <c r="AC519" s="537" t="n"/>
      <c r="AF519" s="537" t="n"/>
      <c r="AG519" s="537" t="n"/>
    </row>
    <row customHeight="1" ht="15.75" r="520" s="452" spans="1:40">
      <c r="A520" s="44" t="n"/>
      <c r="J520" s="404" t="n"/>
      <c r="N520" s="404" t="n"/>
      <c r="R520" s="404" t="n"/>
      <c r="AB520" s="537" t="n"/>
      <c r="AC520" s="537" t="n"/>
      <c r="AF520" s="537" t="n"/>
      <c r="AG520" s="537" t="n"/>
    </row>
    <row customHeight="1" ht="15.75" r="521" s="452" spans="1:40">
      <c r="A521" s="44" t="n"/>
      <c r="J521" s="404" t="n"/>
      <c r="N521" s="404" t="n"/>
      <c r="R521" s="404" t="n"/>
      <c r="AB521" s="537" t="n"/>
      <c r="AC521" s="537" t="n"/>
      <c r="AF521" s="537" t="n"/>
      <c r="AG521" s="537" t="n"/>
    </row>
    <row customHeight="1" ht="15.75" r="522" s="452" spans="1:40">
      <c r="A522" s="44" t="n"/>
      <c r="J522" s="404" t="n"/>
      <c r="N522" s="404" t="n"/>
      <c r="R522" s="404" t="n"/>
      <c r="AB522" s="537" t="n"/>
      <c r="AC522" s="537" t="n"/>
      <c r="AF522" s="537" t="n"/>
      <c r="AG522" s="537" t="n"/>
    </row>
    <row customHeight="1" ht="15.75" r="523" s="452" spans="1:40">
      <c r="A523" s="44" t="n"/>
      <c r="J523" s="404" t="n"/>
      <c r="N523" s="404" t="n"/>
      <c r="R523" s="404" t="n"/>
      <c r="AB523" s="537" t="n"/>
      <c r="AC523" s="537" t="n"/>
      <c r="AF523" s="537" t="n"/>
      <c r="AG523" s="537" t="n"/>
    </row>
    <row customHeight="1" ht="15.75" r="524" s="452" spans="1:40">
      <c r="A524" s="44" t="n"/>
      <c r="J524" s="404" t="n"/>
      <c r="N524" s="404" t="n"/>
      <c r="R524" s="404" t="n"/>
      <c r="AB524" s="537" t="n"/>
      <c r="AC524" s="537" t="n"/>
      <c r="AF524" s="537" t="n"/>
      <c r="AG524" s="537" t="n"/>
    </row>
    <row customHeight="1" ht="15.75" r="525" s="452" spans="1:40">
      <c r="A525" s="44" t="n"/>
      <c r="J525" s="404" t="n"/>
      <c r="N525" s="404" t="n"/>
      <c r="R525" s="404" t="n"/>
      <c r="AB525" s="537" t="n"/>
      <c r="AC525" s="537" t="n"/>
      <c r="AF525" s="537" t="n"/>
      <c r="AG525" s="537" t="n"/>
    </row>
    <row customHeight="1" ht="15.75" r="526" s="452" spans="1:40">
      <c r="A526" s="44" t="n"/>
      <c r="J526" s="404" t="n"/>
      <c r="N526" s="404" t="n"/>
      <c r="R526" s="404" t="n"/>
      <c r="AB526" s="537" t="n"/>
      <c r="AC526" s="537" t="n"/>
      <c r="AF526" s="537" t="n"/>
      <c r="AG526" s="537" t="n"/>
    </row>
    <row customHeight="1" ht="15.75" r="527" s="452" spans="1:40">
      <c r="A527" s="44" t="n"/>
      <c r="J527" s="404" t="n"/>
      <c r="N527" s="404" t="n"/>
      <c r="R527" s="404" t="n"/>
      <c r="AB527" s="537" t="n"/>
      <c r="AC527" s="537" t="n"/>
      <c r="AF527" s="537" t="n"/>
      <c r="AG527" s="537" t="n"/>
    </row>
    <row customHeight="1" ht="15.75" r="528" s="452" spans="1:40">
      <c r="A528" s="44" t="n"/>
      <c r="J528" s="404" t="n"/>
      <c r="N528" s="404" t="n"/>
      <c r="R528" s="404" t="n"/>
      <c r="AB528" s="537" t="n"/>
      <c r="AC528" s="537" t="n"/>
      <c r="AF528" s="537" t="n"/>
      <c r="AG528" s="537" t="n"/>
    </row>
    <row customHeight="1" ht="15.75" r="529" s="452" spans="1:40">
      <c r="A529" s="44" t="n"/>
      <c r="J529" s="404" t="n"/>
      <c r="N529" s="404" t="n"/>
      <c r="R529" s="404" t="n"/>
      <c r="AB529" s="537" t="n"/>
      <c r="AC529" s="537" t="n"/>
      <c r="AF529" s="537" t="n"/>
      <c r="AG529" s="537" t="n"/>
    </row>
    <row customHeight="1" ht="15.75" r="530" s="452" spans="1:40">
      <c r="A530" s="44" t="n"/>
      <c r="J530" s="404" t="n"/>
      <c r="N530" s="404" t="n"/>
      <c r="R530" s="404" t="n"/>
      <c r="AB530" s="537" t="n"/>
      <c r="AC530" s="537" t="n"/>
      <c r="AF530" s="537" t="n"/>
      <c r="AG530" s="537" t="n"/>
    </row>
    <row customHeight="1" ht="15.75" r="531" s="452" spans="1:40">
      <c r="A531" s="44" t="n"/>
      <c r="J531" s="404" t="n"/>
      <c r="N531" s="404" t="n"/>
      <c r="R531" s="404" t="n"/>
      <c r="AB531" s="537" t="n"/>
      <c r="AC531" s="537" t="n"/>
      <c r="AF531" s="537" t="n"/>
      <c r="AG531" s="537" t="n"/>
    </row>
    <row customHeight="1" ht="15.75" r="532" s="452" spans="1:40">
      <c r="A532" s="44" t="n"/>
      <c r="J532" s="404" t="n"/>
      <c r="N532" s="404" t="n"/>
      <c r="R532" s="404" t="n"/>
      <c r="AB532" s="537" t="n"/>
      <c r="AC532" s="537" t="n"/>
      <c r="AF532" s="537" t="n"/>
      <c r="AG532" s="537" t="n"/>
    </row>
    <row customHeight="1" ht="15.75" r="533" s="452" spans="1:40">
      <c r="A533" s="44" t="n"/>
      <c r="J533" s="404" t="n"/>
      <c r="N533" s="404" t="n"/>
      <c r="R533" s="404" t="n"/>
      <c r="AB533" s="537" t="n"/>
      <c r="AC533" s="537" t="n"/>
      <c r="AF533" s="537" t="n"/>
      <c r="AG533" s="537" t="n"/>
    </row>
    <row customHeight="1" ht="15.75" r="534" s="452" spans="1:40">
      <c r="A534" s="44" t="n"/>
      <c r="J534" s="404" t="n"/>
      <c r="N534" s="404" t="n"/>
      <c r="R534" s="404" t="n"/>
      <c r="AB534" s="537" t="n"/>
      <c r="AC534" s="537" t="n"/>
      <c r="AF534" s="537" t="n"/>
      <c r="AG534" s="537" t="n"/>
    </row>
    <row customHeight="1" ht="15.75" r="535" s="452" spans="1:40">
      <c r="A535" s="44" t="n"/>
      <c r="J535" s="404" t="n"/>
      <c r="N535" s="404" t="n"/>
      <c r="R535" s="404" t="n"/>
      <c r="AB535" s="537" t="n"/>
      <c r="AC535" s="537" t="n"/>
      <c r="AF535" s="537" t="n"/>
      <c r="AG535" s="537" t="n"/>
    </row>
    <row customHeight="1" ht="15.75" r="536" s="452" spans="1:40">
      <c r="A536" s="44" t="n"/>
      <c r="J536" s="404" t="n"/>
      <c r="N536" s="404" t="n"/>
      <c r="R536" s="404" t="n"/>
      <c r="AB536" s="537" t="n"/>
      <c r="AC536" s="537" t="n"/>
      <c r="AF536" s="537" t="n"/>
      <c r="AG536" s="537" t="n"/>
    </row>
    <row customHeight="1" ht="15.75" r="537" s="452" spans="1:40">
      <c r="A537" s="44" t="n"/>
      <c r="J537" s="404" t="n"/>
      <c r="N537" s="404" t="n"/>
      <c r="R537" s="404" t="n"/>
      <c r="AB537" s="537" t="n"/>
      <c r="AC537" s="537" t="n"/>
      <c r="AF537" s="537" t="n"/>
      <c r="AG537" s="537" t="n"/>
    </row>
    <row customHeight="1" ht="15.75" r="538" s="452" spans="1:40">
      <c r="A538" s="44" t="n"/>
      <c r="J538" s="404" t="n"/>
      <c r="N538" s="404" t="n"/>
      <c r="R538" s="404" t="n"/>
      <c r="AB538" s="537" t="n"/>
      <c r="AC538" s="537" t="n"/>
      <c r="AF538" s="537" t="n"/>
      <c r="AG538" s="537" t="n"/>
    </row>
    <row customHeight="1" ht="15.75" r="539" s="452" spans="1:40">
      <c r="A539" s="44" t="n"/>
      <c r="J539" s="404" t="n"/>
      <c r="N539" s="404" t="n"/>
      <c r="R539" s="404" t="n"/>
      <c r="AB539" s="537" t="n"/>
      <c r="AC539" s="537" t="n"/>
      <c r="AF539" s="537" t="n"/>
      <c r="AG539" s="537" t="n"/>
    </row>
    <row customHeight="1" ht="15.75" r="540" s="452" spans="1:40">
      <c r="A540" s="44" t="n"/>
      <c r="J540" s="404" t="n"/>
      <c r="N540" s="404" t="n"/>
      <c r="R540" s="404" t="n"/>
      <c r="AB540" s="537" t="n"/>
      <c r="AC540" s="537" t="n"/>
      <c r="AF540" s="537" t="n"/>
      <c r="AG540" s="537" t="n"/>
    </row>
    <row customHeight="1" ht="15.75" r="541" s="452" spans="1:40">
      <c r="A541" s="44" t="n"/>
      <c r="J541" s="404" t="n"/>
      <c r="N541" s="404" t="n"/>
      <c r="R541" s="404" t="n"/>
      <c r="AB541" s="537" t="n"/>
      <c r="AC541" s="537" t="n"/>
      <c r="AF541" s="537" t="n"/>
      <c r="AG541" s="537" t="n"/>
    </row>
    <row customHeight="1" ht="15.75" r="542" s="452" spans="1:40">
      <c r="A542" s="44" t="n"/>
      <c r="J542" s="404" t="n"/>
      <c r="N542" s="404" t="n"/>
      <c r="R542" s="404" t="n"/>
      <c r="AB542" s="537" t="n"/>
      <c r="AC542" s="537" t="n"/>
      <c r="AF542" s="537" t="n"/>
      <c r="AG542" s="537" t="n"/>
    </row>
    <row customHeight="1" ht="15.75" r="543" s="452" spans="1:40">
      <c r="A543" s="44" t="n"/>
      <c r="J543" s="404" t="n"/>
      <c r="N543" s="404" t="n"/>
      <c r="R543" s="404" t="n"/>
      <c r="AB543" s="537" t="n"/>
      <c r="AC543" s="537" t="n"/>
      <c r="AF543" s="537" t="n"/>
      <c r="AG543" s="537" t="n"/>
    </row>
    <row customHeight="1" ht="15.75" r="544" s="452" spans="1:40">
      <c r="A544" s="44" t="n"/>
      <c r="J544" s="404" t="n"/>
      <c r="N544" s="404" t="n"/>
      <c r="R544" s="404" t="n"/>
      <c r="AB544" s="537" t="n"/>
      <c r="AC544" s="537" t="n"/>
      <c r="AF544" s="537" t="n"/>
      <c r="AG544" s="537" t="n"/>
    </row>
    <row customHeight="1" ht="15.75" r="545" s="452" spans="1:40">
      <c r="A545" s="44" t="n"/>
      <c r="J545" s="404" t="n"/>
      <c r="N545" s="404" t="n"/>
      <c r="R545" s="404" t="n"/>
      <c r="AB545" s="537" t="n"/>
      <c r="AC545" s="537" t="n"/>
      <c r="AF545" s="537" t="n"/>
      <c r="AG545" s="537" t="n"/>
    </row>
    <row customHeight="1" ht="15.75" r="546" s="452" spans="1:40">
      <c r="A546" s="44" t="n"/>
      <c r="J546" s="404" t="n"/>
      <c r="N546" s="404" t="n"/>
      <c r="R546" s="404" t="n"/>
      <c r="AB546" s="537" t="n"/>
      <c r="AC546" s="537" t="n"/>
      <c r="AF546" s="537" t="n"/>
      <c r="AG546" s="537" t="n"/>
    </row>
    <row customHeight="1" ht="15.75" r="547" s="452" spans="1:40">
      <c r="A547" s="44" t="n"/>
      <c r="J547" s="404" t="n"/>
      <c r="N547" s="404" t="n"/>
      <c r="R547" s="404" t="n"/>
      <c r="AB547" s="537" t="n"/>
      <c r="AC547" s="537" t="n"/>
      <c r="AF547" s="537" t="n"/>
      <c r="AG547" s="537" t="n"/>
    </row>
    <row customHeight="1" ht="15.75" r="548" s="452" spans="1:40">
      <c r="A548" s="44" t="n"/>
      <c r="J548" s="404" t="n"/>
      <c r="N548" s="404" t="n"/>
      <c r="R548" s="404" t="n"/>
      <c r="AB548" s="537" t="n"/>
      <c r="AC548" s="537" t="n"/>
      <c r="AF548" s="537" t="n"/>
      <c r="AG548" s="537" t="n"/>
    </row>
    <row customHeight="1" ht="15.75" r="549" s="452" spans="1:40">
      <c r="A549" s="44" t="n"/>
      <c r="J549" s="404" t="n"/>
      <c r="N549" s="404" t="n"/>
      <c r="R549" s="404" t="n"/>
      <c r="AB549" s="537" t="n"/>
      <c r="AC549" s="537" t="n"/>
      <c r="AF549" s="537" t="n"/>
      <c r="AG549" s="537" t="n"/>
    </row>
    <row customHeight="1" ht="15.75" r="550" s="452" spans="1:40">
      <c r="A550" s="44" t="n"/>
      <c r="J550" s="404" t="n"/>
      <c r="N550" s="404" t="n"/>
      <c r="R550" s="404" t="n"/>
      <c r="AB550" s="537" t="n"/>
      <c r="AC550" s="537" t="n"/>
      <c r="AF550" s="537" t="n"/>
      <c r="AG550" s="537" t="n"/>
    </row>
    <row customHeight="1" ht="15.75" r="551" s="452" spans="1:40">
      <c r="A551" s="44" t="n"/>
      <c r="J551" s="404" t="n"/>
      <c r="N551" s="404" t="n"/>
      <c r="R551" s="404" t="n"/>
      <c r="AB551" s="537" t="n"/>
      <c r="AC551" s="537" t="n"/>
      <c r="AF551" s="537" t="n"/>
      <c r="AG551" s="537" t="n"/>
    </row>
    <row customHeight="1" ht="15.75" r="552" s="452" spans="1:40">
      <c r="A552" s="44" t="n"/>
      <c r="J552" s="404" t="n"/>
      <c r="N552" s="404" t="n"/>
      <c r="R552" s="404" t="n"/>
      <c r="AB552" s="537" t="n"/>
      <c r="AC552" s="537" t="n"/>
      <c r="AF552" s="537" t="n"/>
      <c r="AG552" s="537" t="n"/>
    </row>
    <row customHeight="1" ht="15.75" r="553" s="452" spans="1:40">
      <c r="A553" s="44" t="n"/>
      <c r="J553" s="404" t="n"/>
      <c r="N553" s="404" t="n"/>
      <c r="R553" s="404" t="n"/>
      <c r="AB553" s="537" t="n"/>
      <c r="AC553" s="537" t="n"/>
      <c r="AF553" s="537" t="n"/>
      <c r="AG553" s="537" t="n"/>
    </row>
    <row customHeight="1" ht="15.75" r="554" s="452" spans="1:40">
      <c r="A554" s="44" t="n"/>
      <c r="J554" s="404" t="n"/>
      <c r="N554" s="404" t="n"/>
      <c r="R554" s="404" t="n"/>
      <c r="AB554" s="537" t="n"/>
      <c r="AC554" s="537" t="n"/>
      <c r="AF554" s="537" t="n"/>
      <c r="AG554" s="537" t="n"/>
    </row>
    <row customHeight="1" ht="15.75" r="555" s="452" spans="1:40">
      <c r="A555" s="44" t="n"/>
      <c r="J555" s="404" t="n"/>
      <c r="N555" s="404" t="n"/>
      <c r="R555" s="404" t="n"/>
      <c r="AB555" s="537" t="n"/>
      <c r="AC555" s="537" t="n"/>
      <c r="AF555" s="537" t="n"/>
      <c r="AG555" s="537" t="n"/>
    </row>
    <row customHeight="1" ht="15.75" r="556" s="452" spans="1:40">
      <c r="A556" s="44" t="n"/>
      <c r="J556" s="404" t="n"/>
      <c r="N556" s="404" t="n"/>
      <c r="R556" s="404" t="n"/>
      <c r="AB556" s="537" t="n"/>
      <c r="AC556" s="537" t="n"/>
      <c r="AF556" s="537" t="n"/>
      <c r="AG556" s="537" t="n"/>
    </row>
    <row customHeight="1" ht="15.75" r="557" s="452" spans="1:40">
      <c r="A557" s="44" t="n"/>
      <c r="J557" s="404" t="n"/>
      <c r="N557" s="404" t="n"/>
      <c r="R557" s="404" t="n"/>
      <c r="AB557" s="537" t="n"/>
      <c r="AC557" s="537" t="n"/>
      <c r="AF557" s="537" t="n"/>
      <c r="AG557" s="537" t="n"/>
    </row>
    <row customHeight="1" ht="15.75" r="558" s="452" spans="1:40">
      <c r="A558" s="44" t="n"/>
      <c r="J558" s="404" t="n"/>
      <c r="N558" s="404" t="n"/>
      <c r="R558" s="404" t="n"/>
      <c r="AB558" s="537" t="n"/>
      <c r="AC558" s="537" t="n"/>
      <c r="AF558" s="537" t="n"/>
      <c r="AG558" s="537" t="n"/>
    </row>
    <row customHeight="1" ht="15.75" r="559" s="452" spans="1:40">
      <c r="A559" s="44" t="n"/>
      <c r="J559" s="404" t="n"/>
      <c r="N559" s="404" t="n"/>
      <c r="R559" s="404" t="n"/>
      <c r="AB559" s="537" t="n"/>
      <c r="AC559" s="537" t="n"/>
      <c r="AF559" s="537" t="n"/>
      <c r="AG559" s="537" t="n"/>
    </row>
    <row customHeight="1" ht="15.75" r="560" s="452" spans="1:40">
      <c r="A560" s="44" t="n"/>
      <c r="J560" s="404" t="n"/>
      <c r="N560" s="404" t="n"/>
      <c r="R560" s="404" t="n"/>
      <c r="AB560" s="537" t="n"/>
      <c r="AC560" s="537" t="n"/>
      <c r="AF560" s="537" t="n"/>
      <c r="AG560" s="537" t="n"/>
    </row>
    <row customHeight="1" ht="15.75" r="561" s="452" spans="1:40">
      <c r="A561" s="44" t="n"/>
      <c r="J561" s="404" t="n"/>
      <c r="N561" s="404" t="n"/>
      <c r="R561" s="404" t="n"/>
      <c r="AB561" s="537" t="n"/>
      <c r="AC561" s="537" t="n"/>
      <c r="AF561" s="537" t="n"/>
      <c r="AG561" s="537" t="n"/>
    </row>
    <row customHeight="1" ht="15.75" r="562" s="452" spans="1:40">
      <c r="A562" s="44" t="n"/>
      <c r="J562" s="404" t="n"/>
      <c r="N562" s="404" t="n"/>
      <c r="R562" s="404" t="n"/>
      <c r="AB562" s="537" t="n"/>
      <c r="AC562" s="537" t="n"/>
      <c r="AF562" s="537" t="n"/>
      <c r="AG562" s="537" t="n"/>
    </row>
    <row customHeight="1" ht="15.75" r="563" s="452" spans="1:40">
      <c r="A563" s="44" t="n"/>
      <c r="J563" s="404" t="n"/>
      <c r="N563" s="404" t="n"/>
      <c r="R563" s="404" t="n"/>
      <c r="AB563" s="537" t="n"/>
      <c r="AC563" s="537" t="n"/>
      <c r="AF563" s="537" t="n"/>
      <c r="AG563" s="537" t="n"/>
    </row>
    <row customHeight="1" ht="15.75" r="564" s="452" spans="1:40">
      <c r="A564" s="44" t="n"/>
      <c r="J564" s="404" t="n"/>
      <c r="N564" s="404" t="n"/>
      <c r="R564" s="404" t="n"/>
      <c r="AB564" s="537" t="n"/>
      <c r="AC564" s="537" t="n"/>
      <c r="AF564" s="537" t="n"/>
      <c r="AG564" s="537" t="n"/>
    </row>
    <row customHeight="1" ht="15.75" r="565" s="452" spans="1:40">
      <c r="A565" s="44" t="n"/>
      <c r="J565" s="404" t="n"/>
      <c r="N565" s="404" t="n"/>
      <c r="R565" s="404" t="n"/>
      <c r="AB565" s="537" t="n"/>
      <c r="AC565" s="537" t="n"/>
      <c r="AF565" s="537" t="n"/>
      <c r="AG565" s="537" t="n"/>
    </row>
    <row customHeight="1" ht="15.75" r="566" s="452" spans="1:40">
      <c r="A566" s="44" t="n"/>
      <c r="J566" s="404" t="n"/>
      <c r="N566" s="404" t="n"/>
      <c r="R566" s="404" t="n"/>
      <c r="AB566" s="537" t="n"/>
      <c r="AC566" s="537" t="n"/>
      <c r="AF566" s="537" t="n"/>
      <c r="AG566" s="537" t="n"/>
    </row>
    <row customHeight="1" ht="15.75" r="567" s="452" spans="1:40">
      <c r="A567" s="44" t="n"/>
      <c r="J567" s="404" t="n"/>
      <c r="N567" s="404" t="n"/>
      <c r="R567" s="404" t="n"/>
      <c r="AB567" s="537" t="n"/>
      <c r="AC567" s="537" t="n"/>
      <c r="AF567" s="537" t="n"/>
      <c r="AG567" s="537" t="n"/>
    </row>
    <row customHeight="1" ht="15.75" r="568" s="452" spans="1:40">
      <c r="A568" s="44" t="n"/>
      <c r="J568" s="404" t="n"/>
      <c r="N568" s="404" t="n"/>
      <c r="R568" s="404" t="n"/>
      <c r="AB568" s="537" t="n"/>
      <c r="AC568" s="537" t="n"/>
      <c r="AF568" s="537" t="n"/>
      <c r="AG568" s="537" t="n"/>
    </row>
    <row customHeight="1" ht="15.75" r="569" s="452" spans="1:40">
      <c r="A569" s="44" t="n"/>
      <c r="J569" s="404" t="n"/>
      <c r="N569" s="404" t="n"/>
      <c r="R569" s="404" t="n"/>
      <c r="AB569" s="537" t="n"/>
      <c r="AC569" s="537" t="n"/>
      <c r="AF569" s="537" t="n"/>
      <c r="AG569" s="537" t="n"/>
    </row>
    <row customHeight="1" ht="15.75" r="570" s="452" spans="1:40">
      <c r="A570" s="44" t="n"/>
      <c r="J570" s="404" t="n"/>
      <c r="N570" s="404" t="n"/>
      <c r="R570" s="404" t="n"/>
      <c r="AB570" s="537" t="n"/>
      <c r="AC570" s="537" t="n"/>
      <c r="AF570" s="537" t="n"/>
      <c r="AG570" s="537" t="n"/>
    </row>
    <row customHeight="1" ht="15.75" r="571" s="452" spans="1:40">
      <c r="A571" s="44" t="n"/>
      <c r="J571" s="404" t="n"/>
      <c r="N571" s="404" t="n"/>
      <c r="R571" s="404" t="n"/>
      <c r="AB571" s="537" t="n"/>
      <c r="AC571" s="537" t="n"/>
      <c r="AF571" s="537" t="n"/>
      <c r="AG571" s="537" t="n"/>
    </row>
    <row customHeight="1" ht="15.75" r="572" s="452" spans="1:40">
      <c r="A572" s="44" t="n"/>
      <c r="J572" s="404" t="n"/>
      <c r="N572" s="404" t="n"/>
      <c r="R572" s="404" t="n"/>
      <c r="AB572" s="537" t="n"/>
      <c r="AC572" s="537" t="n"/>
      <c r="AF572" s="537" t="n"/>
      <c r="AG572" s="537" t="n"/>
    </row>
    <row customHeight="1" ht="15.75" r="573" s="452" spans="1:40">
      <c r="A573" s="44" t="n"/>
      <c r="J573" s="404" t="n"/>
      <c r="N573" s="404" t="n"/>
      <c r="R573" s="404" t="n"/>
      <c r="AB573" s="537" t="n"/>
      <c r="AC573" s="537" t="n"/>
      <c r="AF573" s="537" t="n"/>
      <c r="AG573" s="537" t="n"/>
    </row>
    <row customHeight="1" ht="15.75" r="574" s="452" spans="1:40">
      <c r="A574" s="44" t="n"/>
      <c r="J574" s="404" t="n"/>
      <c r="N574" s="404" t="n"/>
      <c r="R574" s="404" t="n"/>
      <c r="AB574" s="537" t="n"/>
      <c r="AC574" s="537" t="n"/>
      <c r="AF574" s="537" t="n"/>
      <c r="AG574" s="537" t="n"/>
    </row>
    <row customHeight="1" ht="15.75" r="575" s="452" spans="1:40">
      <c r="A575" s="44" t="n"/>
      <c r="J575" s="404" t="n"/>
      <c r="N575" s="404" t="n"/>
      <c r="R575" s="404" t="n"/>
      <c r="AB575" s="537" t="n"/>
      <c r="AC575" s="537" t="n"/>
      <c r="AF575" s="537" t="n"/>
      <c r="AG575" s="537" t="n"/>
    </row>
    <row customHeight="1" ht="15.75" r="576" s="452" spans="1:40">
      <c r="A576" s="44" t="n"/>
      <c r="J576" s="404" t="n"/>
      <c r="N576" s="404" t="n"/>
      <c r="R576" s="404" t="n"/>
      <c r="AB576" s="537" t="n"/>
      <c r="AC576" s="537" t="n"/>
      <c r="AF576" s="537" t="n"/>
      <c r="AG576" s="537" t="n"/>
    </row>
    <row customHeight="1" ht="15.75" r="577" s="452" spans="1:40">
      <c r="A577" s="44" t="n"/>
      <c r="J577" s="404" t="n"/>
      <c r="N577" s="404" t="n"/>
      <c r="R577" s="404" t="n"/>
      <c r="AB577" s="537" t="n"/>
      <c r="AC577" s="537" t="n"/>
      <c r="AF577" s="537" t="n"/>
      <c r="AG577" s="537" t="n"/>
    </row>
    <row customHeight="1" ht="15.75" r="578" s="452" spans="1:40">
      <c r="A578" s="44" t="n"/>
      <c r="J578" s="404" t="n"/>
      <c r="N578" s="404" t="n"/>
      <c r="R578" s="404" t="n"/>
      <c r="AB578" s="537" t="n"/>
      <c r="AC578" s="537" t="n"/>
      <c r="AF578" s="537" t="n"/>
      <c r="AG578" s="537" t="n"/>
    </row>
    <row customHeight="1" ht="15.75" r="579" s="452" spans="1:40">
      <c r="A579" s="44" t="n"/>
      <c r="J579" s="404" t="n"/>
      <c r="N579" s="404" t="n"/>
      <c r="R579" s="404" t="n"/>
      <c r="AB579" s="537" t="n"/>
      <c r="AC579" s="537" t="n"/>
      <c r="AF579" s="537" t="n"/>
      <c r="AG579" s="537" t="n"/>
    </row>
    <row customHeight="1" ht="15.75" r="580" s="452" spans="1:40">
      <c r="A580" s="44" t="n"/>
      <c r="J580" s="404" t="n"/>
      <c r="N580" s="404" t="n"/>
      <c r="R580" s="404" t="n"/>
      <c r="AB580" s="537" t="n"/>
      <c r="AC580" s="537" t="n"/>
      <c r="AF580" s="537" t="n"/>
      <c r="AG580" s="537" t="n"/>
    </row>
    <row customHeight="1" ht="15.75" r="581" s="452" spans="1:40">
      <c r="A581" s="44" t="n"/>
      <c r="J581" s="404" t="n"/>
      <c r="N581" s="404" t="n"/>
      <c r="R581" s="404" t="n"/>
      <c r="AB581" s="537" t="n"/>
      <c r="AC581" s="537" t="n"/>
      <c r="AF581" s="537" t="n"/>
      <c r="AG581" s="537" t="n"/>
    </row>
    <row customHeight="1" ht="15.75" r="582" s="452" spans="1:40">
      <c r="A582" s="44" t="n"/>
      <c r="J582" s="404" t="n"/>
      <c r="N582" s="404" t="n"/>
      <c r="R582" s="404" t="n"/>
      <c r="AB582" s="537" t="n"/>
      <c r="AC582" s="537" t="n"/>
      <c r="AF582" s="537" t="n"/>
      <c r="AG582" s="537" t="n"/>
    </row>
    <row customHeight="1" ht="15.75" r="583" s="452" spans="1:40">
      <c r="A583" s="44" t="n"/>
      <c r="J583" s="404" t="n"/>
      <c r="N583" s="404" t="n"/>
      <c r="R583" s="404" t="n"/>
      <c r="AB583" s="537" t="n"/>
      <c r="AC583" s="537" t="n"/>
      <c r="AF583" s="537" t="n"/>
      <c r="AG583" s="537" t="n"/>
    </row>
    <row customHeight="1" ht="15.75" r="584" s="452" spans="1:40">
      <c r="A584" s="44" t="n"/>
      <c r="J584" s="404" t="n"/>
      <c r="N584" s="404" t="n"/>
      <c r="R584" s="404" t="n"/>
      <c r="AB584" s="537" t="n"/>
      <c r="AC584" s="537" t="n"/>
      <c r="AF584" s="537" t="n"/>
      <c r="AG584" s="537" t="n"/>
    </row>
    <row customHeight="1" ht="15.75" r="585" s="452" spans="1:40">
      <c r="A585" s="44" t="n"/>
      <c r="J585" s="404" t="n"/>
      <c r="N585" s="404" t="n"/>
      <c r="R585" s="404" t="n"/>
      <c r="AB585" s="537" t="n"/>
      <c r="AC585" s="537" t="n"/>
      <c r="AF585" s="537" t="n"/>
      <c r="AG585" s="537" t="n"/>
    </row>
    <row customHeight="1" ht="15.75" r="586" s="452" spans="1:40">
      <c r="A586" s="44" t="n"/>
      <c r="J586" s="404" t="n"/>
      <c r="N586" s="404" t="n"/>
      <c r="R586" s="404" t="n"/>
      <c r="AB586" s="537" t="n"/>
      <c r="AC586" s="537" t="n"/>
      <c r="AF586" s="537" t="n"/>
      <c r="AG586" s="537" t="n"/>
    </row>
    <row customHeight="1" ht="15.75" r="587" s="452" spans="1:40">
      <c r="A587" s="44" t="n"/>
      <c r="J587" s="404" t="n"/>
      <c r="N587" s="404" t="n"/>
      <c r="R587" s="404" t="n"/>
      <c r="AB587" s="537" t="n"/>
      <c r="AC587" s="537" t="n"/>
      <c r="AF587" s="537" t="n"/>
      <c r="AG587" s="537" t="n"/>
    </row>
    <row customHeight="1" ht="15.75" r="588" s="452" spans="1:40">
      <c r="A588" s="44" t="n"/>
      <c r="J588" s="404" t="n"/>
      <c r="N588" s="404" t="n"/>
      <c r="R588" s="404" t="n"/>
      <c r="AB588" s="537" t="n"/>
      <c r="AC588" s="537" t="n"/>
      <c r="AF588" s="537" t="n"/>
      <c r="AG588" s="537" t="n"/>
    </row>
    <row customHeight="1" ht="15.75" r="589" s="452" spans="1:40">
      <c r="A589" s="44" t="n"/>
      <c r="J589" s="404" t="n"/>
      <c r="N589" s="404" t="n"/>
      <c r="R589" s="404" t="n"/>
      <c r="AB589" s="537" t="n"/>
      <c r="AC589" s="537" t="n"/>
      <c r="AF589" s="537" t="n"/>
      <c r="AG589" s="537" t="n"/>
    </row>
    <row customHeight="1" ht="15.75" r="590" s="452" spans="1:40">
      <c r="A590" s="44" t="n"/>
      <c r="J590" s="404" t="n"/>
      <c r="N590" s="404" t="n"/>
      <c r="R590" s="404" t="n"/>
      <c r="AB590" s="537" t="n"/>
      <c r="AC590" s="537" t="n"/>
      <c r="AF590" s="537" t="n"/>
      <c r="AG590" s="537" t="n"/>
    </row>
    <row customHeight="1" ht="15.75" r="591" s="452" spans="1:40">
      <c r="A591" s="44" t="n"/>
      <c r="J591" s="404" t="n"/>
      <c r="N591" s="404" t="n"/>
      <c r="R591" s="404" t="n"/>
      <c r="AB591" s="537" t="n"/>
      <c r="AC591" s="537" t="n"/>
      <c r="AF591" s="537" t="n"/>
      <c r="AG591" s="537" t="n"/>
    </row>
    <row customHeight="1" ht="15.75" r="592" s="452" spans="1:40">
      <c r="A592" s="44" t="n"/>
      <c r="J592" s="404" t="n"/>
      <c r="N592" s="404" t="n"/>
      <c r="R592" s="404" t="n"/>
      <c r="AB592" s="537" t="n"/>
      <c r="AC592" s="537" t="n"/>
      <c r="AF592" s="537" t="n"/>
      <c r="AG592" s="537" t="n"/>
    </row>
    <row customHeight="1" ht="15.75" r="593" s="452" spans="1:40">
      <c r="A593" s="44" t="n"/>
      <c r="J593" s="404" t="n"/>
      <c r="N593" s="404" t="n"/>
      <c r="R593" s="404" t="n"/>
      <c r="AB593" s="537" t="n"/>
      <c r="AC593" s="537" t="n"/>
      <c r="AF593" s="537" t="n"/>
      <c r="AG593" s="537" t="n"/>
    </row>
    <row customHeight="1" ht="15.75" r="594" s="452" spans="1:40">
      <c r="A594" s="44" t="n"/>
      <c r="J594" s="404" t="n"/>
      <c r="N594" s="404" t="n"/>
      <c r="R594" s="404" t="n"/>
      <c r="AB594" s="537" t="n"/>
      <c r="AC594" s="537" t="n"/>
      <c r="AF594" s="537" t="n"/>
      <c r="AG594" s="537" t="n"/>
    </row>
    <row customHeight="1" ht="15.75" r="595" s="452" spans="1:40">
      <c r="A595" s="44" t="n"/>
      <c r="J595" s="404" t="n"/>
      <c r="N595" s="404" t="n"/>
      <c r="R595" s="404" t="n"/>
      <c r="AB595" s="537" t="n"/>
      <c r="AC595" s="537" t="n"/>
      <c r="AF595" s="537" t="n"/>
      <c r="AG595" s="537" t="n"/>
    </row>
    <row customHeight="1" ht="15.75" r="596" s="452" spans="1:40">
      <c r="A596" s="44" t="n"/>
      <c r="J596" s="404" t="n"/>
      <c r="N596" s="404" t="n"/>
      <c r="R596" s="404" t="n"/>
      <c r="AB596" s="537" t="n"/>
      <c r="AC596" s="537" t="n"/>
      <c r="AF596" s="537" t="n"/>
      <c r="AG596" s="537" t="n"/>
    </row>
    <row customHeight="1" ht="15.75" r="597" s="452" spans="1:40">
      <c r="A597" s="44" t="n"/>
      <c r="J597" s="404" t="n"/>
      <c r="N597" s="404" t="n"/>
      <c r="R597" s="404" t="n"/>
      <c r="AB597" s="537" t="n"/>
      <c r="AC597" s="537" t="n"/>
      <c r="AF597" s="537" t="n"/>
      <c r="AG597" s="537" t="n"/>
    </row>
    <row customHeight="1" ht="15.75" r="598" s="452" spans="1:40">
      <c r="A598" s="44" t="n"/>
      <c r="J598" s="404" t="n"/>
      <c r="N598" s="404" t="n"/>
      <c r="R598" s="404" t="n"/>
      <c r="AB598" s="537" t="n"/>
      <c r="AC598" s="537" t="n"/>
      <c r="AF598" s="537" t="n"/>
      <c r="AG598" s="537" t="n"/>
    </row>
    <row customHeight="1" ht="15.75" r="599" s="452" spans="1:40">
      <c r="A599" s="44" t="n"/>
      <c r="J599" s="404" t="n"/>
      <c r="N599" s="404" t="n"/>
      <c r="R599" s="404" t="n"/>
      <c r="AB599" s="537" t="n"/>
      <c r="AC599" s="537" t="n"/>
      <c r="AF599" s="537" t="n"/>
      <c r="AG599" s="537" t="n"/>
    </row>
    <row customHeight="1" ht="15.75" r="600" s="452" spans="1:40">
      <c r="A600" s="44" t="n"/>
      <c r="J600" s="404" t="n"/>
      <c r="N600" s="404" t="n"/>
      <c r="R600" s="404" t="n"/>
      <c r="AB600" s="537" t="n"/>
      <c r="AC600" s="537" t="n"/>
      <c r="AF600" s="537" t="n"/>
      <c r="AG600" s="537" t="n"/>
    </row>
    <row customHeight="1" ht="15.75" r="601" s="452" spans="1:40">
      <c r="A601" s="44" t="n"/>
      <c r="J601" s="404" t="n"/>
      <c r="N601" s="404" t="n"/>
      <c r="R601" s="404" t="n"/>
      <c r="AB601" s="537" t="n"/>
      <c r="AC601" s="537" t="n"/>
      <c r="AF601" s="537" t="n"/>
      <c r="AG601" s="537" t="n"/>
    </row>
    <row customHeight="1" ht="15.75" r="602" s="452" spans="1:40">
      <c r="A602" s="44" t="n"/>
      <c r="J602" s="404" t="n"/>
      <c r="N602" s="404" t="n"/>
      <c r="R602" s="404" t="n"/>
      <c r="AB602" s="537" t="n"/>
      <c r="AC602" s="537" t="n"/>
      <c r="AF602" s="537" t="n"/>
      <c r="AG602" s="537" t="n"/>
    </row>
    <row customHeight="1" ht="15.75" r="603" s="452" spans="1:40">
      <c r="A603" s="44" t="n"/>
      <c r="J603" s="404" t="n"/>
      <c r="N603" s="404" t="n"/>
      <c r="R603" s="404" t="n"/>
      <c r="AB603" s="537" t="n"/>
      <c r="AC603" s="537" t="n"/>
      <c r="AF603" s="537" t="n"/>
      <c r="AG603" s="537" t="n"/>
    </row>
    <row customHeight="1" ht="15.75" r="604" s="452" spans="1:40">
      <c r="A604" s="44" t="n"/>
      <c r="J604" s="404" t="n"/>
      <c r="N604" s="404" t="n"/>
      <c r="R604" s="404" t="n"/>
      <c r="AB604" s="537" t="n"/>
      <c r="AC604" s="537" t="n"/>
      <c r="AF604" s="537" t="n"/>
      <c r="AG604" s="537" t="n"/>
    </row>
    <row customHeight="1" ht="15.75" r="605" s="452" spans="1:40">
      <c r="A605" s="44" t="n"/>
      <c r="J605" s="404" t="n"/>
      <c r="N605" s="404" t="n"/>
      <c r="R605" s="404" t="n"/>
      <c r="AB605" s="537" t="n"/>
      <c r="AC605" s="537" t="n"/>
      <c r="AF605" s="537" t="n"/>
      <c r="AG605" s="537" t="n"/>
    </row>
    <row customHeight="1" ht="15.75" r="606" s="452" spans="1:40">
      <c r="A606" s="44" t="n"/>
      <c r="J606" s="404" t="n"/>
      <c r="N606" s="404" t="n"/>
      <c r="R606" s="404" t="n"/>
      <c r="AB606" s="537" t="n"/>
      <c r="AC606" s="537" t="n"/>
      <c r="AF606" s="537" t="n"/>
      <c r="AG606" s="537" t="n"/>
    </row>
    <row customHeight="1" ht="15.75" r="607" s="452" spans="1:40">
      <c r="A607" s="44" t="n"/>
      <c r="J607" s="404" t="n"/>
      <c r="N607" s="404" t="n"/>
      <c r="R607" s="404" t="n"/>
      <c r="AB607" s="537" t="n"/>
      <c r="AC607" s="537" t="n"/>
      <c r="AF607" s="537" t="n"/>
      <c r="AG607" s="537" t="n"/>
    </row>
    <row customHeight="1" ht="15.75" r="608" s="452" spans="1:40">
      <c r="A608" s="44" t="n"/>
      <c r="J608" s="404" t="n"/>
      <c r="N608" s="404" t="n"/>
      <c r="R608" s="404" t="n"/>
      <c r="AB608" s="537" t="n"/>
      <c r="AC608" s="537" t="n"/>
      <c r="AF608" s="537" t="n"/>
      <c r="AG608" s="537" t="n"/>
    </row>
    <row customHeight="1" ht="15.75" r="609" s="452" spans="1:40">
      <c r="A609" s="44" t="n"/>
      <c r="J609" s="404" t="n"/>
      <c r="N609" s="404" t="n"/>
      <c r="R609" s="404" t="n"/>
      <c r="AB609" s="537" t="n"/>
      <c r="AC609" s="537" t="n"/>
      <c r="AF609" s="537" t="n"/>
      <c r="AG609" s="537" t="n"/>
    </row>
    <row customHeight="1" ht="15.75" r="610" s="452" spans="1:40">
      <c r="A610" s="44" t="n"/>
      <c r="J610" s="404" t="n"/>
      <c r="N610" s="404" t="n"/>
      <c r="R610" s="404" t="n"/>
      <c r="AB610" s="537" t="n"/>
      <c r="AC610" s="537" t="n"/>
      <c r="AF610" s="537" t="n"/>
      <c r="AG610" s="537" t="n"/>
    </row>
    <row customHeight="1" ht="15.75" r="611" s="452" spans="1:40">
      <c r="A611" s="44" t="n"/>
      <c r="J611" s="404" t="n"/>
      <c r="N611" s="404" t="n"/>
      <c r="R611" s="404" t="n"/>
      <c r="AB611" s="537" t="n"/>
      <c r="AC611" s="537" t="n"/>
      <c r="AF611" s="537" t="n"/>
      <c r="AG611" s="537" t="n"/>
    </row>
    <row customHeight="1" ht="15.75" r="612" s="452" spans="1:40">
      <c r="A612" s="44" t="n"/>
      <c r="J612" s="404" t="n"/>
      <c r="N612" s="404" t="n"/>
      <c r="R612" s="404" t="n"/>
      <c r="AB612" s="537" t="n"/>
      <c r="AC612" s="537" t="n"/>
      <c r="AF612" s="537" t="n"/>
      <c r="AG612" s="537" t="n"/>
    </row>
    <row customHeight="1" ht="15.75" r="613" s="452" spans="1:40">
      <c r="A613" s="44" t="n"/>
      <c r="J613" s="404" t="n"/>
      <c r="N613" s="404" t="n"/>
      <c r="R613" s="404" t="n"/>
      <c r="AB613" s="537" t="n"/>
      <c r="AC613" s="537" t="n"/>
      <c r="AF613" s="537" t="n"/>
      <c r="AG613" s="537" t="n"/>
    </row>
    <row customHeight="1" ht="15.75" r="614" s="452" spans="1:40">
      <c r="A614" s="44" t="n"/>
      <c r="J614" s="404" t="n"/>
      <c r="N614" s="404" t="n"/>
      <c r="R614" s="404" t="n"/>
      <c r="AB614" s="537" t="n"/>
      <c r="AC614" s="537" t="n"/>
      <c r="AF614" s="537" t="n"/>
      <c r="AG614" s="537" t="n"/>
    </row>
    <row customHeight="1" ht="15.75" r="615" s="452" spans="1:40">
      <c r="A615" s="44" t="n"/>
      <c r="J615" s="404" t="n"/>
      <c r="N615" s="404" t="n"/>
      <c r="R615" s="404" t="n"/>
      <c r="AB615" s="537" t="n"/>
      <c r="AC615" s="537" t="n"/>
      <c r="AF615" s="537" t="n"/>
      <c r="AG615" s="537" t="n"/>
    </row>
    <row customHeight="1" ht="15.75" r="616" s="452" spans="1:40">
      <c r="A616" s="44" t="n"/>
      <c r="J616" s="404" t="n"/>
      <c r="N616" s="404" t="n"/>
      <c r="R616" s="404" t="n"/>
      <c r="AB616" s="537" t="n"/>
      <c r="AC616" s="537" t="n"/>
      <c r="AF616" s="537" t="n"/>
      <c r="AG616" s="537" t="n"/>
    </row>
    <row customHeight="1" ht="15.75" r="617" s="452" spans="1:40">
      <c r="A617" s="44" t="n"/>
      <c r="J617" s="404" t="n"/>
      <c r="N617" s="404" t="n"/>
      <c r="R617" s="404" t="n"/>
      <c r="AB617" s="537" t="n"/>
      <c r="AC617" s="537" t="n"/>
      <c r="AF617" s="537" t="n"/>
      <c r="AG617" s="537" t="n"/>
    </row>
    <row customHeight="1" ht="15.75" r="618" s="452" spans="1:40">
      <c r="A618" s="44" t="n"/>
      <c r="J618" s="404" t="n"/>
      <c r="N618" s="404" t="n"/>
      <c r="R618" s="404" t="n"/>
      <c r="AB618" s="537" t="n"/>
      <c r="AC618" s="537" t="n"/>
      <c r="AF618" s="537" t="n"/>
      <c r="AG618" s="537" t="n"/>
    </row>
    <row customHeight="1" ht="15.75" r="619" s="452" spans="1:40">
      <c r="A619" s="44" t="n"/>
      <c r="J619" s="404" t="n"/>
      <c r="N619" s="404" t="n"/>
      <c r="R619" s="404" t="n"/>
      <c r="AB619" s="537" t="n"/>
      <c r="AC619" s="537" t="n"/>
      <c r="AF619" s="537" t="n"/>
      <c r="AG619" s="537" t="n"/>
    </row>
    <row customHeight="1" ht="15.75" r="620" s="452" spans="1:40">
      <c r="A620" s="44" t="n"/>
      <c r="J620" s="404" t="n"/>
      <c r="N620" s="404" t="n"/>
      <c r="R620" s="404" t="n"/>
      <c r="AB620" s="537" t="n"/>
      <c r="AC620" s="537" t="n"/>
      <c r="AF620" s="537" t="n"/>
      <c r="AG620" s="537" t="n"/>
    </row>
    <row customHeight="1" ht="15.75" r="621" s="452" spans="1:40">
      <c r="A621" s="44" t="n"/>
      <c r="J621" s="404" t="n"/>
      <c r="N621" s="404" t="n"/>
      <c r="R621" s="404" t="n"/>
      <c r="AB621" s="537" t="n"/>
      <c r="AC621" s="537" t="n"/>
      <c r="AF621" s="537" t="n"/>
      <c r="AG621" s="537" t="n"/>
    </row>
    <row customHeight="1" ht="15.75" r="622" s="452" spans="1:40">
      <c r="A622" s="44" t="n"/>
      <c r="J622" s="404" t="n"/>
      <c r="N622" s="404" t="n"/>
      <c r="R622" s="404" t="n"/>
      <c r="AB622" s="537" t="n"/>
      <c r="AC622" s="537" t="n"/>
      <c r="AF622" s="537" t="n"/>
      <c r="AG622" s="537" t="n"/>
    </row>
    <row customHeight="1" ht="15.75" r="623" s="452" spans="1:40">
      <c r="A623" s="44" t="n"/>
      <c r="J623" s="404" t="n"/>
      <c r="N623" s="404" t="n"/>
      <c r="R623" s="404" t="n"/>
      <c r="AB623" s="537" t="n"/>
      <c r="AC623" s="537" t="n"/>
      <c r="AF623" s="537" t="n"/>
      <c r="AG623" s="537" t="n"/>
    </row>
    <row customHeight="1" ht="15.75" r="624" s="452" spans="1:40">
      <c r="A624" s="44" t="n"/>
      <c r="J624" s="404" t="n"/>
      <c r="N624" s="404" t="n"/>
      <c r="R624" s="404" t="n"/>
      <c r="AB624" s="537" t="n"/>
      <c r="AC624" s="537" t="n"/>
      <c r="AF624" s="537" t="n"/>
      <c r="AG624" s="537" t="n"/>
    </row>
    <row customHeight="1" ht="15.75" r="625" s="452" spans="1:40">
      <c r="A625" s="44" t="n"/>
      <c r="J625" s="404" t="n"/>
      <c r="N625" s="404" t="n"/>
      <c r="R625" s="404" t="n"/>
      <c r="AB625" s="537" t="n"/>
      <c r="AC625" s="537" t="n"/>
      <c r="AF625" s="537" t="n"/>
      <c r="AG625" s="537" t="n"/>
    </row>
    <row customHeight="1" ht="15.75" r="626" s="452" spans="1:40">
      <c r="A626" s="44" t="n"/>
      <c r="J626" s="404" t="n"/>
      <c r="N626" s="404" t="n"/>
      <c r="R626" s="404" t="n"/>
      <c r="AB626" s="537" t="n"/>
      <c r="AC626" s="537" t="n"/>
      <c r="AF626" s="537" t="n"/>
      <c r="AG626" s="537" t="n"/>
    </row>
    <row customHeight="1" ht="15.75" r="627" s="452" spans="1:40">
      <c r="A627" s="44" t="n"/>
      <c r="J627" s="404" t="n"/>
      <c r="N627" s="404" t="n"/>
      <c r="R627" s="404" t="n"/>
      <c r="AB627" s="537" t="n"/>
      <c r="AC627" s="537" t="n"/>
      <c r="AF627" s="537" t="n"/>
      <c r="AG627" s="537" t="n"/>
    </row>
    <row customHeight="1" ht="15.75" r="628" s="452" spans="1:40">
      <c r="A628" s="44" t="n"/>
      <c r="J628" s="404" t="n"/>
      <c r="N628" s="404" t="n"/>
      <c r="R628" s="404" t="n"/>
      <c r="AB628" s="537" t="n"/>
      <c r="AC628" s="537" t="n"/>
      <c r="AF628" s="537" t="n"/>
      <c r="AG628" s="537" t="n"/>
    </row>
    <row customHeight="1" ht="15.75" r="629" s="452" spans="1:40">
      <c r="A629" s="44" t="n"/>
      <c r="J629" s="404" t="n"/>
      <c r="N629" s="404" t="n"/>
      <c r="R629" s="404" t="n"/>
      <c r="AB629" s="537" t="n"/>
      <c r="AC629" s="537" t="n"/>
      <c r="AF629" s="537" t="n"/>
      <c r="AG629" s="537" t="n"/>
    </row>
    <row customHeight="1" ht="15.75" r="630" s="452" spans="1:40">
      <c r="A630" s="44" t="n"/>
      <c r="J630" s="404" t="n"/>
      <c r="N630" s="404" t="n"/>
      <c r="R630" s="404" t="n"/>
      <c r="AB630" s="537" t="n"/>
      <c r="AC630" s="537" t="n"/>
      <c r="AF630" s="537" t="n"/>
      <c r="AG630" s="537" t="n"/>
    </row>
    <row customHeight="1" ht="15.75" r="631" s="452" spans="1:40">
      <c r="A631" s="44" t="n"/>
      <c r="J631" s="404" t="n"/>
      <c r="N631" s="404" t="n"/>
      <c r="R631" s="404" t="n"/>
      <c r="AB631" s="537" t="n"/>
      <c r="AC631" s="537" t="n"/>
      <c r="AF631" s="537" t="n"/>
      <c r="AG631" s="537" t="n"/>
    </row>
    <row customHeight="1" ht="15.75" r="632" s="452" spans="1:40">
      <c r="A632" s="44" t="n"/>
      <c r="J632" s="404" t="n"/>
      <c r="N632" s="404" t="n"/>
      <c r="R632" s="404" t="n"/>
      <c r="AB632" s="537" t="n"/>
      <c r="AC632" s="537" t="n"/>
      <c r="AF632" s="537" t="n"/>
      <c r="AG632" s="537" t="n"/>
    </row>
    <row customHeight="1" ht="15.75" r="633" s="452" spans="1:40">
      <c r="A633" s="44" t="n"/>
      <c r="J633" s="404" t="n"/>
      <c r="N633" s="404" t="n"/>
      <c r="R633" s="404" t="n"/>
      <c r="AB633" s="537" t="n"/>
      <c r="AC633" s="537" t="n"/>
      <c r="AF633" s="537" t="n"/>
      <c r="AG633" s="537" t="n"/>
    </row>
    <row customHeight="1" ht="15.75" r="634" s="452" spans="1:40">
      <c r="A634" s="44" t="n"/>
      <c r="J634" s="404" t="n"/>
      <c r="N634" s="404" t="n"/>
      <c r="R634" s="404" t="n"/>
      <c r="AB634" s="537" t="n"/>
      <c r="AC634" s="537" t="n"/>
      <c r="AF634" s="537" t="n"/>
      <c r="AG634" s="537" t="n"/>
    </row>
    <row customHeight="1" ht="15.75" r="635" s="452" spans="1:40">
      <c r="A635" s="44" t="n"/>
      <c r="J635" s="404" t="n"/>
      <c r="N635" s="404" t="n"/>
      <c r="R635" s="404" t="n"/>
      <c r="AB635" s="537" t="n"/>
      <c r="AC635" s="537" t="n"/>
      <c r="AF635" s="537" t="n"/>
      <c r="AG635" s="537" t="n"/>
    </row>
    <row customHeight="1" ht="15.75" r="636" s="452" spans="1:40">
      <c r="A636" s="44" t="n"/>
      <c r="J636" s="404" t="n"/>
      <c r="N636" s="404" t="n"/>
      <c r="R636" s="404" t="n"/>
      <c r="AB636" s="537" t="n"/>
      <c r="AC636" s="537" t="n"/>
      <c r="AF636" s="537" t="n"/>
      <c r="AG636" s="537" t="n"/>
    </row>
    <row customHeight="1" ht="15.75" r="637" s="452" spans="1:40">
      <c r="A637" s="44" t="n"/>
      <c r="J637" s="404" t="n"/>
      <c r="N637" s="404" t="n"/>
      <c r="R637" s="404" t="n"/>
      <c r="AB637" s="537" t="n"/>
      <c r="AC637" s="537" t="n"/>
      <c r="AF637" s="537" t="n"/>
      <c r="AG637" s="537" t="n"/>
    </row>
    <row customHeight="1" ht="15.75" r="638" s="452" spans="1:40">
      <c r="A638" s="44" t="n"/>
      <c r="J638" s="404" t="n"/>
      <c r="N638" s="404" t="n"/>
      <c r="R638" s="404" t="n"/>
      <c r="AB638" s="537" t="n"/>
      <c r="AC638" s="537" t="n"/>
      <c r="AF638" s="537" t="n"/>
      <c r="AG638" s="537" t="n"/>
    </row>
    <row customHeight="1" ht="15.75" r="639" s="452" spans="1:40">
      <c r="A639" s="44" t="n"/>
      <c r="J639" s="404" t="n"/>
      <c r="N639" s="404" t="n"/>
      <c r="R639" s="404" t="n"/>
      <c r="AB639" s="537" t="n"/>
      <c r="AC639" s="537" t="n"/>
      <c r="AF639" s="537" t="n"/>
      <c r="AG639" s="537" t="n"/>
    </row>
    <row customHeight="1" ht="15.75" r="640" s="452" spans="1:40">
      <c r="A640" s="44" t="n"/>
      <c r="J640" s="404" t="n"/>
      <c r="N640" s="404" t="n"/>
      <c r="R640" s="404" t="n"/>
      <c r="AB640" s="537" t="n"/>
      <c r="AC640" s="537" t="n"/>
      <c r="AF640" s="537" t="n"/>
      <c r="AG640" s="537" t="n"/>
    </row>
    <row customHeight="1" ht="15.75" r="641" s="452" spans="1:40">
      <c r="A641" s="44" t="n"/>
      <c r="J641" s="404" t="n"/>
      <c r="N641" s="404" t="n"/>
      <c r="R641" s="404" t="n"/>
      <c r="AB641" s="537" t="n"/>
      <c r="AC641" s="537" t="n"/>
      <c r="AF641" s="537" t="n"/>
      <c r="AG641" s="537" t="n"/>
    </row>
    <row customHeight="1" ht="15.75" r="642" s="452" spans="1:40">
      <c r="A642" s="44" t="n"/>
      <c r="J642" s="404" t="n"/>
      <c r="N642" s="404" t="n"/>
      <c r="R642" s="404" t="n"/>
      <c r="AB642" s="537" t="n"/>
      <c r="AC642" s="537" t="n"/>
      <c r="AF642" s="537" t="n"/>
      <c r="AG642" s="537" t="n"/>
    </row>
    <row customHeight="1" ht="15.75" r="643" s="452" spans="1:40">
      <c r="A643" s="44" t="n"/>
      <c r="J643" s="404" t="n"/>
      <c r="N643" s="404" t="n"/>
      <c r="R643" s="404" t="n"/>
      <c r="AB643" s="537" t="n"/>
      <c r="AC643" s="537" t="n"/>
      <c r="AF643" s="537" t="n"/>
      <c r="AG643" s="537" t="n"/>
    </row>
    <row customHeight="1" ht="15.75" r="644" s="452" spans="1:40">
      <c r="A644" s="44" t="n"/>
      <c r="J644" s="404" t="n"/>
      <c r="N644" s="404" t="n"/>
      <c r="R644" s="404" t="n"/>
      <c r="AB644" s="537" t="n"/>
      <c r="AC644" s="537" t="n"/>
      <c r="AF644" s="537" t="n"/>
      <c r="AG644" s="537" t="n"/>
    </row>
    <row customHeight="1" ht="15.75" r="645" s="452" spans="1:40">
      <c r="A645" s="44" t="n"/>
      <c r="J645" s="404" t="n"/>
      <c r="N645" s="404" t="n"/>
      <c r="R645" s="404" t="n"/>
      <c r="AB645" s="537" t="n"/>
      <c r="AC645" s="537" t="n"/>
      <c r="AF645" s="537" t="n"/>
      <c r="AG645" s="537" t="n"/>
    </row>
    <row customHeight="1" ht="15.75" r="646" s="452" spans="1:40">
      <c r="A646" s="44" t="n"/>
      <c r="J646" s="404" t="n"/>
      <c r="N646" s="404" t="n"/>
      <c r="R646" s="404" t="n"/>
      <c r="AB646" s="537" t="n"/>
      <c r="AC646" s="537" t="n"/>
      <c r="AF646" s="537" t="n"/>
      <c r="AG646" s="537" t="n"/>
    </row>
    <row customHeight="1" ht="15.75" r="647" s="452" spans="1:40">
      <c r="A647" s="44" t="n"/>
      <c r="J647" s="404" t="n"/>
      <c r="N647" s="404" t="n"/>
      <c r="R647" s="404" t="n"/>
      <c r="AB647" s="537" t="n"/>
      <c r="AC647" s="537" t="n"/>
      <c r="AF647" s="537" t="n"/>
      <c r="AG647" s="537" t="n"/>
    </row>
    <row customHeight="1" ht="15.75" r="648" s="452" spans="1:40">
      <c r="A648" s="44" t="n"/>
      <c r="J648" s="404" t="n"/>
      <c r="N648" s="404" t="n"/>
      <c r="R648" s="404" t="n"/>
      <c r="AB648" s="537" t="n"/>
      <c r="AC648" s="537" t="n"/>
      <c r="AF648" s="537" t="n"/>
      <c r="AG648" s="537" t="n"/>
    </row>
    <row customHeight="1" ht="15.75" r="649" s="452" spans="1:40">
      <c r="A649" s="44" t="n"/>
      <c r="J649" s="404" t="n"/>
      <c r="N649" s="404" t="n"/>
      <c r="R649" s="404" t="n"/>
      <c r="AB649" s="537" t="n"/>
      <c r="AC649" s="537" t="n"/>
      <c r="AF649" s="537" t="n"/>
      <c r="AG649" s="537" t="n"/>
    </row>
    <row customHeight="1" ht="15.75" r="650" s="452" spans="1:40">
      <c r="A650" s="44" t="n"/>
      <c r="J650" s="404" t="n"/>
      <c r="N650" s="404" t="n"/>
      <c r="R650" s="404" t="n"/>
      <c r="AB650" s="537" t="n"/>
      <c r="AC650" s="537" t="n"/>
      <c r="AF650" s="537" t="n"/>
      <c r="AG650" s="537" t="n"/>
    </row>
    <row customHeight="1" ht="15.75" r="651" s="452" spans="1:40">
      <c r="A651" s="44" t="n"/>
      <c r="J651" s="404" t="n"/>
      <c r="N651" s="404" t="n"/>
      <c r="R651" s="404" t="n"/>
      <c r="AB651" s="537" t="n"/>
      <c r="AC651" s="537" t="n"/>
      <c r="AF651" s="537" t="n"/>
      <c r="AG651" s="537" t="n"/>
    </row>
    <row customHeight="1" ht="15.75" r="652" s="452" spans="1:40">
      <c r="A652" s="44" t="n"/>
      <c r="J652" s="404" t="n"/>
      <c r="N652" s="404" t="n"/>
      <c r="R652" s="404" t="n"/>
      <c r="AB652" s="537" t="n"/>
      <c r="AC652" s="537" t="n"/>
      <c r="AF652" s="537" t="n"/>
      <c r="AG652" s="537" t="n"/>
    </row>
    <row customHeight="1" ht="15.75" r="653" s="452" spans="1:40">
      <c r="A653" s="44" t="n"/>
      <c r="J653" s="404" t="n"/>
      <c r="N653" s="404" t="n"/>
      <c r="R653" s="404" t="n"/>
      <c r="AB653" s="537" t="n"/>
      <c r="AC653" s="537" t="n"/>
      <c r="AF653" s="537" t="n"/>
      <c r="AG653" s="537" t="n"/>
    </row>
    <row customHeight="1" ht="15.75" r="654" s="452" spans="1:40">
      <c r="A654" s="44" t="n"/>
      <c r="J654" s="404" t="n"/>
      <c r="N654" s="404" t="n"/>
      <c r="R654" s="404" t="n"/>
      <c r="AB654" s="537" t="n"/>
      <c r="AC654" s="537" t="n"/>
      <c r="AF654" s="537" t="n"/>
      <c r="AG654" s="537" t="n"/>
    </row>
    <row customHeight="1" ht="15.75" r="655" s="452" spans="1:40">
      <c r="A655" s="44" t="n"/>
      <c r="J655" s="404" t="n"/>
      <c r="N655" s="404" t="n"/>
      <c r="R655" s="404" t="n"/>
      <c r="AB655" s="537" t="n"/>
      <c r="AC655" s="537" t="n"/>
      <c r="AF655" s="537" t="n"/>
      <c r="AG655" s="537" t="n"/>
    </row>
    <row customHeight="1" ht="15.75" r="656" s="452" spans="1:40">
      <c r="A656" s="44" t="n"/>
      <c r="J656" s="404" t="n"/>
      <c r="N656" s="404" t="n"/>
      <c r="R656" s="404" t="n"/>
      <c r="AB656" s="537" t="n"/>
      <c r="AC656" s="537" t="n"/>
      <c r="AF656" s="537" t="n"/>
      <c r="AG656" s="537" t="n"/>
    </row>
    <row customHeight="1" ht="15.75" r="657" s="452" spans="1:40">
      <c r="A657" s="44" t="n"/>
      <c r="J657" s="404" t="n"/>
      <c r="N657" s="404" t="n"/>
      <c r="R657" s="404" t="n"/>
      <c r="AB657" s="537" t="n"/>
      <c r="AC657" s="537" t="n"/>
      <c r="AF657" s="537" t="n"/>
      <c r="AG657" s="537" t="n"/>
    </row>
    <row customHeight="1" ht="15.75" r="658" s="452" spans="1:40">
      <c r="A658" s="44" t="n"/>
      <c r="J658" s="404" t="n"/>
      <c r="N658" s="404" t="n"/>
      <c r="R658" s="404" t="n"/>
      <c r="AB658" s="537" t="n"/>
      <c r="AC658" s="537" t="n"/>
      <c r="AF658" s="537" t="n"/>
      <c r="AG658" s="537" t="n"/>
    </row>
    <row customHeight="1" ht="15.75" r="659" s="452" spans="1:40">
      <c r="A659" s="44" t="n"/>
      <c r="J659" s="404" t="n"/>
      <c r="N659" s="404" t="n"/>
      <c r="R659" s="404" t="n"/>
      <c r="AB659" s="537" t="n"/>
      <c r="AC659" s="537" t="n"/>
      <c r="AF659" s="537" t="n"/>
      <c r="AG659" s="537" t="n"/>
    </row>
    <row customHeight="1" ht="15.75" r="660" s="452" spans="1:40">
      <c r="A660" s="44" t="n"/>
      <c r="J660" s="404" t="n"/>
      <c r="N660" s="404" t="n"/>
      <c r="R660" s="404" t="n"/>
      <c r="AB660" s="537" t="n"/>
      <c r="AC660" s="537" t="n"/>
      <c r="AF660" s="537" t="n"/>
      <c r="AG660" s="537" t="n"/>
    </row>
    <row customHeight="1" ht="15.75" r="661" s="452" spans="1:40">
      <c r="A661" s="44" t="n"/>
      <c r="J661" s="404" t="n"/>
      <c r="N661" s="404" t="n"/>
      <c r="R661" s="404" t="n"/>
      <c r="AB661" s="537" t="n"/>
      <c r="AC661" s="537" t="n"/>
      <c r="AF661" s="537" t="n"/>
      <c r="AG661" s="537" t="n"/>
    </row>
    <row customHeight="1" ht="15.75" r="662" s="452" spans="1:40">
      <c r="A662" s="44" t="n"/>
      <c r="J662" s="404" t="n"/>
      <c r="N662" s="404" t="n"/>
      <c r="R662" s="404" t="n"/>
      <c r="AB662" s="537" t="n"/>
      <c r="AC662" s="537" t="n"/>
      <c r="AF662" s="537" t="n"/>
      <c r="AG662" s="537" t="n"/>
    </row>
    <row customHeight="1" ht="15.75" r="663" s="452" spans="1:40">
      <c r="A663" s="44" t="n"/>
      <c r="J663" s="404" t="n"/>
      <c r="N663" s="404" t="n"/>
      <c r="R663" s="404" t="n"/>
      <c r="AB663" s="537" t="n"/>
      <c r="AC663" s="537" t="n"/>
      <c r="AF663" s="537" t="n"/>
      <c r="AG663" s="537" t="n"/>
    </row>
    <row customHeight="1" ht="15.75" r="664" s="452" spans="1:40">
      <c r="A664" s="44" t="n"/>
      <c r="J664" s="404" t="n"/>
      <c r="N664" s="404" t="n"/>
      <c r="R664" s="404" t="n"/>
      <c r="AB664" s="537" t="n"/>
      <c r="AC664" s="537" t="n"/>
      <c r="AF664" s="537" t="n"/>
      <c r="AG664" s="537" t="n"/>
    </row>
    <row customHeight="1" ht="15.75" r="665" s="452" spans="1:40">
      <c r="A665" s="44" t="n"/>
      <c r="J665" s="404" t="n"/>
      <c r="N665" s="404" t="n"/>
      <c r="R665" s="404" t="n"/>
      <c r="AB665" s="537" t="n"/>
      <c r="AC665" s="537" t="n"/>
      <c r="AF665" s="537" t="n"/>
      <c r="AG665" s="537" t="n"/>
    </row>
    <row customHeight="1" ht="15.75" r="666" s="452" spans="1:40">
      <c r="A666" s="44" t="n"/>
      <c r="J666" s="404" t="n"/>
      <c r="N666" s="404" t="n"/>
      <c r="R666" s="404" t="n"/>
      <c r="AB666" s="537" t="n"/>
      <c r="AC666" s="537" t="n"/>
      <c r="AF666" s="537" t="n"/>
      <c r="AG666" s="537" t="n"/>
    </row>
    <row customHeight="1" ht="15.75" r="667" s="452" spans="1:40">
      <c r="A667" s="44" t="n"/>
      <c r="J667" s="404" t="n"/>
      <c r="N667" s="404" t="n"/>
      <c r="R667" s="404" t="n"/>
      <c r="AB667" s="537" t="n"/>
      <c r="AC667" s="537" t="n"/>
      <c r="AF667" s="537" t="n"/>
      <c r="AG667" s="537" t="n"/>
    </row>
    <row customHeight="1" ht="15.75" r="668" s="452" spans="1:40">
      <c r="A668" s="44" t="n"/>
      <c r="J668" s="404" t="n"/>
      <c r="N668" s="404" t="n"/>
      <c r="R668" s="404" t="n"/>
      <c r="AB668" s="537" t="n"/>
      <c r="AC668" s="537" t="n"/>
      <c r="AF668" s="537" t="n"/>
      <c r="AG668" s="537" t="n"/>
    </row>
    <row customHeight="1" ht="15.75" r="669" s="452" spans="1:40">
      <c r="A669" s="44" t="n"/>
      <c r="J669" s="404" t="n"/>
      <c r="N669" s="404" t="n"/>
      <c r="R669" s="404" t="n"/>
      <c r="AB669" s="537" t="n"/>
      <c r="AC669" s="537" t="n"/>
      <c r="AF669" s="537" t="n"/>
      <c r="AG669" s="537" t="n"/>
    </row>
    <row customHeight="1" ht="15.75" r="670" s="452" spans="1:40">
      <c r="A670" s="44" t="n"/>
      <c r="J670" s="404" t="n"/>
      <c r="N670" s="404" t="n"/>
      <c r="R670" s="404" t="n"/>
      <c r="AB670" s="537" t="n"/>
      <c r="AC670" s="537" t="n"/>
      <c r="AF670" s="537" t="n"/>
      <c r="AG670" s="537" t="n"/>
    </row>
    <row customHeight="1" ht="15.75" r="671" s="452" spans="1:40">
      <c r="A671" s="44" t="n"/>
      <c r="J671" s="404" t="n"/>
      <c r="N671" s="404" t="n"/>
      <c r="R671" s="404" t="n"/>
      <c r="AB671" s="537" t="n"/>
      <c r="AC671" s="537" t="n"/>
      <c r="AF671" s="537" t="n"/>
      <c r="AG671" s="537" t="n"/>
    </row>
    <row customHeight="1" ht="15.75" r="672" s="452" spans="1:40">
      <c r="A672" s="44" t="n"/>
      <c r="J672" s="404" t="n"/>
      <c r="N672" s="404" t="n"/>
      <c r="R672" s="404" t="n"/>
      <c r="AB672" s="537" t="n"/>
      <c r="AC672" s="537" t="n"/>
      <c r="AF672" s="537" t="n"/>
      <c r="AG672" s="537" t="n"/>
    </row>
    <row customHeight="1" ht="15.75" r="673" s="452" spans="1:40">
      <c r="A673" s="44" t="n"/>
      <c r="J673" s="404" t="n"/>
      <c r="N673" s="404" t="n"/>
      <c r="R673" s="404" t="n"/>
      <c r="AB673" s="537" t="n"/>
      <c r="AC673" s="537" t="n"/>
      <c r="AF673" s="537" t="n"/>
      <c r="AG673" s="537" t="n"/>
    </row>
    <row customHeight="1" ht="15.75" r="674" s="452" spans="1:40">
      <c r="A674" s="44" t="n"/>
      <c r="J674" s="404" t="n"/>
      <c r="N674" s="404" t="n"/>
      <c r="R674" s="404" t="n"/>
      <c r="AB674" s="537" t="n"/>
      <c r="AC674" s="537" t="n"/>
      <c r="AF674" s="537" t="n"/>
      <c r="AG674" s="537" t="n"/>
    </row>
    <row customHeight="1" ht="15.75" r="675" s="452" spans="1:40">
      <c r="A675" s="44" t="n"/>
      <c r="J675" s="404" t="n"/>
      <c r="N675" s="404" t="n"/>
      <c r="R675" s="404" t="n"/>
      <c r="AB675" s="537" t="n"/>
      <c r="AC675" s="537" t="n"/>
      <c r="AF675" s="537" t="n"/>
      <c r="AG675" s="537" t="n"/>
    </row>
    <row customHeight="1" ht="15.75" r="676" s="452" spans="1:40">
      <c r="A676" s="44" t="n"/>
      <c r="J676" s="404" t="n"/>
      <c r="N676" s="404" t="n"/>
      <c r="R676" s="404" t="n"/>
      <c r="AB676" s="537" t="n"/>
      <c r="AC676" s="537" t="n"/>
      <c r="AF676" s="537" t="n"/>
      <c r="AG676" s="537" t="n"/>
    </row>
    <row customHeight="1" ht="15.75" r="677" s="452" spans="1:40">
      <c r="A677" s="44" t="n"/>
      <c r="J677" s="404" t="n"/>
      <c r="N677" s="404" t="n"/>
      <c r="R677" s="404" t="n"/>
      <c r="AB677" s="537" t="n"/>
      <c r="AC677" s="537" t="n"/>
      <c r="AF677" s="537" t="n"/>
      <c r="AG677" s="537" t="n"/>
    </row>
    <row customHeight="1" ht="15.75" r="678" s="452" spans="1:40">
      <c r="A678" s="44" t="n"/>
      <c r="J678" s="404" t="n"/>
      <c r="N678" s="404" t="n"/>
      <c r="R678" s="404" t="n"/>
      <c r="AB678" s="537" t="n"/>
      <c r="AC678" s="537" t="n"/>
      <c r="AF678" s="537" t="n"/>
      <c r="AG678" s="537" t="n"/>
    </row>
    <row customHeight="1" ht="15.75" r="679" s="452" spans="1:40">
      <c r="A679" s="44" t="n"/>
      <c r="J679" s="404" t="n"/>
      <c r="N679" s="404" t="n"/>
      <c r="R679" s="404" t="n"/>
      <c r="AB679" s="537" t="n"/>
      <c r="AC679" s="537" t="n"/>
      <c r="AF679" s="537" t="n"/>
      <c r="AG679" s="537" t="n"/>
    </row>
    <row customHeight="1" ht="15.75" r="680" s="452" spans="1:40">
      <c r="A680" s="44" t="n"/>
      <c r="J680" s="404" t="n"/>
      <c r="N680" s="404" t="n"/>
      <c r="R680" s="404" t="n"/>
      <c r="AB680" s="537" t="n"/>
      <c r="AC680" s="537" t="n"/>
      <c r="AF680" s="537" t="n"/>
      <c r="AG680" s="537" t="n"/>
    </row>
    <row customHeight="1" ht="15.75" r="681" s="452" spans="1:40">
      <c r="A681" s="44" t="n"/>
      <c r="J681" s="404" t="n"/>
      <c r="N681" s="404" t="n"/>
      <c r="R681" s="404" t="n"/>
      <c r="AB681" s="537" t="n"/>
      <c r="AC681" s="537" t="n"/>
      <c r="AF681" s="537" t="n"/>
      <c r="AG681" s="537" t="n"/>
    </row>
    <row customHeight="1" ht="15.75" r="682" s="452" spans="1:40">
      <c r="A682" s="44" t="n"/>
      <c r="J682" s="404" t="n"/>
      <c r="N682" s="404" t="n"/>
      <c r="R682" s="404" t="n"/>
      <c r="AB682" s="537" t="n"/>
      <c r="AC682" s="537" t="n"/>
      <c r="AF682" s="537" t="n"/>
      <c r="AG682" s="537" t="n"/>
    </row>
    <row customHeight="1" ht="15.75" r="683" s="452" spans="1:40">
      <c r="A683" s="44" t="n"/>
      <c r="J683" s="404" t="n"/>
      <c r="N683" s="404" t="n"/>
      <c r="R683" s="404" t="n"/>
      <c r="AB683" s="537" t="n"/>
      <c r="AC683" s="537" t="n"/>
      <c r="AF683" s="537" t="n"/>
      <c r="AG683" s="537" t="n"/>
    </row>
    <row customHeight="1" ht="15.75" r="684" s="452" spans="1:40">
      <c r="A684" s="44" t="n"/>
      <c r="J684" s="404" t="n"/>
      <c r="N684" s="404" t="n"/>
      <c r="R684" s="404" t="n"/>
      <c r="AB684" s="537" t="n"/>
      <c r="AC684" s="537" t="n"/>
      <c r="AF684" s="537" t="n"/>
      <c r="AG684" s="537" t="n"/>
    </row>
    <row customHeight="1" ht="15.75" r="685" s="452" spans="1:40">
      <c r="A685" s="44" t="n"/>
      <c r="J685" s="404" t="n"/>
      <c r="N685" s="404" t="n"/>
      <c r="R685" s="404" t="n"/>
      <c r="AB685" s="537" t="n"/>
      <c r="AC685" s="537" t="n"/>
      <c r="AF685" s="537" t="n"/>
      <c r="AG685" s="537" t="n"/>
    </row>
    <row customHeight="1" ht="15.75" r="686" s="452" spans="1:40">
      <c r="A686" s="44" t="n"/>
      <c r="J686" s="404" t="n"/>
      <c r="N686" s="404" t="n"/>
      <c r="R686" s="404" t="n"/>
      <c r="AB686" s="537" t="n"/>
      <c r="AC686" s="537" t="n"/>
      <c r="AF686" s="537" t="n"/>
      <c r="AG686" s="537" t="n"/>
    </row>
    <row customHeight="1" ht="15.75" r="687" s="452" spans="1:40">
      <c r="A687" s="44" t="n"/>
      <c r="J687" s="404" t="n"/>
      <c r="N687" s="404" t="n"/>
      <c r="R687" s="404" t="n"/>
      <c r="AB687" s="537" t="n"/>
      <c r="AC687" s="537" t="n"/>
      <c r="AF687" s="537" t="n"/>
      <c r="AG687" s="537" t="n"/>
    </row>
    <row customHeight="1" ht="15.75" r="688" s="452" spans="1:40">
      <c r="A688" s="44" t="n"/>
      <c r="J688" s="404" t="n"/>
      <c r="N688" s="404" t="n"/>
      <c r="R688" s="404" t="n"/>
      <c r="AB688" s="537" t="n"/>
      <c r="AC688" s="537" t="n"/>
      <c r="AF688" s="537" t="n"/>
      <c r="AG688" s="537" t="n"/>
    </row>
    <row customHeight="1" ht="15.75" r="689" s="452" spans="1:40">
      <c r="A689" s="44" t="n"/>
      <c r="J689" s="404" t="n"/>
      <c r="N689" s="404" t="n"/>
      <c r="R689" s="404" t="n"/>
      <c r="AB689" s="537" t="n"/>
      <c r="AC689" s="537" t="n"/>
      <c r="AF689" s="537" t="n"/>
      <c r="AG689" s="537" t="n"/>
    </row>
    <row customHeight="1" ht="15.75" r="690" s="452" spans="1:40">
      <c r="A690" s="44" t="n"/>
      <c r="J690" s="404" t="n"/>
      <c r="N690" s="404" t="n"/>
      <c r="R690" s="404" t="n"/>
      <c r="AB690" s="537" t="n"/>
      <c r="AC690" s="537" t="n"/>
      <c r="AF690" s="537" t="n"/>
      <c r="AG690" s="537" t="n"/>
    </row>
    <row customHeight="1" ht="15.75" r="691" s="452" spans="1:40">
      <c r="A691" s="44" t="n"/>
      <c r="J691" s="404" t="n"/>
      <c r="N691" s="404" t="n"/>
      <c r="R691" s="404" t="n"/>
      <c r="AB691" s="537" t="n"/>
      <c r="AC691" s="537" t="n"/>
      <c r="AF691" s="537" t="n"/>
      <c r="AG691" s="537" t="n"/>
    </row>
    <row customHeight="1" ht="15.75" r="692" s="452" spans="1:40">
      <c r="A692" s="44" t="n"/>
      <c r="J692" s="404" t="n"/>
      <c r="N692" s="404" t="n"/>
      <c r="R692" s="404" t="n"/>
      <c r="AB692" s="537" t="n"/>
      <c r="AC692" s="537" t="n"/>
      <c r="AF692" s="537" t="n"/>
      <c r="AG692" s="537" t="n"/>
    </row>
    <row customHeight="1" ht="15.75" r="693" s="452" spans="1:40">
      <c r="A693" s="44" t="n"/>
      <c r="J693" s="404" t="n"/>
      <c r="N693" s="404" t="n"/>
      <c r="R693" s="404" t="n"/>
      <c r="AB693" s="537" t="n"/>
      <c r="AC693" s="537" t="n"/>
      <c r="AF693" s="537" t="n"/>
      <c r="AG693" s="537" t="n"/>
    </row>
    <row customHeight="1" ht="15.75" r="694" s="452" spans="1:40">
      <c r="A694" s="44" t="n"/>
      <c r="J694" s="404" t="n"/>
      <c r="N694" s="404" t="n"/>
      <c r="R694" s="404" t="n"/>
      <c r="AB694" s="537" t="n"/>
      <c r="AC694" s="537" t="n"/>
      <c r="AF694" s="537" t="n"/>
      <c r="AG694" s="537" t="n"/>
    </row>
    <row customHeight="1" ht="15.75" r="695" s="452" spans="1:40">
      <c r="A695" s="44" t="n"/>
      <c r="J695" s="404" t="n"/>
      <c r="N695" s="404" t="n"/>
      <c r="R695" s="404" t="n"/>
      <c r="AB695" s="537" t="n"/>
      <c r="AC695" s="537" t="n"/>
      <c r="AF695" s="537" t="n"/>
      <c r="AG695" s="537" t="n"/>
    </row>
    <row customHeight="1" ht="15.75" r="696" s="452" spans="1:40">
      <c r="A696" s="44" t="n"/>
      <c r="J696" s="404" t="n"/>
      <c r="N696" s="404" t="n"/>
      <c r="R696" s="404" t="n"/>
      <c r="AB696" s="537" t="n"/>
      <c r="AC696" s="537" t="n"/>
      <c r="AF696" s="537" t="n"/>
      <c r="AG696" s="537" t="n"/>
    </row>
    <row customHeight="1" ht="15.75" r="697" s="452" spans="1:40">
      <c r="A697" s="44" t="n"/>
      <c r="J697" s="404" t="n"/>
      <c r="N697" s="404" t="n"/>
      <c r="R697" s="404" t="n"/>
      <c r="AB697" s="537" t="n"/>
      <c r="AC697" s="537" t="n"/>
      <c r="AF697" s="537" t="n"/>
      <c r="AG697" s="537" t="n"/>
    </row>
    <row customHeight="1" ht="15.75" r="698" s="452" spans="1:40">
      <c r="A698" s="44" t="n"/>
      <c r="J698" s="404" t="n"/>
      <c r="N698" s="404" t="n"/>
      <c r="R698" s="404" t="n"/>
      <c r="AB698" s="537" t="n"/>
      <c r="AC698" s="537" t="n"/>
      <c r="AF698" s="537" t="n"/>
      <c r="AG698" s="537" t="n"/>
    </row>
    <row customHeight="1" ht="15.75" r="699" s="452" spans="1:40">
      <c r="A699" s="44" t="n"/>
      <c r="J699" s="404" t="n"/>
      <c r="N699" s="404" t="n"/>
      <c r="R699" s="404" t="n"/>
      <c r="AB699" s="537" t="n"/>
      <c r="AC699" s="537" t="n"/>
      <c r="AF699" s="537" t="n"/>
      <c r="AG699" s="537" t="n"/>
    </row>
    <row customHeight="1" ht="15.75" r="700" s="452" spans="1:40">
      <c r="A700" s="44" t="n"/>
      <c r="J700" s="404" t="n"/>
      <c r="N700" s="404" t="n"/>
      <c r="R700" s="404" t="n"/>
      <c r="AB700" s="537" t="n"/>
      <c r="AC700" s="537" t="n"/>
      <c r="AF700" s="537" t="n"/>
      <c r="AG700" s="537" t="n"/>
    </row>
    <row customHeight="1" ht="15.75" r="701" s="452" spans="1:40">
      <c r="A701" s="44" t="n"/>
      <c r="J701" s="404" t="n"/>
      <c r="N701" s="404" t="n"/>
      <c r="R701" s="404" t="n"/>
      <c r="AB701" s="537" t="n"/>
      <c r="AC701" s="537" t="n"/>
      <c r="AF701" s="537" t="n"/>
      <c r="AG701" s="537" t="n"/>
    </row>
    <row customHeight="1" ht="15.75" r="702" s="452" spans="1:40">
      <c r="A702" s="44" t="n"/>
      <c r="J702" s="404" t="n"/>
      <c r="N702" s="404" t="n"/>
      <c r="R702" s="404" t="n"/>
      <c r="AB702" s="537" t="n"/>
      <c r="AC702" s="537" t="n"/>
      <c r="AF702" s="537" t="n"/>
      <c r="AG702" s="537" t="n"/>
    </row>
    <row customHeight="1" ht="15.75" r="703" s="452" spans="1:40">
      <c r="A703" s="44" t="n"/>
      <c r="J703" s="404" t="n"/>
      <c r="N703" s="404" t="n"/>
      <c r="R703" s="404" t="n"/>
      <c r="AB703" s="537" t="n"/>
      <c r="AC703" s="537" t="n"/>
      <c r="AF703" s="537" t="n"/>
      <c r="AG703" s="537" t="n"/>
    </row>
    <row customHeight="1" ht="15.75" r="704" s="452" spans="1:40">
      <c r="A704" s="44" t="n"/>
      <c r="J704" s="404" t="n"/>
      <c r="N704" s="404" t="n"/>
      <c r="R704" s="404" t="n"/>
      <c r="AB704" s="537" t="n"/>
      <c r="AC704" s="537" t="n"/>
      <c r="AF704" s="537" t="n"/>
      <c r="AG704" s="537" t="n"/>
    </row>
    <row customHeight="1" ht="15.75" r="705" s="452" spans="1:40">
      <c r="A705" s="44" t="n"/>
      <c r="J705" s="404" t="n"/>
      <c r="N705" s="404" t="n"/>
      <c r="R705" s="404" t="n"/>
      <c r="AB705" s="537" t="n"/>
      <c r="AC705" s="537" t="n"/>
      <c r="AF705" s="537" t="n"/>
      <c r="AG705" s="537" t="n"/>
    </row>
    <row customHeight="1" ht="15.75" r="706" s="452" spans="1:40">
      <c r="A706" s="44" t="n"/>
      <c r="J706" s="404" t="n"/>
      <c r="N706" s="404" t="n"/>
      <c r="R706" s="404" t="n"/>
      <c r="AB706" s="537" t="n"/>
      <c r="AC706" s="537" t="n"/>
      <c r="AF706" s="537" t="n"/>
      <c r="AG706" s="537" t="n"/>
    </row>
    <row customHeight="1" ht="15.75" r="707" s="452" spans="1:40">
      <c r="A707" s="44" t="n"/>
      <c r="J707" s="404" t="n"/>
      <c r="N707" s="404" t="n"/>
      <c r="R707" s="404" t="n"/>
      <c r="AB707" s="537" t="n"/>
      <c r="AC707" s="537" t="n"/>
      <c r="AF707" s="537" t="n"/>
      <c r="AG707" s="537" t="n"/>
    </row>
    <row customHeight="1" ht="15.75" r="708" s="452" spans="1:40">
      <c r="A708" s="44" t="n"/>
      <c r="J708" s="404" t="n"/>
      <c r="N708" s="404" t="n"/>
      <c r="R708" s="404" t="n"/>
      <c r="AB708" s="537" t="n"/>
      <c r="AC708" s="537" t="n"/>
      <c r="AF708" s="537" t="n"/>
      <c r="AG708" s="537" t="n"/>
    </row>
    <row customHeight="1" ht="15.75" r="709" s="452" spans="1:40">
      <c r="A709" s="44" t="n"/>
      <c r="J709" s="404" t="n"/>
      <c r="N709" s="404" t="n"/>
      <c r="R709" s="404" t="n"/>
      <c r="AB709" s="537" t="n"/>
      <c r="AC709" s="537" t="n"/>
      <c r="AF709" s="537" t="n"/>
      <c r="AG709" s="537" t="n"/>
    </row>
    <row customHeight="1" ht="15.75" r="710" s="452" spans="1:40">
      <c r="A710" s="44" t="n"/>
      <c r="J710" s="404" t="n"/>
      <c r="N710" s="404" t="n"/>
      <c r="R710" s="404" t="n"/>
      <c r="AB710" s="537" t="n"/>
      <c r="AC710" s="537" t="n"/>
      <c r="AF710" s="537" t="n"/>
      <c r="AG710" s="537" t="n"/>
    </row>
    <row customHeight="1" ht="15.75" r="711" s="452" spans="1:40">
      <c r="A711" s="44" t="n"/>
      <c r="J711" s="404" t="n"/>
      <c r="N711" s="404" t="n"/>
      <c r="R711" s="404" t="n"/>
      <c r="AB711" s="537" t="n"/>
      <c r="AC711" s="537" t="n"/>
      <c r="AF711" s="537" t="n"/>
      <c r="AG711" s="537" t="n"/>
    </row>
    <row customHeight="1" ht="15.75" r="712" s="452" spans="1:40">
      <c r="A712" s="44" t="n"/>
      <c r="J712" s="404" t="n"/>
      <c r="N712" s="404" t="n"/>
      <c r="R712" s="404" t="n"/>
      <c r="AB712" s="537" t="n"/>
      <c r="AC712" s="537" t="n"/>
      <c r="AF712" s="537" t="n"/>
      <c r="AG712" s="537" t="n"/>
    </row>
    <row customHeight="1" ht="15.75" r="713" s="452" spans="1:40">
      <c r="A713" s="44" t="n"/>
      <c r="J713" s="404" t="n"/>
      <c r="N713" s="404" t="n"/>
      <c r="R713" s="404" t="n"/>
      <c r="AB713" s="537" t="n"/>
      <c r="AC713" s="537" t="n"/>
      <c r="AF713" s="537" t="n"/>
      <c r="AG713" s="537" t="n"/>
    </row>
    <row customHeight="1" ht="15.75" r="714" s="452" spans="1:40">
      <c r="A714" s="44" t="n"/>
      <c r="J714" s="404" t="n"/>
      <c r="N714" s="404" t="n"/>
      <c r="R714" s="404" t="n"/>
      <c r="AB714" s="537" t="n"/>
      <c r="AC714" s="537" t="n"/>
      <c r="AF714" s="537" t="n"/>
      <c r="AG714" s="537" t="n"/>
    </row>
    <row customHeight="1" ht="15.75" r="715" s="452" spans="1:40">
      <c r="A715" s="44" t="n"/>
      <c r="J715" s="404" t="n"/>
      <c r="N715" s="404" t="n"/>
      <c r="R715" s="404" t="n"/>
      <c r="AB715" s="537" t="n"/>
      <c r="AC715" s="537" t="n"/>
      <c r="AF715" s="537" t="n"/>
      <c r="AG715" s="537" t="n"/>
    </row>
    <row customHeight="1" ht="15.75" r="716" s="452" spans="1:40">
      <c r="A716" s="44" t="n"/>
      <c r="J716" s="404" t="n"/>
      <c r="N716" s="404" t="n"/>
      <c r="R716" s="404" t="n"/>
      <c r="AB716" s="537" t="n"/>
      <c r="AC716" s="537" t="n"/>
      <c r="AF716" s="537" t="n"/>
      <c r="AG716" s="537" t="n"/>
    </row>
    <row customHeight="1" ht="15.75" r="717" s="452" spans="1:40">
      <c r="A717" s="44" t="n"/>
      <c r="J717" s="404" t="n"/>
      <c r="N717" s="404" t="n"/>
      <c r="R717" s="404" t="n"/>
      <c r="AB717" s="537" t="n"/>
      <c r="AC717" s="537" t="n"/>
      <c r="AF717" s="537" t="n"/>
      <c r="AG717" s="537" t="n"/>
    </row>
    <row customHeight="1" ht="15.75" r="718" s="452" spans="1:40">
      <c r="A718" s="44" t="n"/>
      <c r="J718" s="404" t="n"/>
      <c r="N718" s="404" t="n"/>
      <c r="R718" s="404" t="n"/>
      <c r="AB718" s="537" t="n"/>
      <c r="AC718" s="537" t="n"/>
      <c r="AF718" s="537" t="n"/>
      <c r="AG718" s="537" t="n"/>
    </row>
    <row customHeight="1" ht="15.75" r="719" s="452" spans="1:40">
      <c r="A719" s="44" t="n"/>
      <c r="J719" s="404" t="n"/>
      <c r="N719" s="404" t="n"/>
      <c r="R719" s="404" t="n"/>
      <c r="AB719" s="537" t="n"/>
      <c r="AC719" s="537" t="n"/>
      <c r="AF719" s="537" t="n"/>
      <c r="AG719" s="537" t="n"/>
    </row>
    <row customHeight="1" ht="15.75" r="720" s="452" spans="1:40">
      <c r="A720" s="44" t="n"/>
      <c r="J720" s="404" t="n"/>
      <c r="N720" s="404" t="n"/>
      <c r="R720" s="404" t="n"/>
      <c r="AB720" s="537" t="n"/>
      <c r="AC720" s="537" t="n"/>
      <c r="AF720" s="537" t="n"/>
      <c r="AG720" s="537" t="n"/>
    </row>
    <row customHeight="1" ht="15.75" r="721" s="452" spans="1:40">
      <c r="A721" s="44" t="n"/>
      <c r="J721" s="404" t="n"/>
      <c r="N721" s="404" t="n"/>
      <c r="R721" s="404" t="n"/>
      <c r="AB721" s="537" t="n"/>
      <c r="AC721" s="537" t="n"/>
      <c r="AF721" s="537" t="n"/>
      <c r="AG721" s="537" t="n"/>
    </row>
    <row customHeight="1" ht="15.75" r="722" s="452" spans="1:40">
      <c r="A722" s="44" t="n"/>
      <c r="J722" s="404" t="n"/>
      <c r="N722" s="404" t="n"/>
      <c r="R722" s="404" t="n"/>
      <c r="AB722" s="537" t="n"/>
      <c r="AC722" s="537" t="n"/>
      <c r="AF722" s="537" t="n"/>
      <c r="AG722" s="537" t="n"/>
    </row>
    <row customHeight="1" ht="15.75" r="723" s="452" spans="1:40">
      <c r="A723" s="44" t="n"/>
      <c r="J723" s="404" t="n"/>
      <c r="N723" s="404" t="n"/>
      <c r="R723" s="404" t="n"/>
      <c r="AB723" s="537" t="n"/>
      <c r="AC723" s="537" t="n"/>
      <c r="AF723" s="537" t="n"/>
      <c r="AG723" s="537" t="n"/>
    </row>
    <row customHeight="1" ht="15.75" r="724" s="452" spans="1:40">
      <c r="A724" s="44" t="n"/>
      <c r="J724" s="404" t="n"/>
      <c r="N724" s="404" t="n"/>
      <c r="R724" s="404" t="n"/>
      <c r="AB724" s="537" t="n"/>
      <c r="AC724" s="537" t="n"/>
      <c r="AF724" s="537" t="n"/>
      <c r="AG724" s="537" t="n"/>
    </row>
    <row customHeight="1" ht="15.75" r="725" s="452" spans="1:40">
      <c r="A725" s="44" t="n"/>
      <c r="J725" s="404" t="n"/>
      <c r="N725" s="404" t="n"/>
      <c r="R725" s="404" t="n"/>
      <c r="AB725" s="537" t="n"/>
      <c r="AC725" s="537" t="n"/>
      <c r="AF725" s="537" t="n"/>
      <c r="AG725" s="537" t="n"/>
    </row>
    <row customHeight="1" ht="15.75" r="726" s="452" spans="1:40">
      <c r="A726" s="44" t="n"/>
      <c r="J726" s="404" t="n"/>
      <c r="N726" s="404" t="n"/>
      <c r="R726" s="404" t="n"/>
      <c r="AB726" s="537" t="n"/>
      <c r="AC726" s="537" t="n"/>
      <c r="AF726" s="537" t="n"/>
      <c r="AG726" s="537" t="n"/>
    </row>
    <row customHeight="1" ht="15.75" r="727" s="452" spans="1:40">
      <c r="A727" s="44" t="n"/>
      <c r="J727" s="404" t="n"/>
      <c r="N727" s="404" t="n"/>
      <c r="R727" s="404" t="n"/>
      <c r="AB727" s="537" t="n"/>
      <c r="AC727" s="537" t="n"/>
      <c r="AF727" s="537" t="n"/>
      <c r="AG727" s="537" t="n"/>
    </row>
    <row customHeight="1" ht="15.75" r="728" s="452" spans="1:40">
      <c r="A728" s="44" t="n"/>
      <c r="J728" s="404" t="n"/>
      <c r="N728" s="404" t="n"/>
      <c r="R728" s="404" t="n"/>
      <c r="AB728" s="537" t="n"/>
      <c r="AC728" s="537" t="n"/>
      <c r="AF728" s="537" t="n"/>
      <c r="AG728" s="537" t="n"/>
    </row>
    <row customHeight="1" ht="15.75" r="729" s="452" spans="1:40">
      <c r="A729" s="44" t="n"/>
      <c r="J729" s="404" t="n"/>
      <c r="N729" s="404" t="n"/>
      <c r="R729" s="404" t="n"/>
      <c r="AB729" s="537" t="n"/>
      <c r="AC729" s="537" t="n"/>
      <c r="AF729" s="537" t="n"/>
      <c r="AG729" s="537" t="n"/>
    </row>
    <row customHeight="1" ht="15.75" r="730" s="452" spans="1:40">
      <c r="A730" s="44" t="n"/>
      <c r="J730" s="404" t="n"/>
      <c r="N730" s="404" t="n"/>
      <c r="R730" s="404" t="n"/>
      <c r="AB730" s="537" t="n"/>
      <c r="AC730" s="537" t="n"/>
      <c r="AF730" s="537" t="n"/>
      <c r="AG730" s="537" t="n"/>
    </row>
    <row customHeight="1" ht="15.75" r="731" s="452" spans="1:40">
      <c r="A731" s="44" t="n"/>
      <c r="J731" s="404" t="n"/>
      <c r="N731" s="404" t="n"/>
      <c r="R731" s="404" t="n"/>
      <c r="AB731" s="537" t="n"/>
      <c r="AC731" s="537" t="n"/>
      <c r="AF731" s="537" t="n"/>
      <c r="AG731" s="537" t="n"/>
    </row>
    <row customHeight="1" ht="15.75" r="732" s="452" spans="1:40">
      <c r="A732" s="44" t="n"/>
      <c r="J732" s="404" t="n"/>
      <c r="N732" s="404" t="n"/>
      <c r="R732" s="404" t="n"/>
      <c r="AB732" s="537" t="n"/>
      <c r="AC732" s="537" t="n"/>
      <c r="AF732" s="537" t="n"/>
      <c r="AG732" s="537" t="n"/>
    </row>
    <row customHeight="1" ht="15.75" r="733" s="452" spans="1:40">
      <c r="A733" s="44" t="n"/>
      <c r="J733" s="404" t="n"/>
      <c r="N733" s="404" t="n"/>
      <c r="R733" s="404" t="n"/>
      <c r="AB733" s="537" t="n"/>
      <c r="AC733" s="537" t="n"/>
      <c r="AF733" s="537" t="n"/>
      <c r="AG733" s="537" t="n"/>
    </row>
    <row customHeight="1" ht="15.75" r="734" s="452" spans="1:40">
      <c r="A734" s="44" t="n"/>
      <c r="J734" s="404" t="n"/>
      <c r="N734" s="404" t="n"/>
      <c r="R734" s="404" t="n"/>
      <c r="AB734" s="537" t="n"/>
      <c r="AC734" s="537" t="n"/>
      <c r="AF734" s="537" t="n"/>
      <c r="AG734" s="537" t="n"/>
    </row>
    <row customHeight="1" ht="15.75" r="735" s="452" spans="1:40">
      <c r="A735" s="44" t="n"/>
      <c r="J735" s="404" t="n"/>
      <c r="N735" s="404" t="n"/>
      <c r="R735" s="404" t="n"/>
      <c r="AB735" s="537" t="n"/>
      <c r="AC735" s="537" t="n"/>
      <c r="AF735" s="537" t="n"/>
      <c r="AG735" s="537" t="n"/>
    </row>
    <row customHeight="1" ht="15.75" r="736" s="452" spans="1:40">
      <c r="A736" s="44" t="n"/>
      <c r="J736" s="404" t="n"/>
      <c r="N736" s="404" t="n"/>
      <c r="R736" s="404" t="n"/>
      <c r="AB736" s="537" t="n"/>
      <c r="AC736" s="537" t="n"/>
      <c r="AF736" s="537" t="n"/>
      <c r="AG736" s="537" t="n"/>
    </row>
    <row customHeight="1" ht="15.75" r="737" s="452" spans="1:40">
      <c r="A737" s="44" t="n"/>
      <c r="J737" s="404" t="n"/>
      <c r="N737" s="404" t="n"/>
      <c r="R737" s="404" t="n"/>
      <c r="AB737" s="537" t="n"/>
      <c r="AC737" s="537" t="n"/>
      <c r="AF737" s="537" t="n"/>
      <c r="AG737" s="537" t="n"/>
    </row>
    <row customHeight="1" ht="15.75" r="738" s="452" spans="1:40">
      <c r="A738" s="44" t="n"/>
      <c r="J738" s="404" t="n"/>
      <c r="N738" s="404" t="n"/>
      <c r="R738" s="404" t="n"/>
      <c r="AB738" s="537" t="n"/>
      <c r="AC738" s="537" t="n"/>
      <c r="AF738" s="537" t="n"/>
      <c r="AG738" s="537" t="n"/>
    </row>
    <row customHeight="1" ht="15.75" r="739" s="452" spans="1:40">
      <c r="A739" s="44" t="n"/>
      <c r="J739" s="404" t="n"/>
      <c r="N739" s="404" t="n"/>
      <c r="R739" s="404" t="n"/>
      <c r="AB739" s="537" t="n"/>
      <c r="AC739" s="537" t="n"/>
      <c r="AF739" s="537" t="n"/>
      <c r="AG739" s="537" t="n"/>
    </row>
    <row customHeight="1" ht="15.75" r="740" s="452" spans="1:40">
      <c r="A740" s="44" t="n"/>
      <c r="J740" s="404" t="n"/>
      <c r="N740" s="404" t="n"/>
      <c r="R740" s="404" t="n"/>
      <c r="AB740" s="537" t="n"/>
      <c r="AC740" s="537" t="n"/>
      <c r="AF740" s="537" t="n"/>
      <c r="AG740" s="537" t="n"/>
    </row>
    <row customHeight="1" ht="15.75" r="741" s="452" spans="1:40">
      <c r="A741" s="44" t="n"/>
      <c r="J741" s="404" t="n"/>
      <c r="N741" s="404" t="n"/>
      <c r="R741" s="404" t="n"/>
      <c r="AB741" s="537" t="n"/>
      <c r="AC741" s="537" t="n"/>
      <c r="AF741" s="537" t="n"/>
      <c r="AG741" s="537" t="n"/>
    </row>
    <row customHeight="1" ht="15.75" r="742" s="452" spans="1:40">
      <c r="A742" s="44" t="n"/>
      <c r="J742" s="404" t="n"/>
      <c r="N742" s="404" t="n"/>
      <c r="R742" s="404" t="n"/>
      <c r="AB742" s="537" t="n"/>
      <c r="AC742" s="537" t="n"/>
      <c r="AF742" s="537" t="n"/>
      <c r="AG742" s="537" t="n"/>
    </row>
    <row customHeight="1" ht="15.75" r="743" s="452" spans="1:40">
      <c r="A743" s="44" t="n"/>
      <c r="J743" s="404" t="n"/>
      <c r="N743" s="404" t="n"/>
      <c r="R743" s="404" t="n"/>
      <c r="AB743" s="537" t="n"/>
      <c r="AC743" s="537" t="n"/>
      <c r="AF743" s="537" t="n"/>
      <c r="AG743" s="537" t="n"/>
    </row>
    <row customHeight="1" ht="15.75" r="744" s="452" spans="1:40">
      <c r="A744" s="44" t="n"/>
      <c r="J744" s="404" t="n"/>
      <c r="N744" s="404" t="n"/>
      <c r="R744" s="404" t="n"/>
      <c r="AB744" s="537" t="n"/>
      <c r="AC744" s="537" t="n"/>
      <c r="AF744" s="537" t="n"/>
      <c r="AG744" s="537" t="n"/>
    </row>
    <row customHeight="1" ht="15.75" r="745" s="452" spans="1:40">
      <c r="A745" s="44" t="n"/>
      <c r="J745" s="404" t="n"/>
      <c r="N745" s="404" t="n"/>
      <c r="R745" s="404" t="n"/>
      <c r="AB745" s="537" t="n"/>
      <c r="AC745" s="537" t="n"/>
      <c r="AF745" s="537" t="n"/>
      <c r="AG745" s="537" t="n"/>
    </row>
    <row customHeight="1" ht="15.75" r="746" s="452" spans="1:40">
      <c r="A746" s="44" t="n"/>
      <c r="J746" s="404" t="n"/>
      <c r="N746" s="404" t="n"/>
      <c r="R746" s="404" t="n"/>
      <c r="AB746" s="537" t="n"/>
      <c r="AC746" s="537" t="n"/>
      <c r="AF746" s="537" t="n"/>
      <c r="AG746" s="537" t="n"/>
    </row>
    <row customHeight="1" ht="15.75" r="747" s="452" spans="1:40">
      <c r="A747" s="44" t="n"/>
      <c r="J747" s="404" t="n"/>
      <c r="N747" s="404" t="n"/>
      <c r="R747" s="404" t="n"/>
      <c r="AB747" s="537" t="n"/>
      <c r="AC747" s="537" t="n"/>
      <c r="AF747" s="537" t="n"/>
      <c r="AG747" s="537" t="n"/>
    </row>
    <row customHeight="1" ht="15.75" r="748" s="452" spans="1:40">
      <c r="A748" s="44" t="n"/>
      <c r="J748" s="404" t="n"/>
      <c r="N748" s="404" t="n"/>
      <c r="R748" s="404" t="n"/>
      <c r="AB748" s="537" t="n"/>
      <c r="AC748" s="537" t="n"/>
      <c r="AF748" s="537" t="n"/>
      <c r="AG748" s="537" t="n"/>
    </row>
    <row customHeight="1" ht="15.75" r="749" s="452" spans="1:40">
      <c r="A749" s="44" t="n"/>
      <c r="J749" s="404" t="n"/>
      <c r="N749" s="404" t="n"/>
      <c r="R749" s="404" t="n"/>
      <c r="AB749" s="537" t="n"/>
      <c r="AC749" s="537" t="n"/>
      <c r="AF749" s="537" t="n"/>
      <c r="AG749" s="537" t="n"/>
    </row>
    <row customHeight="1" ht="15.75" r="750" s="452" spans="1:40">
      <c r="A750" s="44" t="n"/>
      <c r="J750" s="404" t="n"/>
      <c r="N750" s="404" t="n"/>
      <c r="R750" s="404" t="n"/>
      <c r="AB750" s="537" t="n"/>
      <c r="AC750" s="537" t="n"/>
      <c r="AF750" s="537" t="n"/>
      <c r="AG750" s="537" t="n"/>
    </row>
    <row customHeight="1" ht="15.75" r="751" s="452" spans="1:40">
      <c r="A751" s="44" t="n"/>
      <c r="J751" s="404" t="n"/>
      <c r="N751" s="404" t="n"/>
      <c r="R751" s="404" t="n"/>
      <c r="AB751" s="537" t="n"/>
      <c r="AC751" s="537" t="n"/>
      <c r="AF751" s="537" t="n"/>
      <c r="AG751" s="537" t="n"/>
    </row>
    <row customHeight="1" ht="15.75" r="752" s="452" spans="1:40">
      <c r="A752" s="44" t="n"/>
      <c r="J752" s="404" t="n"/>
      <c r="N752" s="404" t="n"/>
      <c r="R752" s="404" t="n"/>
      <c r="AB752" s="537" t="n"/>
      <c r="AC752" s="537" t="n"/>
      <c r="AF752" s="537" t="n"/>
      <c r="AG752" s="537" t="n"/>
    </row>
    <row customHeight="1" ht="15.75" r="753" s="452" spans="1:40">
      <c r="A753" s="44" t="n"/>
      <c r="J753" s="404" t="n"/>
      <c r="N753" s="404" t="n"/>
      <c r="R753" s="404" t="n"/>
      <c r="AB753" s="537" t="n"/>
      <c r="AC753" s="537" t="n"/>
      <c r="AF753" s="537" t="n"/>
      <c r="AG753" s="537" t="n"/>
    </row>
    <row customHeight="1" ht="15.75" r="754" s="452" spans="1:40">
      <c r="A754" s="44" t="n"/>
      <c r="J754" s="404" t="n"/>
      <c r="N754" s="404" t="n"/>
      <c r="R754" s="404" t="n"/>
      <c r="AB754" s="537" t="n"/>
      <c r="AC754" s="537" t="n"/>
      <c r="AF754" s="537" t="n"/>
      <c r="AG754" s="537" t="n"/>
    </row>
    <row customHeight="1" ht="15.75" r="755" s="452" spans="1:40">
      <c r="A755" s="44" t="n"/>
      <c r="J755" s="404" t="n"/>
      <c r="N755" s="404" t="n"/>
      <c r="R755" s="404" t="n"/>
      <c r="AB755" s="537" t="n"/>
      <c r="AC755" s="537" t="n"/>
      <c r="AF755" s="537" t="n"/>
      <c r="AG755" s="537" t="n"/>
    </row>
    <row customHeight="1" ht="15.75" r="756" s="452" spans="1:40">
      <c r="A756" s="44" t="n"/>
      <c r="J756" s="404" t="n"/>
      <c r="N756" s="404" t="n"/>
      <c r="R756" s="404" t="n"/>
      <c r="AB756" s="537" t="n"/>
      <c r="AC756" s="537" t="n"/>
      <c r="AF756" s="537" t="n"/>
      <c r="AG756" s="537" t="n"/>
    </row>
    <row customHeight="1" ht="15.75" r="757" s="452" spans="1:40">
      <c r="A757" s="44" t="n"/>
      <c r="J757" s="404" t="n"/>
      <c r="N757" s="404" t="n"/>
      <c r="R757" s="404" t="n"/>
      <c r="AB757" s="537" t="n"/>
      <c r="AC757" s="537" t="n"/>
      <c r="AF757" s="537" t="n"/>
      <c r="AG757" s="537" t="n"/>
    </row>
    <row customHeight="1" ht="15.75" r="758" s="452" spans="1:40">
      <c r="A758" s="44" t="n"/>
      <c r="J758" s="404" t="n"/>
      <c r="N758" s="404" t="n"/>
      <c r="R758" s="404" t="n"/>
      <c r="AB758" s="537" t="n"/>
      <c r="AC758" s="537" t="n"/>
      <c r="AF758" s="537" t="n"/>
      <c r="AG758" s="537" t="n"/>
    </row>
    <row customHeight="1" ht="15.75" r="759" s="452" spans="1:40">
      <c r="A759" s="44" t="n"/>
      <c r="J759" s="404" t="n"/>
      <c r="N759" s="404" t="n"/>
      <c r="R759" s="404" t="n"/>
      <c r="AB759" s="537" t="n"/>
      <c r="AC759" s="537" t="n"/>
      <c r="AF759" s="537" t="n"/>
      <c r="AG759" s="537" t="n"/>
    </row>
    <row customHeight="1" ht="15.75" r="760" s="452" spans="1:40">
      <c r="A760" s="44" t="n"/>
      <c r="J760" s="404" t="n"/>
      <c r="N760" s="404" t="n"/>
      <c r="R760" s="404" t="n"/>
      <c r="AB760" s="537" t="n"/>
      <c r="AC760" s="537" t="n"/>
      <c r="AF760" s="537" t="n"/>
      <c r="AG760" s="537" t="n"/>
    </row>
    <row customHeight="1" ht="15.75" r="761" s="452" spans="1:40">
      <c r="A761" s="44" t="n"/>
      <c r="J761" s="404" t="n"/>
      <c r="N761" s="404" t="n"/>
      <c r="R761" s="404" t="n"/>
      <c r="AB761" s="537" t="n"/>
      <c r="AC761" s="537" t="n"/>
      <c r="AF761" s="537" t="n"/>
      <c r="AG761" s="537" t="n"/>
    </row>
    <row customHeight="1" ht="15.75" r="762" s="452" spans="1:40">
      <c r="A762" s="44" t="n"/>
      <c r="J762" s="404" t="n"/>
      <c r="N762" s="404" t="n"/>
      <c r="R762" s="404" t="n"/>
      <c r="AB762" s="537" t="n"/>
      <c r="AC762" s="537" t="n"/>
      <c r="AF762" s="537" t="n"/>
      <c r="AG762" s="537" t="n"/>
    </row>
    <row customHeight="1" ht="15.75" r="763" s="452" spans="1:40">
      <c r="A763" s="44" t="n"/>
      <c r="J763" s="404" t="n"/>
      <c r="N763" s="404" t="n"/>
      <c r="R763" s="404" t="n"/>
      <c r="AB763" s="537" t="n"/>
      <c r="AC763" s="537" t="n"/>
      <c r="AF763" s="537" t="n"/>
      <c r="AG763" s="537" t="n"/>
    </row>
    <row customHeight="1" ht="15.75" r="764" s="452" spans="1:40">
      <c r="A764" s="44" t="n"/>
      <c r="J764" s="404" t="n"/>
      <c r="N764" s="404" t="n"/>
      <c r="R764" s="404" t="n"/>
      <c r="AB764" s="537" t="n"/>
      <c r="AC764" s="537" t="n"/>
      <c r="AF764" s="537" t="n"/>
      <c r="AG764" s="537" t="n"/>
    </row>
    <row customHeight="1" ht="15.75" r="765" s="452" spans="1:40">
      <c r="A765" s="44" t="n"/>
      <c r="J765" s="404" t="n"/>
      <c r="N765" s="404" t="n"/>
      <c r="R765" s="404" t="n"/>
      <c r="AB765" s="537" t="n"/>
      <c r="AC765" s="537" t="n"/>
      <c r="AF765" s="537" t="n"/>
      <c r="AG765" s="537" t="n"/>
    </row>
    <row customHeight="1" ht="15.75" r="766" s="452" spans="1:40">
      <c r="A766" s="44" t="n"/>
      <c r="J766" s="404" t="n"/>
      <c r="N766" s="404" t="n"/>
      <c r="R766" s="404" t="n"/>
      <c r="AB766" s="537" t="n"/>
      <c r="AC766" s="537" t="n"/>
      <c r="AF766" s="537" t="n"/>
      <c r="AG766" s="537" t="n"/>
    </row>
    <row customHeight="1" ht="15.75" r="767" s="452" spans="1:40">
      <c r="A767" s="44" t="n"/>
      <c r="J767" s="404" t="n"/>
      <c r="N767" s="404" t="n"/>
      <c r="R767" s="404" t="n"/>
      <c r="AB767" s="537" t="n"/>
      <c r="AC767" s="537" t="n"/>
      <c r="AF767" s="537" t="n"/>
      <c r="AG767" s="537" t="n"/>
    </row>
    <row customHeight="1" ht="15.75" r="768" s="452" spans="1:40">
      <c r="A768" s="44" t="n"/>
      <c r="J768" s="404" t="n"/>
      <c r="N768" s="404" t="n"/>
      <c r="R768" s="404" t="n"/>
      <c r="AB768" s="537" t="n"/>
      <c r="AC768" s="537" t="n"/>
      <c r="AF768" s="537" t="n"/>
      <c r="AG768" s="537" t="n"/>
    </row>
    <row customHeight="1" ht="15.75" r="769" s="452" spans="1:40">
      <c r="A769" s="44" t="n"/>
      <c r="J769" s="404" t="n"/>
      <c r="N769" s="404" t="n"/>
      <c r="R769" s="404" t="n"/>
      <c r="AB769" s="537" t="n"/>
      <c r="AC769" s="537" t="n"/>
      <c r="AF769" s="537" t="n"/>
      <c r="AG769" s="537" t="n"/>
    </row>
    <row customHeight="1" ht="15.75" r="770" s="452" spans="1:40">
      <c r="A770" s="44" t="n"/>
      <c r="J770" s="404" t="n"/>
      <c r="N770" s="404" t="n"/>
      <c r="R770" s="404" t="n"/>
      <c r="AB770" s="537" t="n"/>
      <c r="AC770" s="537" t="n"/>
      <c r="AF770" s="537" t="n"/>
      <c r="AG770" s="537" t="n"/>
    </row>
    <row customHeight="1" ht="15.75" r="771" s="452" spans="1:40">
      <c r="A771" s="44" t="n"/>
      <c r="J771" s="404" t="n"/>
      <c r="N771" s="404" t="n"/>
      <c r="R771" s="404" t="n"/>
      <c r="AB771" s="537" t="n"/>
      <c r="AC771" s="537" t="n"/>
      <c r="AF771" s="537" t="n"/>
      <c r="AG771" s="537" t="n"/>
    </row>
    <row customHeight="1" ht="15.75" r="772" s="452" spans="1:40">
      <c r="A772" s="44" t="n"/>
      <c r="J772" s="404" t="n"/>
      <c r="N772" s="404" t="n"/>
      <c r="R772" s="404" t="n"/>
      <c r="AB772" s="537" t="n"/>
      <c r="AC772" s="537" t="n"/>
      <c r="AF772" s="537" t="n"/>
      <c r="AG772" s="537" t="n"/>
    </row>
    <row customHeight="1" ht="15.75" r="773" s="452" spans="1:40">
      <c r="A773" s="44" t="n"/>
      <c r="J773" s="404" t="n"/>
      <c r="N773" s="404" t="n"/>
      <c r="R773" s="404" t="n"/>
      <c r="AB773" s="537" t="n"/>
      <c r="AC773" s="537" t="n"/>
      <c r="AF773" s="537" t="n"/>
      <c r="AG773" s="537" t="n"/>
    </row>
    <row customHeight="1" ht="15.75" r="774" s="452" spans="1:40">
      <c r="A774" s="44" t="n"/>
      <c r="J774" s="404" t="n"/>
      <c r="N774" s="404" t="n"/>
      <c r="R774" s="404" t="n"/>
      <c r="AB774" s="537" t="n"/>
      <c r="AC774" s="537" t="n"/>
      <c r="AF774" s="537" t="n"/>
      <c r="AG774" s="537" t="n"/>
    </row>
    <row customHeight="1" ht="15.75" r="775" s="452" spans="1:40">
      <c r="A775" s="44" t="n"/>
      <c r="J775" s="404" t="n"/>
      <c r="N775" s="404" t="n"/>
      <c r="R775" s="404" t="n"/>
      <c r="AB775" s="537" t="n"/>
      <c r="AC775" s="537" t="n"/>
      <c r="AF775" s="537" t="n"/>
      <c r="AG775" s="537" t="n"/>
    </row>
    <row customHeight="1" ht="15.75" r="776" s="452" spans="1:40">
      <c r="A776" s="44" t="n"/>
      <c r="J776" s="404" t="n"/>
      <c r="N776" s="404" t="n"/>
      <c r="R776" s="404" t="n"/>
      <c r="AB776" s="537" t="n"/>
      <c r="AC776" s="537" t="n"/>
      <c r="AF776" s="537" t="n"/>
      <c r="AG776" s="537" t="n"/>
    </row>
    <row customHeight="1" ht="15.75" r="777" s="452" spans="1:40">
      <c r="A777" s="44" t="n"/>
      <c r="J777" s="404" t="n"/>
      <c r="N777" s="404" t="n"/>
      <c r="R777" s="404" t="n"/>
      <c r="AB777" s="537" t="n"/>
      <c r="AC777" s="537" t="n"/>
      <c r="AF777" s="537" t="n"/>
      <c r="AG777" s="537" t="n"/>
    </row>
    <row customHeight="1" ht="15.75" r="778" s="452" spans="1:40">
      <c r="A778" s="44" t="n"/>
      <c r="J778" s="404" t="n"/>
      <c r="N778" s="404" t="n"/>
      <c r="R778" s="404" t="n"/>
      <c r="AB778" s="537" t="n"/>
      <c r="AC778" s="537" t="n"/>
      <c r="AF778" s="537" t="n"/>
      <c r="AG778" s="537" t="n"/>
    </row>
    <row customHeight="1" ht="15.75" r="779" s="452" spans="1:40">
      <c r="A779" s="44" t="n"/>
      <c r="J779" s="404" t="n"/>
      <c r="N779" s="404" t="n"/>
      <c r="R779" s="404" t="n"/>
      <c r="AB779" s="537" t="n"/>
      <c r="AC779" s="537" t="n"/>
      <c r="AF779" s="537" t="n"/>
      <c r="AG779" s="537" t="n"/>
    </row>
    <row customHeight="1" ht="15.75" r="780" s="452" spans="1:40">
      <c r="A780" s="44" t="n"/>
      <c r="J780" s="404" t="n"/>
      <c r="N780" s="404" t="n"/>
      <c r="R780" s="404" t="n"/>
      <c r="AB780" s="537" t="n"/>
      <c r="AC780" s="537" t="n"/>
      <c r="AF780" s="537" t="n"/>
      <c r="AG780" s="537" t="n"/>
    </row>
    <row customHeight="1" ht="15.75" r="781" s="452" spans="1:40">
      <c r="A781" s="44" t="n"/>
      <c r="J781" s="404" t="n"/>
      <c r="N781" s="404" t="n"/>
      <c r="R781" s="404" t="n"/>
      <c r="AB781" s="537" t="n"/>
      <c r="AC781" s="537" t="n"/>
      <c r="AF781" s="537" t="n"/>
      <c r="AG781" s="537" t="n"/>
    </row>
    <row customHeight="1" ht="15.75" r="782" s="452" spans="1:40">
      <c r="A782" s="44" t="n"/>
      <c r="J782" s="404" t="n"/>
      <c r="N782" s="404" t="n"/>
      <c r="R782" s="404" t="n"/>
      <c r="AB782" s="537" t="n"/>
      <c r="AC782" s="537" t="n"/>
      <c r="AF782" s="537" t="n"/>
      <c r="AG782" s="537" t="n"/>
    </row>
    <row customHeight="1" ht="15.75" r="783" s="452" spans="1:40">
      <c r="A783" s="44" t="n"/>
      <c r="J783" s="404" t="n"/>
      <c r="N783" s="404" t="n"/>
      <c r="R783" s="404" t="n"/>
      <c r="AB783" s="537" t="n"/>
      <c r="AC783" s="537" t="n"/>
      <c r="AF783" s="537" t="n"/>
      <c r="AG783" s="537" t="n"/>
    </row>
    <row customHeight="1" ht="15.75" r="784" s="452" spans="1:40">
      <c r="A784" s="44" t="n"/>
      <c r="J784" s="404" t="n"/>
      <c r="N784" s="404" t="n"/>
      <c r="R784" s="404" t="n"/>
      <c r="AB784" s="537" t="n"/>
      <c r="AC784" s="537" t="n"/>
      <c r="AF784" s="537" t="n"/>
      <c r="AG784" s="537" t="n"/>
    </row>
    <row customHeight="1" ht="15.75" r="785" s="452" spans="1:40">
      <c r="A785" s="44" t="n"/>
      <c r="J785" s="404" t="n"/>
      <c r="N785" s="404" t="n"/>
      <c r="R785" s="404" t="n"/>
      <c r="AB785" s="537" t="n"/>
      <c r="AC785" s="537" t="n"/>
      <c r="AF785" s="537" t="n"/>
      <c r="AG785" s="537" t="n"/>
    </row>
    <row customHeight="1" ht="15.75" r="786" s="452" spans="1:40">
      <c r="A786" s="44" t="n"/>
      <c r="J786" s="404" t="n"/>
      <c r="N786" s="404" t="n"/>
      <c r="R786" s="404" t="n"/>
      <c r="AB786" s="537" t="n"/>
      <c r="AC786" s="537" t="n"/>
      <c r="AF786" s="537" t="n"/>
      <c r="AG786" s="537" t="n"/>
    </row>
    <row customHeight="1" ht="15.75" r="787" s="452" spans="1:40">
      <c r="A787" s="44" t="n"/>
      <c r="J787" s="404" t="n"/>
      <c r="N787" s="404" t="n"/>
      <c r="R787" s="404" t="n"/>
      <c r="AB787" s="537" t="n"/>
      <c r="AC787" s="537" t="n"/>
      <c r="AF787" s="537" t="n"/>
      <c r="AG787" s="537" t="n"/>
    </row>
    <row customHeight="1" ht="15.75" r="788" s="452" spans="1:40">
      <c r="A788" s="44" t="n"/>
      <c r="J788" s="404" t="n"/>
      <c r="N788" s="404" t="n"/>
      <c r="R788" s="404" t="n"/>
      <c r="AB788" s="537" t="n"/>
      <c r="AC788" s="537" t="n"/>
      <c r="AF788" s="537" t="n"/>
      <c r="AG788" s="537" t="n"/>
    </row>
    <row customHeight="1" ht="15.75" r="789" s="452" spans="1:40">
      <c r="A789" s="44" t="n"/>
      <c r="J789" s="404" t="n"/>
      <c r="N789" s="404" t="n"/>
      <c r="R789" s="404" t="n"/>
      <c r="AB789" s="537" t="n"/>
      <c r="AC789" s="537" t="n"/>
      <c r="AF789" s="537" t="n"/>
      <c r="AG789" s="537" t="n"/>
    </row>
    <row customHeight="1" ht="15.75" r="790" s="452" spans="1:40">
      <c r="A790" s="44" t="n"/>
      <c r="J790" s="404" t="n"/>
      <c r="N790" s="404" t="n"/>
      <c r="R790" s="404" t="n"/>
      <c r="AB790" s="537" t="n"/>
      <c r="AC790" s="537" t="n"/>
      <c r="AF790" s="537" t="n"/>
      <c r="AG790" s="537" t="n"/>
    </row>
    <row customHeight="1" ht="15.75" r="791" s="452" spans="1:40">
      <c r="A791" s="44" t="n"/>
      <c r="J791" s="404" t="n"/>
      <c r="N791" s="404" t="n"/>
      <c r="R791" s="404" t="n"/>
      <c r="AB791" s="537" t="n"/>
      <c r="AC791" s="537" t="n"/>
      <c r="AF791" s="537" t="n"/>
      <c r="AG791" s="537" t="n"/>
    </row>
    <row customHeight="1" ht="15.75" r="792" s="452" spans="1:40">
      <c r="A792" s="44" t="n"/>
      <c r="J792" s="404" t="n"/>
      <c r="N792" s="404" t="n"/>
      <c r="R792" s="404" t="n"/>
      <c r="AB792" s="537" t="n"/>
      <c r="AC792" s="537" t="n"/>
      <c r="AF792" s="537" t="n"/>
      <c r="AG792" s="537" t="n"/>
    </row>
    <row customHeight="1" ht="15.75" r="793" s="452" spans="1:40">
      <c r="A793" s="44" t="n"/>
      <c r="J793" s="404" t="n"/>
      <c r="N793" s="404" t="n"/>
      <c r="R793" s="404" t="n"/>
      <c r="AB793" s="537" t="n"/>
      <c r="AC793" s="537" t="n"/>
      <c r="AF793" s="537" t="n"/>
      <c r="AG793" s="537" t="n"/>
    </row>
    <row customHeight="1" ht="15.75" r="794" s="452" spans="1:40">
      <c r="A794" s="44" t="n"/>
      <c r="J794" s="404" t="n"/>
      <c r="N794" s="404" t="n"/>
      <c r="R794" s="404" t="n"/>
      <c r="AB794" s="537" t="n"/>
      <c r="AC794" s="537" t="n"/>
      <c r="AF794" s="537" t="n"/>
      <c r="AG794" s="537" t="n"/>
    </row>
    <row customHeight="1" ht="15.75" r="795" s="452" spans="1:40">
      <c r="A795" s="44" t="n"/>
      <c r="J795" s="404" t="n"/>
      <c r="N795" s="404" t="n"/>
      <c r="R795" s="404" t="n"/>
      <c r="AB795" s="537" t="n"/>
      <c r="AC795" s="537" t="n"/>
      <c r="AF795" s="537" t="n"/>
      <c r="AG795" s="537" t="n"/>
    </row>
    <row customHeight="1" ht="15.75" r="796" s="452" spans="1:40">
      <c r="A796" s="44" t="n"/>
      <c r="J796" s="404" t="n"/>
      <c r="N796" s="404" t="n"/>
      <c r="R796" s="404" t="n"/>
      <c r="AB796" s="537" t="n"/>
      <c r="AC796" s="537" t="n"/>
      <c r="AF796" s="537" t="n"/>
      <c r="AG796" s="537" t="n"/>
    </row>
    <row customHeight="1" ht="15.75" r="797" s="452" spans="1:40">
      <c r="A797" s="44" t="n"/>
      <c r="J797" s="404" t="n"/>
      <c r="N797" s="404" t="n"/>
      <c r="R797" s="404" t="n"/>
      <c r="AB797" s="537" t="n"/>
      <c r="AC797" s="537" t="n"/>
      <c r="AF797" s="537" t="n"/>
      <c r="AG797" s="537" t="n"/>
    </row>
    <row customHeight="1" ht="15.75" r="798" s="452" spans="1:40">
      <c r="A798" s="44" t="n"/>
      <c r="J798" s="404" t="n"/>
      <c r="N798" s="404" t="n"/>
      <c r="R798" s="404" t="n"/>
      <c r="AB798" s="537" t="n"/>
      <c r="AC798" s="537" t="n"/>
      <c r="AF798" s="537" t="n"/>
      <c r="AG798" s="537" t="n"/>
    </row>
    <row customHeight="1" ht="15.75" r="799" s="452" spans="1:40">
      <c r="A799" s="44" t="n"/>
      <c r="J799" s="404" t="n"/>
      <c r="N799" s="404" t="n"/>
      <c r="R799" s="404" t="n"/>
      <c r="AB799" s="537" t="n"/>
      <c r="AC799" s="537" t="n"/>
      <c r="AF799" s="537" t="n"/>
      <c r="AG799" s="537" t="n"/>
    </row>
    <row customHeight="1" ht="15.75" r="800" s="452" spans="1:40">
      <c r="A800" s="44" t="n"/>
      <c r="J800" s="404" t="n"/>
      <c r="N800" s="404" t="n"/>
      <c r="R800" s="404" t="n"/>
      <c r="AB800" s="537" t="n"/>
      <c r="AC800" s="537" t="n"/>
      <c r="AF800" s="537" t="n"/>
      <c r="AG800" s="537" t="n"/>
    </row>
    <row customHeight="1" ht="15.75" r="801" s="452" spans="1:40">
      <c r="A801" s="44" t="n"/>
      <c r="J801" s="404" t="n"/>
      <c r="N801" s="404" t="n"/>
      <c r="R801" s="404" t="n"/>
      <c r="AB801" s="537" t="n"/>
      <c r="AC801" s="537" t="n"/>
      <c r="AF801" s="537" t="n"/>
      <c r="AG801" s="537" t="n"/>
    </row>
    <row customHeight="1" ht="15.75" r="802" s="452" spans="1:40">
      <c r="A802" s="44" t="n"/>
      <c r="J802" s="404" t="n"/>
      <c r="N802" s="404" t="n"/>
      <c r="R802" s="404" t="n"/>
      <c r="AB802" s="537" t="n"/>
      <c r="AC802" s="537" t="n"/>
      <c r="AF802" s="537" t="n"/>
      <c r="AG802" s="537" t="n"/>
    </row>
    <row customHeight="1" ht="15.75" r="803" s="452" spans="1:40">
      <c r="A803" s="44" t="n"/>
      <c r="J803" s="404" t="n"/>
      <c r="N803" s="404" t="n"/>
      <c r="R803" s="404" t="n"/>
      <c r="AB803" s="537" t="n"/>
      <c r="AC803" s="537" t="n"/>
      <c r="AF803" s="537" t="n"/>
      <c r="AG803" s="537" t="n"/>
    </row>
    <row customHeight="1" ht="15.75" r="804" s="452" spans="1:40">
      <c r="A804" s="44" t="n"/>
      <c r="J804" s="404" t="n"/>
      <c r="N804" s="404" t="n"/>
      <c r="R804" s="404" t="n"/>
      <c r="AB804" s="537" t="n"/>
      <c r="AC804" s="537" t="n"/>
      <c r="AF804" s="537" t="n"/>
      <c r="AG804" s="537" t="n"/>
    </row>
    <row customHeight="1" ht="15.75" r="805" s="452" spans="1:40">
      <c r="A805" s="44" t="n"/>
      <c r="J805" s="404" t="n"/>
      <c r="N805" s="404" t="n"/>
      <c r="R805" s="404" t="n"/>
      <c r="AB805" s="537" t="n"/>
      <c r="AC805" s="537" t="n"/>
      <c r="AF805" s="537" t="n"/>
      <c r="AG805" s="537" t="n"/>
    </row>
    <row customHeight="1" ht="15.75" r="806" s="452" spans="1:40">
      <c r="A806" s="44" t="n"/>
      <c r="J806" s="404" t="n"/>
      <c r="N806" s="404" t="n"/>
      <c r="R806" s="404" t="n"/>
      <c r="AB806" s="537" t="n"/>
      <c r="AC806" s="537" t="n"/>
      <c r="AF806" s="537" t="n"/>
      <c r="AG806" s="537" t="n"/>
    </row>
    <row customHeight="1" ht="15.75" r="807" s="452" spans="1:40">
      <c r="A807" s="44" t="n"/>
      <c r="J807" s="404" t="n"/>
      <c r="N807" s="404" t="n"/>
      <c r="R807" s="404" t="n"/>
      <c r="AB807" s="537" t="n"/>
      <c r="AC807" s="537" t="n"/>
      <c r="AF807" s="537" t="n"/>
      <c r="AG807" s="537" t="n"/>
    </row>
    <row customHeight="1" ht="15.75" r="808" s="452" spans="1:40">
      <c r="A808" s="44" t="n"/>
      <c r="J808" s="404" t="n"/>
      <c r="N808" s="404" t="n"/>
      <c r="R808" s="404" t="n"/>
      <c r="AB808" s="537" t="n"/>
      <c r="AC808" s="537" t="n"/>
      <c r="AF808" s="537" t="n"/>
      <c r="AG808" s="537" t="n"/>
    </row>
    <row customHeight="1" ht="15.75" r="809" s="452" spans="1:40">
      <c r="A809" s="44" t="n"/>
      <c r="J809" s="404" t="n"/>
      <c r="N809" s="404" t="n"/>
      <c r="R809" s="404" t="n"/>
      <c r="AB809" s="537" t="n"/>
      <c r="AC809" s="537" t="n"/>
      <c r="AF809" s="537" t="n"/>
      <c r="AG809" s="537" t="n"/>
    </row>
    <row customHeight="1" ht="15.75" r="810" s="452" spans="1:40">
      <c r="A810" s="44" t="n"/>
      <c r="J810" s="404" t="n"/>
      <c r="N810" s="404" t="n"/>
      <c r="R810" s="404" t="n"/>
      <c r="AB810" s="537" t="n"/>
      <c r="AC810" s="537" t="n"/>
      <c r="AF810" s="537" t="n"/>
      <c r="AG810" s="537" t="n"/>
    </row>
    <row customHeight="1" ht="15.75" r="811" s="452" spans="1:40">
      <c r="A811" s="44" t="n"/>
      <c r="J811" s="404" t="n"/>
      <c r="N811" s="404" t="n"/>
      <c r="R811" s="404" t="n"/>
      <c r="AB811" s="537" t="n"/>
      <c r="AC811" s="537" t="n"/>
      <c r="AF811" s="537" t="n"/>
      <c r="AG811" s="537" t="n"/>
    </row>
    <row customHeight="1" ht="15.75" r="812" s="452" spans="1:40">
      <c r="A812" s="44" t="n"/>
      <c r="J812" s="404" t="n"/>
      <c r="N812" s="404" t="n"/>
      <c r="R812" s="404" t="n"/>
      <c r="AB812" s="537" t="n"/>
      <c r="AC812" s="537" t="n"/>
      <c r="AF812" s="537" t="n"/>
      <c r="AG812" s="537" t="n"/>
    </row>
    <row customHeight="1" ht="15.75" r="813" s="452" spans="1:40">
      <c r="A813" s="44" t="n"/>
      <c r="J813" s="404" t="n"/>
      <c r="N813" s="404" t="n"/>
      <c r="R813" s="404" t="n"/>
      <c r="AB813" s="537" t="n"/>
      <c r="AC813" s="537" t="n"/>
      <c r="AF813" s="537" t="n"/>
      <c r="AG813" s="537" t="n"/>
    </row>
    <row customHeight="1" ht="15.75" r="814" s="452" spans="1:40">
      <c r="A814" s="44" t="n"/>
      <c r="J814" s="404" t="n"/>
      <c r="N814" s="404" t="n"/>
      <c r="R814" s="404" t="n"/>
      <c r="AB814" s="537" t="n"/>
      <c r="AC814" s="537" t="n"/>
      <c r="AF814" s="537" t="n"/>
      <c r="AG814" s="537" t="n"/>
    </row>
    <row customHeight="1" ht="15.75" r="815" s="452" spans="1:40">
      <c r="A815" s="44" t="n"/>
      <c r="J815" s="404" t="n"/>
      <c r="N815" s="404" t="n"/>
      <c r="R815" s="404" t="n"/>
      <c r="AB815" s="537" t="n"/>
      <c r="AC815" s="537" t="n"/>
      <c r="AF815" s="537" t="n"/>
      <c r="AG815" s="537" t="n"/>
    </row>
    <row customHeight="1" ht="15.75" r="816" s="452" spans="1:40">
      <c r="A816" s="44" t="n"/>
      <c r="J816" s="404" t="n"/>
      <c r="N816" s="404" t="n"/>
      <c r="R816" s="404" t="n"/>
      <c r="AB816" s="537" t="n"/>
      <c r="AC816" s="537" t="n"/>
      <c r="AF816" s="537" t="n"/>
      <c r="AG816" s="537" t="n"/>
    </row>
    <row customHeight="1" ht="15.75" r="817" s="452" spans="1:40">
      <c r="A817" s="44" t="n"/>
      <c r="J817" s="404" t="n"/>
      <c r="N817" s="404" t="n"/>
      <c r="R817" s="404" t="n"/>
      <c r="AB817" s="537" t="n"/>
      <c r="AC817" s="537" t="n"/>
      <c r="AF817" s="537" t="n"/>
      <c r="AG817" s="537" t="n"/>
    </row>
    <row customHeight="1" ht="15.75" r="818" s="452" spans="1:40">
      <c r="A818" s="44" t="n"/>
      <c r="J818" s="404" t="n"/>
      <c r="N818" s="404" t="n"/>
      <c r="R818" s="404" t="n"/>
      <c r="AB818" s="537" t="n"/>
      <c r="AC818" s="537" t="n"/>
      <c r="AF818" s="537" t="n"/>
      <c r="AG818" s="537" t="n"/>
    </row>
    <row customHeight="1" ht="15.75" r="819" s="452" spans="1:40">
      <c r="A819" s="44" t="n"/>
      <c r="J819" s="404" t="n"/>
      <c r="N819" s="404" t="n"/>
      <c r="R819" s="404" t="n"/>
      <c r="AB819" s="537" t="n"/>
      <c r="AC819" s="537" t="n"/>
      <c r="AF819" s="537" t="n"/>
      <c r="AG819" s="537" t="n"/>
    </row>
    <row customHeight="1" ht="15.75" r="820" s="452" spans="1:40">
      <c r="A820" s="44" t="n"/>
      <c r="J820" s="404" t="n"/>
      <c r="N820" s="404" t="n"/>
      <c r="R820" s="404" t="n"/>
      <c r="AB820" s="537" t="n"/>
      <c r="AC820" s="537" t="n"/>
      <c r="AF820" s="537" t="n"/>
      <c r="AG820" s="537" t="n"/>
    </row>
    <row customHeight="1" ht="15.75" r="821" s="452" spans="1:40">
      <c r="A821" s="44" t="n"/>
      <c r="J821" s="404" t="n"/>
      <c r="N821" s="404" t="n"/>
      <c r="R821" s="404" t="n"/>
      <c r="AB821" s="537" t="n"/>
      <c r="AC821" s="537" t="n"/>
      <c r="AF821" s="537" t="n"/>
      <c r="AG821" s="537" t="n"/>
    </row>
    <row customHeight="1" ht="15.75" r="822" s="452" spans="1:40">
      <c r="A822" s="44" t="n"/>
      <c r="J822" s="404" t="n"/>
      <c r="N822" s="404" t="n"/>
      <c r="R822" s="404" t="n"/>
      <c r="AB822" s="537" t="n"/>
      <c r="AC822" s="537" t="n"/>
      <c r="AF822" s="537" t="n"/>
      <c r="AG822" s="537" t="n"/>
    </row>
    <row customHeight="1" ht="15.75" r="823" s="452" spans="1:40">
      <c r="A823" s="44" t="n"/>
      <c r="J823" s="404" t="n"/>
      <c r="N823" s="404" t="n"/>
      <c r="R823" s="404" t="n"/>
      <c r="AB823" s="537" t="n"/>
      <c r="AC823" s="537" t="n"/>
      <c r="AF823" s="537" t="n"/>
      <c r="AG823" s="537" t="n"/>
    </row>
    <row customHeight="1" ht="15.75" r="824" s="452" spans="1:40">
      <c r="A824" s="44" t="n"/>
      <c r="J824" s="404" t="n"/>
      <c r="N824" s="404" t="n"/>
      <c r="R824" s="404" t="n"/>
      <c r="AB824" s="537" t="n"/>
      <c r="AC824" s="537" t="n"/>
      <c r="AF824" s="537" t="n"/>
      <c r="AG824" s="537" t="n"/>
    </row>
    <row customHeight="1" ht="15.75" r="825" s="452" spans="1:40">
      <c r="A825" s="44" t="n"/>
      <c r="J825" s="404" t="n"/>
      <c r="N825" s="404" t="n"/>
      <c r="R825" s="404" t="n"/>
      <c r="AB825" s="537" t="n"/>
      <c r="AC825" s="537" t="n"/>
      <c r="AF825" s="537" t="n"/>
      <c r="AG825" s="537" t="n"/>
    </row>
    <row customHeight="1" ht="15.75" r="826" s="452" spans="1:40">
      <c r="A826" s="44" t="n"/>
      <c r="J826" s="404" t="n"/>
      <c r="N826" s="404" t="n"/>
      <c r="R826" s="404" t="n"/>
      <c r="AB826" s="537" t="n"/>
      <c r="AC826" s="537" t="n"/>
      <c r="AF826" s="537" t="n"/>
      <c r="AG826" s="537" t="n"/>
    </row>
    <row customHeight="1" ht="15.75" r="827" s="452" spans="1:40">
      <c r="A827" s="44" t="n"/>
      <c r="J827" s="404" t="n"/>
      <c r="N827" s="404" t="n"/>
      <c r="R827" s="404" t="n"/>
      <c r="AB827" s="537" t="n"/>
      <c r="AC827" s="537" t="n"/>
      <c r="AF827" s="537" t="n"/>
      <c r="AG827" s="537" t="n"/>
    </row>
    <row customHeight="1" ht="15.75" r="828" s="452" spans="1:40">
      <c r="A828" s="44" t="n"/>
      <c r="J828" s="404" t="n"/>
      <c r="N828" s="404" t="n"/>
      <c r="R828" s="404" t="n"/>
      <c r="AB828" s="537" t="n"/>
      <c r="AC828" s="537" t="n"/>
      <c r="AF828" s="537" t="n"/>
      <c r="AG828" s="537" t="n"/>
    </row>
    <row customHeight="1" ht="15.75" r="829" s="452" spans="1:40">
      <c r="A829" s="44" t="n"/>
      <c r="J829" s="404" t="n"/>
      <c r="N829" s="404" t="n"/>
      <c r="R829" s="404" t="n"/>
      <c r="AB829" s="537" t="n"/>
      <c r="AC829" s="537" t="n"/>
      <c r="AF829" s="537" t="n"/>
      <c r="AG829" s="537" t="n"/>
    </row>
    <row customHeight="1" ht="15.75" r="830" s="452" spans="1:40">
      <c r="A830" s="44" t="n"/>
      <c r="J830" s="404" t="n"/>
      <c r="N830" s="404" t="n"/>
      <c r="R830" s="404" t="n"/>
      <c r="AB830" s="537" t="n"/>
      <c r="AC830" s="537" t="n"/>
      <c r="AF830" s="537" t="n"/>
      <c r="AG830" s="537" t="n"/>
    </row>
    <row customHeight="1" ht="15.75" r="831" s="452" spans="1:40">
      <c r="A831" s="44" t="n"/>
      <c r="J831" s="404" t="n"/>
      <c r="N831" s="404" t="n"/>
      <c r="R831" s="404" t="n"/>
      <c r="AB831" s="537" t="n"/>
      <c r="AC831" s="537" t="n"/>
      <c r="AF831" s="537" t="n"/>
      <c r="AG831" s="537" t="n"/>
    </row>
    <row customHeight="1" ht="15.75" r="832" s="452" spans="1:40">
      <c r="A832" s="44" t="n"/>
      <c r="J832" s="404" t="n"/>
      <c r="N832" s="404" t="n"/>
      <c r="R832" s="404" t="n"/>
      <c r="AB832" s="537" t="n"/>
      <c r="AC832" s="537" t="n"/>
      <c r="AF832" s="537" t="n"/>
      <c r="AG832" s="537" t="n"/>
    </row>
    <row customHeight="1" ht="15.75" r="833" s="452" spans="1:40">
      <c r="A833" s="44" t="n"/>
      <c r="J833" s="404" t="n"/>
      <c r="N833" s="404" t="n"/>
      <c r="R833" s="404" t="n"/>
      <c r="AB833" s="537" t="n"/>
      <c r="AC833" s="537" t="n"/>
      <c r="AF833" s="537" t="n"/>
      <c r="AG833" s="537" t="n"/>
    </row>
    <row customHeight="1" ht="15.75" r="834" s="452" spans="1:40">
      <c r="A834" s="44" t="n"/>
      <c r="J834" s="404" t="n"/>
      <c r="N834" s="404" t="n"/>
      <c r="R834" s="404" t="n"/>
      <c r="AB834" s="537" t="n"/>
      <c r="AC834" s="537" t="n"/>
      <c r="AF834" s="537" t="n"/>
      <c r="AG834" s="537" t="n"/>
    </row>
    <row customHeight="1" ht="15.75" r="835" s="452" spans="1:40">
      <c r="A835" s="44" t="n"/>
      <c r="J835" s="404" t="n"/>
      <c r="N835" s="404" t="n"/>
      <c r="R835" s="404" t="n"/>
      <c r="AB835" s="537" t="n"/>
      <c r="AC835" s="537" t="n"/>
      <c r="AF835" s="537" t="n"/>
      <c r="AG835" s="537" t="n"/>
    </row>
    <row customHeight="1" ht="15.75" r="836" s="452" spans="1:40">
      <c r="A836" s="44" t="n"/>
      <c r="J836" s="404" t="n"/>
      <c r="N836" s="404" t="n"/>
      <c r="R836" s="404" t="n"/>
      <c r="AB836" s="537" t="n"/>
      <c r="AC836" s="537" t="n"/>
      <c r="AF836" s="537" t="n"/>
      <c r="AG836" s="537" t="n"/>
    </row>
    <row customHeight="1" ht="15.75" r="837" s="452" spans="1:40">
      <c r="A837" s="44" t="n"/>
      <c r="J837" s="404" t="n"/>
      <c r="N837" s="404" t="n"/>
      <c r="R837" s="404" t="n"/>
      <c r="AB837" s="537" t="n"/>
      <c r="AC837" s="537" t="n"/>
      <c r="AF837" s="537" t="n"/>
      <c r="AG837" s="537" t="n"/>
    </row>
    <row customHeight="1" ht="15.75" r="838" s="452" spans="1:40">
      <c r="A838" s="44" t="n"/>
      <c r="J838" s="404" t="n"/>
      <c r="N838" s="404" t="n"/>
      <c r="R838" s="404" t="n"/>
      <c r="AB838" s="537" t="n"/>
      <c r="AC838" s="537" t="n"/>
      <c r="AF838" s="537" t="n"/>
      <c r="AG838" s="537" t="n"/>
    </row>
    <row customHeight="1" ht="15.75" r="839" s="452" spans="1:40">
      <c r="A839" s="44" t="n"/>
      <c r="J839" s="404" t="n"/>
      <c r="N839" s="404" t="n"/>
      <c r="R839" s="404" t="n"/>
      <c r="AB839" s="537" t="n"/>
      <c r="AC839" s="537" t="n"/>
      <c r="AF839" s="537" t="n"/>
      <c r="AG839" s="537" t="n"/>
    </row>
    <row customHeight="1" ht="15.75" r="840" s="452" spans="1:40">
      <c r="A840" s="44" t="n"/>
      <c r="J840" s="404" t="n"/>
      <c r="N840" s="404" t="n"/>
      <c r="R840" s="404" t="n"/>
      <c r="AB840" s="537" t="n"/>
      <c r="AC840" s="537" t="n"/>
      <c r="AF840" s="537" t="n"/>
      <c r="AG840" s="537" t="n"/>
    </row>
    <row customHeight="1" ht="15.75" r="841" s="452" spans="1:40">
      <c r="A841" s="44" t="n"/>
      <c r="J841" s="404" t="n"/>
      <c r="N841" s="404" t="n"/>
      <c r="R841" s="404" t="n"/>
      <c r="AB841" s="537" t="n"/>
      <c r="AC841" s="537" t="n"/>
      <c r="AF841" s="537" t="n"/>
      <c r="AG841" s="537" t="n"/>
    </row>
    <row customHeight="1" ht="15.75" r="842" s="452" spans="1:40">
      <c r="A842" s="44" t="n"/>
      <c r="J842" s="404" t="n"/>
      <c r="N842" s="404" t="n"/>
      <c r="R842" s="404" t="n"/>
      <c r="AB842" s="537" t="n"/>
      <c r="AC842" s="537" t="n"/>
      <c r="AF842" s="537" t="n"/>
      <c r="AG842" s="537" t="n"/>
    </row>
    <row customHeight="1" ht="15.75" r="843" s="452" spans="1:40">
      <c r="A843" s="44" t="n"/>
      <c r="J843" s="404" t="n"/>
      <c r="N843" s="404" t="n"/>
      <c r="R843" s="404" t="n"/>
      <c r="AB843" s="537" t="n"/>
      <c r="AC843" s="537" t="n"/>
      <c r="AF843" s="537" t="n"/>
      <c r="AG843" s="537" t="n"/>
    </row>
    <row customHeight="1" ht="15.75" r="844" s="452" spans="1:40">
      <c r="A844" s="44" t="n"/>
      <c r="J844" s="404" t="n"/>
      <c r="N844" s="404" t="n"/>
      <c r="R844" s="404" t="n"/>
      <c r="AB844" s="537" t="n"/>
      <c r="AC844" s="537" t="n"/>
      <c r="AF844" s="537" t="n"/>
      <c r="AG844" s="537" t="n"/>
    </row>
    <row customHeight="1" ht="15.75" r="845" s="452" spans="1:40">
      <c r="A845" s="44" t="n"/>
      <c r="J845" s="404" t="n"/>
      <c r="N845" s="404" t="n"/>
      <c r="R845" s="404" t="n"/>
      <c r="AB845" s="537" t="n"/>
      <c r="AC845" s="537" t="n"/>
      <c r="AF845" s="537" t="n"/>
      <c r="AG845" s="537" t="n"/>
    </row>
    <row customHeight="1" ht="15.75" r="846" s="452" spans="1:40">
      <c r="A846" s="44" t="n"/>
      <c r="J846" s="404" t="n"/>
      <c r="N846" s="404" t="n"/>
      <c r="R846" s="404" t="n"/>
      <c r="AB846" s="537" t="n"/>
      <c r="AC846" s="537" t="n"/>
      <c r="AF846" s="537" t="n"/>
      <c r="AG846" s="537" t="n"/>
    </row>
    <row customHeight="1" ht="15.75" r="847" s="452" spans="1:40">
      <c r="A847" s="44" t="n"/>
      <c r="J847" s="404" t="n"/>
      <c r="N847" s="404" t="n"/>
      <c r="R847" s="404" t="n"/>
      <c r="AB847" s="537" t="n"/>
      <c r="AC847" s="537" t="n"/>
      <c r="AF847" s="537" t="n"/>
      <c r="AG847" s="537" t="n"/>
    </row>
    <row customHeight="1" ht="15.75" r="848" s="452" spans="1:40">
      <c r="A848" s="44" t="n"/>
      <c r="J848" s="404" t="n"/>
      <c r="N848" s="404" t="n"/>
      <c r="R848" s="404" t="n"/>
      <c r="AB848" s="537" t="n"/>
      <c r="AC848" s="537" t="n"/>
      <c r="AF848" s="537" t="n"/>
      <c r="AG848" s="537" t="n"/>
    </row>
    <row customHeight="1" ht="15.75" r="849" s="452" spans="1:40">
      <c r="A849" s="44" t="n"/>
      <c r="J849" s="404" t="n"/>
      <c r="N849" s="404" t="n"/>
      <c r="R849" s="404" t="n"/>
      <c r="AB849" s="537" t="n"/>
      <c r="AC849" s="537" t="n"/>
      <c r="AF849" s="537" t="n"/>
      <c r="AG849" s="537" t="n"/>
    </row>
    <row customHeight="1" ht="15.75" r="850" s="452" spans="1:40">
      <c r="A850" s="44" t="n"/>
      <c r="J850" s="404" t="n"/>
      <c r="N850" s="404" t="n"/>
      <c r="R850" s="404" t="n"/>
      <c r="AB850" s="537" t="n"/>
      <c r="AC850" s="537" t="n"/>
      <c r="AF850" s="537" t="n"/>
      <c r="AG850" s="537" t="n"/>
    </row>
    <row customHeight="1" ht="15.75" r="851" s="452" spans="1:40">
      <c r="A851" s="44" t="n"/>
      <c r="J851" s="404" t="n"/>
      <c r="N851" s="404" t="n"/>
      <c r="R851" s="404" t="n"/>
      <c r="AB851" s="537" t="n"/>
      <c r="AC851" s="537" t="n"/>
      <c r="AF851" s="537" t="n"/>
      <c r="AG851" s="537" t="n"/>
    </row>
    <row customHeight="1" ht="15.75" r="852" s="452" spans="1:40">
      <c r="A852" s="44" t="n"/>
      <c r="J852" s="404" t="n"/>
      <c r="N852" s="404" t="n"/>
      <c r="R852" s="404" t="n"/>
      <c r="AB852" s="537" t="n"/>
      <c r="AC852" s="537" t="n"/>
      <c r="AF852" s="537" t="n"/>
      <c r="AG852" s="537" t="n"/>
    </row>
    <row customHeight="1" ht="15.75" r="853" s="452" spans="1:40">
      <c r="A853" s="44" t="n"/>
      <c r="J853" s="404" t="n"/>
      <c r="N853" s="404" t="n"/>
      <c r="R853" s="404" t="n"/>
      <c r="AB853" s="537" t="n"/>
      <c r="AC853" s="537" t="n"/>
      <c r="AF853" s="537" t="n"/>
      <c r="AG853" s="537" t="n"/>
    </row>
    <row customHeight="1" ht="15.75" r="854" s="452" spans="1:40">
      <c r="A854" s="44" t="n"/>
      <c r="J854" s="404" t="n"/>
      <c r="N854" s="404" t="n"/>
      <c r="R854" s="404" t="n"/>
      <c r="AB854" s="537" t="n"/>
      <c r="AC854" s="537" t="n"/>
      <c r="AF854" s="537" t="n"/>
      <c r="AG854" s="537" t="n"/>
    </row>
    <row customHeight="1" ht="15.75" r="855" s="452" spans="1:40">
      <c r="A855" s="44" t="n"/>
      <c r="J855" s="404" t="n"/>
      <c r="N855" s="404" t="n"/>
      <c r="R855" s="404" t="n"/>
      <c r="AB855" s="537" t="n"/>
      <c r="AC855" s="537" t="n"/>
      <c r="AF855" s="537" t="n"/>
      <c r="AG855" s="537" t="n"/>
    </row>
    <row customHeight="1" ht="15.75" r="856" s="452" spans="1:40">
      <c r="A856" s="44" t="n"/>
      <c r="J856" s="404" t="n"/>
      <c r="N856" s="404" t="n"/>
      <c r="R856" s="404" t="n"/>
      <c r="AB856" s="537" t="n"/>
      <c r="AC856" s="537" t="n"/>
      <c r="AF856" s="537" t="n"/>
      <c r="AG856" s="537" t="n"/>
    </row>
    <row customHeight="1" ht="15.75" r="857" s="452" spans="1:40">
      <c r="A857" s="44" t="n"/>
      <c r="J857" s="404" t="n"/>
      <c r="N857" s="404" t="n"/>
      <c r="R857" s="404" t="n"/>
      <c r="AB857" s="537" t="n"/>
      <c r="AC857" s="537" t="n"/>
      <c r="AF857" s="537" t="n"/>
      <c r="AG857" s="537" t="n"/>
    </row>
    <row customHeight="1" ht="15.75" r="858" s="452" spans="1:40">
      <c r="A858" s="44" t="n"/>
      <c r="J858" s="404" t="n"/>
      <c r="N858" s="404" t="n"/>
      <c r="R858" s="404" t="n"/>
      <c r="AB858" s="537" t="n"/>
      <c r="AC858" s="537" t="n"/>
      <c r="AF858" s="537" t="n"/>
      <c r="AG858" s="537" t="n"/>
    </row>
    <row customHeight="1" ht="15.75" r="859" s="452" spans="1:40">
      <c r="A859" s="44" t="n"/>
      <c r="J859" s="404" t="n"/>
      <c r="N859" s="404" t="n"/>
      <c r="R859" s="404" t="n"/>
      <c r="AB859" s="537" t="n"/>
      <c r="AC859" s="537" t="n"/>
      <c r="AF859" s="537" t="n"/>
      <c r="AG859" s="537" t="n"/>
    </row>
    <row customHeight="1" ht="15.75" r="860" s="452" spans="1:40">
      <c r="A860" s="44" t="n"/>
      <c r="J860" s="404" t="n"/>
      <c r="N860" s="404" t="n"/>
      <c r="R860" s="404" t="n"/>
      <c r="AB860" s="537" t="n"/>
      <c r="AC860" s="537" t="n"/>
      <c r="AF860" s="537" t="n"/>
      <c r="AG860" s="537" t="n"/>
    </row>
    <row customHeight="1" ht="15.75" r="861" s="452" spans="1:40">
      <c r="A861" s="44" t="n"/>
      <c r="J861" s="404" t="n"/>
      <c r="N861" s="404" t="n"/>
      <c r="R861" s="404" t="n"/>
      <c r="AB861" s="537" t="n"/>
      <c r="AC861" s="537" t="n"/>
      <c r="AF861" s="537" t="n"/>
      <c r="AG861" s="537" t="n"/>
    </row>
    <row customHeight="1" ht="15.75" r="862" s="452" spans="1:40">
      <c r="A862" s="44" t="n"/>
      <c r="J862" s="404" t="n"/>
      <c r="N862" s="404" t="n"/>
      <c r="R862" s="404" t="n"/>
      <c r="AB862" s="537" t="n"/>
      <c r="AC862" s="537" t="n"/>
      <c r="AF862" s="537" t="n"/>
      <c r="AG862" s="537" t="n"/>
    </row>
    <row customHeight="1" ht="15.75" r="863" s="452" spans="1:40">
      <c r="A863" s="44" t="n"/>
      <c r="J863" s="404" t="n"/>
      <c r="N863" s="404" t="n"/>
      <c r="R863" s="404" t="n"/>
      <c r="AB863" s="537" t="n"/>
      <c r="AC863" s="537" t="n"/>
      <c r="AF863" s="537" t="n"/>
      <c r="AG863" s="537" t="n"/>
    </row>
    <row customHeight="1" ht="15.75" r="864" s="452" spans="1:40">
      <c r="A864" s="44" t="n"/>
      <c r="J864" s="404" t="n"/>
      <c r="N864" s="404" t="n"/>
      <c r="R864" s="404" t="n"/>
      <c r="AB864" s="537" t="n"/>
      <c r="AC864" s="537" t="n"/>
      <c r="AF864" s="537" t="n"/>
      <c r="AG864" s="537" t="n"/>
    </row>
    <row customHeight="1" ht="15.75" r="865" s="452" spans="1:40">
      <c r="A865" s="44" t="n"/>
      <c r="J865" s="404" t="n"/>
      <c r="N865" s="404" t="n"/>
      <c r="R865" s="404" t="n"/>
      <c r="AB865" s="537" t="n"/>
      <c r="AC865" s="537" t="n"/>
      <c r="AF865" s="537" t="n"/>
      <c r="AG865" s="537" t="n"/>
    </row>
    <row customHeight="1" ht="15.75" r="866" s="452" spans="1:40">
      <c r="A866" s="44" t="n"/>
      <c r="J866" s="404" t="n"/>
      <c r="N866" s="404" t="n"/>
      <c r="R866" s="404" t="n"/>
      <c r="AB866" s="537" t="n"/>
      <c r="AC866" s="537" t="n"/>
      <c r="AF866" s="537" t="n"/>
      <c r="AG866" s="537" t="n"/>
    </row>
    <row customHeight="1" ht="15.75" r="867" s="452" spans="1:40">
      <c r="A867" s="44" t="n"/>
      <c r="J867" s="404" t="n"/>
      <c r="N867" s="404" t="n"/>
      <c r="R867" s="404" t="n"/>
      <c r="AB867" s="537" t="n"/>
      <c r="AC867" s="537" t="n"/>
      <c r="AF867" s="537" t="n"/>
      <c r="AG867" s="537" t="n"/>
    </row>
    <row customHeight="1" ht="15.75" r="868" s="452" spans="1:40">
      <c r="A868" s="44" t="n"/>
      <c r="J868" s="404" t="n"/>
      <c r="N868" s="404" t="n"/>
      <c r="R868" s="404" t="n"/>
      <c r="AB868" s="537" t="n"/>
      <c r="AC868" s="537" t="n"/>
      <c r="AF868" s="537" t="n"/>
      <c r="AG868" s="537" t="n"/>
    </row>
    <row customHeight="1" ht="15.75" r="869" s="452" spans="1:40">
      <c r="A869" s="44" t="n"/>
      <c r="J869" s="404" t="n"/>
      <c r="N869" s="404" t="n"/>
      <c r="R869" s="404" t="n"/>
      <c r="AB869" s="537" t="n"/>
      <c r="AC869" s="537" t="n"/>
      <c r="AF869" s="537" t="n"/>
      <c r="AG869" s="537" t="n"/>
    </row>
    <row customHeight="1" ht="15.75" r="870" s="452" spans="1:40">
      <c r="A870" s="44" t="n"/>
      <c r="J870" s="404" t="n"/>
      <c r="N870" s="404" t="n"/>
      <c r="R870" s="404" t="n"/>
      <c r="AB870" s="537" t="n"/>
      <c r="AC870" s="537" t="n"/>
      <c r="AF870" s="537" t="n"/>
      <c r="AG870" s="537" t="n"/>
    </row>
    <row customHeight="1" ht="15.75" r="871" s="452" spans="1:40">
      <c r="A871" s="44" t="n"/>
      <c r="J871" s="404" t="n"/>
      <c r="N871" s="404" t="n"/>
      <c r="R871" s="404" t="n"/>
      <c r="AB871" s="537" t="n"/>
      <c r="AC871" s="537" t="n"/>
      <c r="AF871" s="537" t="n"/>
      <c r="AG871" s="537" t="n"/>
    </row>
    <row customHeight="1" ht="15.75" r="872" s="452" spans="1:40">
      <c r="A872" s="44" t="n"/>
      <c r="J872" s="404" t="n"/>
      <c r="N872" s="404" t="n"/>
      <c r="R872" s="404" t="n"/>
      <c r="AB872" s="537" t="n"/>
      <c r="AC872" s="537" t="n"/>
      <c r="AF872" s="537" t="n"/>
      <c r="AG872" s="537" t="n"/>
    </row>
    <row customHeight="1" ht="15.75" r="873" s="452" spans="1:40">
      <c r="A873" s="44" t="n"/>
      <c r="J873" s="404" t="n"/>
      <c r="N873" s="404" t="n"/>
      <c r="R873" s="404" t="n"/>
      <c r="AB873" s="537" t="n"/>
      <c r="AC873" s="537" t="n"/>
      <c r="AF873" s="537" t="n"/>
      <c r="AG873" s="537" t="n"/>
    </row>
    <row customHeight="1" ht="15.75" r="874" s="452" spans="1:40">
      <c r="A874" s="44" t="n"/>
      <c r="J874" s="404" t="n"/>
      <c r="N874" s="404" t="n"/>
      <c r="R874" s="404" t="n"/>
      <c r="AB874" s="537" t="n"/>
      <c r="AC874" s="537" t="n"/>
      <c r="AF874" s="537" t="n"/>
      <c r="AG874" s="537" t="n"/>
    </row>
    <row customHeight="1" ht="15.75" r="875" s="452" spans="1:40">
      <c r="A875" s="44" t="n"/>
      <c r="J875" s="404" t="n"/>
      <c r="N875" s="404" t="n"/>
      <c r="R875" s="404" t="n"/>
      <c r="AB875" s="537" t="n"/>
      <c r="AC875" s="537" t="n"/>
      <c r="AF875" s="537" t="n"/>
      <c r="AG875" s="537" t="n"/>
    </row>
    <row customHeight="1" ht="15.75" r="876" s="452" spans="1:40">
      <c r="A876" s="44" t="n"/>
      <c r="J876" s="404" t="n"/>
      <c r="N876" s="404" t="n"/>
      <c r="R876" s="404" t="n"/>
      <c r="AB876" s="537" t="n"/>
      <c r="AC876" s="537" t="n"/>
      <c r="AF876" s="537" t="n"/>
      <c r="AG876" s="537" t="n"/>
    </row>
    <row customHeight="1" ht="15.75" r="877" s="452" spans="1:40">
      <c r="A877" s="44" t="n"/>
      <c r="J877" s="404" t="n"/>
      <c r="N877" s="404" t="n"/>
      <c r="R877" s="404" t="n"/>
      <c r="AB877" s="537" t="n"/>
      <c r="AC877" s="537" t="n"/>
      <c r="AF877" s="537" t="n"/>
      <c r="AG877" s="537" t="n"/>
    </row>
    <row customHeight="1" ht="15.75" r="878" s="452" spans="1:40">
      <c r="A878" s="44" t="n"/>
      <c r="J878" s="404" t="n"/>
      <c r="N878" s="404" t="n"/>
      <c r="R878" s="404" t="n"/>
      <c r="AB878" s="537" t="n"/>
      <c r="AC878" s="537" t="n"/>
      <c r="AF878" s="537" t="n"/>
      <c r="AG878" s="537" t="n"/>
    </row>
    <row customHeight="1" ht="15.75" r="879" s="452" spans="1:40">
      <c r="A879" s="44" t="n"/>
      <c r="J879" s="404" t="n"/>
      <c r="N879" s="404" t="n"/>
      <c r="R879" s="404" t="n"/>
      <c r="AB879" s="537" t="n"/>
      <c r="AC879" s="537" t="n"/>
      <c r="AF879" s="537" t="n"/>
      <c r="AG879" s="537" t="n"/>
    </row>
    <row customHeight="1" ht="15.75" r="880" s="452" spans="1:40">
      <c r="A880" s="44" t="n"/>
      <c r="J880" s="404" t="n"/>
      <c r="N880" s="404" t="n"/>
      <c r="R880" s="404" t="n"/>
      <c r="AB880" s="537" t="n"/>
      <c r="AC880" s="537" t="n"/>
      <c r="AF880" s="537" t="n"/>
      <c r="AG880" s="537" t="n"/>
    </row>
    <row customHeight="1" ht="15.75" r="881" s="452" spans="1:40">
      <c r="A881" s="44" t="n"/>
      <c r="J881" s="404" t="n"/>
      <c r="N881" s="404" t="n"/>
      <c r="R881" s="404" t="n"/>
      <c r="AB881" s="537" t="n"/>
      <c r="AC881" s="537" t="n"/>
      <c r="AF881" s="537" t="n"/>
      <c r="AG881" s="537" t="n"/>
    </row>
    <row customHeight="1" ht="15.75" r="882" s="452" spans="1:40">
      <c r="A882" s="44" t="n"/>
      <c r="J882" s="404" t="n"/>
      <c r="N882" s="404" t="n"/>
      <c r="R882" s="404" t="n"/>
      <c r="AB882" s="537" t="n"/>
      <c r="AC882" s="537" t="n"/>
      <c r="AF882" s="537" t="n"/>
      <c r="AG882" s="537" t="n"/>
    </row>
    <row customHeight="1" ht="15.75" r="883" s="452" spans="1:40">
      <c r="A883" s="44" t="n"/>
      <c r="J883" s="404" t="n"/>
      <c r="N883" s="404" t="n"/>
      <c r="R883" s="404" t="n"/>
      <c r="AB883" s="537" t="n"/>
      <c r="AC883" s="537" t="n"/>
      <c r="AF883" s="537" t="n"/>
      <c r="AG883" s="537" t="n"/>
    </row>
    <row customHeight="1" ht="15.75" r="884" s="452" spans="1:40">
      <c r="A884" s="44" t="n"/>
      <c r="J884" s="404" t="n"/>
      <c r="N884" s="404" t="n"/>
      <c r="R884" s="404" t="n"/>
      <c r="AB884" s="537" t="n"/>
      <c r="AC884" s="537" t="n"/>
      <c r="AF884" s="537" t="n"/>
      <c r="AG884" s="537" t="n"/>
    </row>
    <row customHeight="1" ht="15.75" r="885" s="452" spans="1:40">
      <c r="A885" s="44" t="n"/>
      <c r="J885" s="404" t="n"/>
      <c r="N885" s="404" t="n"/>
      <c r="R885" s="404" t="n"/>
      <c r="AB885" s="537" t="n"/>
      <c r="AC885" s="537" t="n"/>
      <c r="AF885" s="537" t="n"/>
      <c r="AG885" s="537" t="n"/>
    </row>
    <row customHeight="1" ht="15.75" r="886" s="452" spans="1:40">
      <c r="A886" s="44" t="n"/>
      <c r="J886" s="404" t="n"/>
      <c r="N886" s="404" t="n"/>
      <c r="R886" s="404" t="n"/>
      <c r="AB886" s="537" t="n"/>
      <c r="AC886" s="537" t="n"/>
      <c r="AF886" s="537" t="n"/>
      <c r="AG886" s="537" t="n"/>
    </row>
    <row customHeight="1" ht="15.75" r="887" s="452" spans="1:40">
      <c r="A887" s="44" t="n"/>
      <c r="J887" s="404" t="n"/>
      <c r="N887" s="404" t="n"/>
      <c r="R887" s="404" t="n"/>
      <c r="AB887" s="537" t="n"/>
      <c r="AC887" s="537" t="n"/>
      <c r="AF887" s="537" t="n"/>
      <c r="AG887" s="537" t="n"/>
    </row>
    <row customHeight="1" ht="15.75" r="888" s="452" spans="1:40">
      <c r="A888" s="44" t="n"/>
      <c r="J888" s="404" t="n"/>
      <c r="N888" s="404" t="n"/>
      <c r="R888" s="404" t="n"/>
      <c r="AB888" s="537" t="n"/>
      <c r="AC888" s="537" t="n"/>
      <c r="AF888" s="537" t="n"/>
      <c r="AG888" s="537" t="n"/>
    </row>
    <row customHeight="1" ht="15.75" r="889" s="452" spans="1:40">
      <c r="A889" s="44" t="n"/>
      <c r="J889" s="404" t="n"/>
      <c r="N889" s="404" t="n"/>
      <c r="R889" s="404" t="n"/>
      <c r="AB889" s="537" t="n"/>
      <c r="AC889" s="537" t="n"/>
      <c r="AF889" s="537" t="n"/>
      <c r="AG889" s="537" t="n"/>
    </row>
    <row customHeight="1" ht="15.75" r="890" s="452" spans="1:40">
      <c r="A890" s="44" t="n"/>
      <c r="J890" s="404" t="n"/>
      <c r="N890" s="404" t="n"/>
      <c r="R890" s="404" t="n"/>
      <c r="AB890" s="537" t="n"/>
      <c r="AC890" s="537" t="n"/>
      <c r="AF890" s="537" t="n"/>
      <c r="AG890" s="537" t="n"/>
    </row>
    <row customHeight="1" ht="15.75" r="891" s="452" spans="1:40">
      <c r="A891" s="44" t="n"/>
      <c r="J891" s="404" t="n"/>
      <c r="N891" s="404" t="n"/>
      <c r="R891" s="404" t="n"/>
      <c r="AB891" s="537" t="n"/>
      <c r="AC891" s="537" t="n"/>
      <c r="AF891" s="537" t="n"/>
      <c r="AG891" s="537" t="n"/>
    </row>
    <row customHeight="1" ht="15.75" r="892" s="452" spans="1:40">
      <c r="A892" s="44" t="n"/>
      <c r="J892" s="404" t="n"/>
      <c r="N892" s="404" t="n"/>
      <c r="R892" s="404" t="n"/>
      <c r="AB892" s="537" t="n"/>
      <c r="AC892" s="537" t="n"/>
      <c r="AF892" s="537" t="n"/>
      <c r="AG892" s="537" t="n"/>
    </row>
    <row customHeight="1" ht="15.75" r="893" s="452" spans="1:40">
      <c r="A893" s="44" t="n"/>
      <c r="J893" s="404" t="n"/>
      <c r="N893" s="404" t="n"/>
      <c r="R893" s="404" t="n"/>
      <c r="AB893" s="537" t="n"/>
      <c r="AC893" s="537" t="n"/>
      <c r="AF893" s="537" t="n"/>
      <c r="AG893" s="537" t="n"/>
    </row>
    <row customHeight="1" ht="15.75" r="894" s="452" spans="1:40">
      <c r="A894" s="44" t="n"/>
      <c r="J894" s="404" t="n"/>
      <c r="N894" s="404" t="n"/>
      <c r="R894" s="404" t="n"/>
      <c r="AB894" s="537" t="n"/>
      <c r="AC894" s="537" t="n"/>
      <c r="AF894" s="537" t="n"/>
      <c r="AG894" s="537" t="n"/>
    </row>
    <row customHeight="1" ht="15.75" r="895" s="452" spans="1:40">
      <c r="A895" s="44" t="n"/>
      <c r="J895" s="404" t="n"/>
      <c r="N895" s="404" t="n"/>
      <c r="R895" s="404" t="n"/>
      <c r="AB895" s="537" t="n"/>
      <c r="AC895" s="537" t="n"/>
      <c r="AF895" s="537" t="n"/>
      <c r="AG895" s="537" t="n"/>
    </row>
    <row customHeight="1" ht="15.75" r="896" s="452" spans="1:40">
      <c r="A896" s="44" t="n"/>
      <c r="J896" s="404" t="n"/>
      <c r="N896" s="404" t="n"/>
      <c r="R896" s="404" t="n"/>
      <c r="AB896" s="537" t="n"/>
      <c r="AC896" s="537" t="n"/>
      <c r="AF896" s="537" t="n"/>
      <c r="AG896" s="537" t="n"/>
    </row>
    <row customHeight="1" ht="15.75" r="897" s="452" spans="1:40">
      <c r="A897" s="44" t="n"/>
      <c r="J897" s="404" t="n"/>
      <c r="N897" s="404" t="n"/>
      <c r="R897" s="404" t="n"/>
      <c r="AB897" s="537" t="n"/>
      <c r="AC897" s="537" t="n"/>
      <c r="AF897" s="537" t="n"/>
      <c r="AG897" s="537" t="n"/>
    </row>
    <row customHeight="1" ht="15.75" r="898" s="452" spans="1:40">
      <c r="A898" s="44" t="n"/>
      <c r="J898" s="404" t="n"/>
      <c r="N898" s="404" t="n"/>
      <c r="R898" s="404" t="n"/>
      <c r="AB898" s="537" t="n"/>
      <c r="AC898" s="537" t="n"/>
      <c r="AF898" s="537" t="n"/>
      <c r="AG898" s="537" t="n"/>
    </row>
    <row customHeight="1" ht="15.75" r="899" s="452" spans="1:40">
      <c r="A899" s="44" t="n"/>
      <c r="J899" s="404" t="n"/>
      <c r="N899" s="404" t="n"/>
      <c r="R899" s="404" t="n"/>
      <c r="AB899" s="537" t="n"/>
      <c r="AC899" s="537" t="n"/>
      <c r="AF899" s="537" t="n"/>
      <c r="AG899" s="537" t="n"/>
    </row>
    <row customHeight="1" ht="15.75" r="900" s="452" spans="1:40">
      <c r="A900" s="44" t="n"/>
      <c r="J900" s="404" t="n"/>
      <c r="N900" s="404" t="n"/>
      <c r="R900" s="404" t="n"/>
      <c r="AB900" s="537" t="n"/>
      <c r="AC900" s="537" t="n"/>
      <c r="AF900" s="537" t="n"/>
      <c r="AG900" s="537" t="n"/>
    </row>
    <row customHeight="1" ht="15.75" r="901" s="452" spans="1:40">
      <c r="A901" s="44" t="n"/>
      <c r="J901" s="404" t="n"/>
      <c r="N901" s="404" t="n"/>
      <c r="R901" s="404" t="n"/>
      <c r="AB901" s="537" t="n"/>
      <c r="AC901" s="537" t="n"/>
      <c r="AF901" s="537" t="n"/>
      <c r="AG901" s="537" t="n"/>
    </row>
    <row customHeight="1" ht="15.75" r="902" s="452" spans="1:40">
      <c r="A902" s="44" t="n"/>
      <c r="J902" s="404" t="n"/>
      <c r="N902" s="404" t="n"/>
      <c r="R902" s="404" t="n"/>
      <c r="AB902" s="537" t="n"/>
      <c r="AC902" s="537" t="n"/>
      <c r="AF902" s="537" t="n"/>
      <c r="AG902" s="537" t="n"/>
    </row>
    <row customHeight="1" ht="15.75" r="903" s="452" spans="1:40">
      <c r="A903" s="44" t="n"/>
      <c r="J903" s="404" t="n"/>
      <c r="N903" s="404" t="n"/>
      <c r="R903" s="404" t="n"/>
      <c r="AB903" s="537" t="n"/>
      <c r="AC903" s="537" t="n"/>
      <c r="AF903" s="537" t="n"/>
      <c r="AG903" s="537" t="n"/>
    </row>
    <row customHeight="1" ht="15.75" r="904" s="452" spans="1:40">
      <c r="A904" s="44" t="n"/>
      <c r="J904" s="404" t="n"/>
      <c r="N904" s="404" t="n"/>
      <c r="R904" s="404" t="n"/>
      <c r="AB904" s="537" t="n"/>
      <c r="AC904" s="537" t="n"/>
      <c r="AF904" s="537" t="n"/>
      <c r="AG904" s="537" t="n"/>
    </row>
    <row customHeight="1" ht="15.75" r="905" s="452" spans="1:40">
      <c r="A905" s="44" t="n"/>
      <c r="J905" s="404" t="n"/>
      <c r="N905" s="404" t="n"/>
      <c r="R905" s="404" t="n"/>
      <c r="AB905" s="537" t="n"/>
      <c r="AC905" s="537" t="n"/>
      <c r="AF905" s="537" t="n"/>
      <c r="AG905" s="537" t="n"/>
    </row>
    <row customHeight="1" ht="15.75" r="906" s="452" spans="1:40">
      <c r="A906" s="44" t="n"/>
      <c r="J906" s="404" t="n"/>
      <c r="N906" s="404" t="n"/>
      <c r="R906" s="404" t="n"/>
      <c r="AB906" s="537" t="n"/>
      <c r="AC906" s="537" t="n"/>
      <c r="AF906" s="537" t="n"/>
      <c r="AG906" s="537" t="n"/>
    </row>
    <row customHeight="1" ht="15.75" r="907" s="452" spans="1:40">
      <c r="A907" s="44" t="n"/>
      <c r="J907" s="404" t="n"/>
      <c r="N907" s="404" t="n"/>
      <c r="R907" s="404" t="n"/>
      <c r="AB907" s="537" t="n"/>
      <c r="AC907" s="537" t="n"/>
      <c r="AF907" s="537" t="n"/>
      <c r="AG907" s="537" t="n"/>
    </row>
    <row customHeight="1" ht="15.75" r="908" s="452" spans="1:40">
      <c r="A908" s="44" t="n"/>
      <c r="J908" s="404" t="n"/>
      <c r="N908" s="404" t="n"/>
      <c r="R908" s="404" t="n"/>
      <c r="AB908" s="537" t="n"/>
      <c r="AC908" s="537" t="n"/>
      <c r="AF908" s="537" t="n"/>
      <c r="AG908" s="537" t="n"/>
    </row>
    <row customHeight="1" ht="15.75" r="909" s="452" spans="1:40">
      <c r="A909" s="44" t="n"/>
      <c r="J909" s="404" t="n"/>
      <c r="N909" s="404" t="n"/>
      <c r="R909" s="404" t="n"/>
      <c r="AB909" s="537" t="n"/>
      <c r="AC909" s="537" t="n"/>
      <c r="AF909" s="537" t="n"/>
      <c r="AG909" s="537" t="n"/>
    </row>
    <row customHeight="1" ht="15.75" r="910" s="452" spans="1:40">
      <c r="A910" s="44" t="n"/>
      <c r="J910" s="404" t="n"/>
      <c r="N910" s="404" t="n"/>
      <c r="R910" s="404" t="n"/>
      <c r="AB910" s="537" t="n"/>
      <c r="AC910" s="537" t="n"/>
      <c r="AF910" s="537" t="n"/>
      <c r="AG910" s="537" t="n"/>
    </row>
    <row customHeight="1" ht="15.75" r="911" s="452" spans="1:40">
      <c r="A911" s="44" t="n"/>
      <c r="J911" s="404" t="n"/>
      <c r="N911" s="404" t="n"/>
      <c r="R911" s="404" t="n"/>
      <c r="AB911" s="537" t="n"/>
      <c r="AC911" s="537" t="n"/>
      <c r="AF911" s="537" t="n"/>
      <c r="AG911" s="537" t="n"/>
    </row>
    <row customHeight="1" ht="15.75" r="912" s="452" spans="1:40">
      <c r="A912" s="44" t="n"/>
      <c r="J912" s="404" t="n"/>
      <c r="N912" s="404" t="n"/>
      <c r="R912" s="404" t="n"/>
      <c r="AB912" s="537" t="n"/>
      <c r="AC912" s="537" t="n"/>
      <c r="AF912" s="537" t="n"/>
      <c r="AG912" s="537" t="n"/>
    </row>
    <row customHeight="1" ht="15.75" r="913" s="452" spans="1:40">
      <c r="A913" s="44" t="n"/>
      <c r="J913" s="404" t="n"/>
      <c r="N913" s="404" t="n"/>
      <c r="R913" s="404" t="n"/>
      <c r="AB913" s="537" t="n"/>
      <c r="AC913" s="537" t="n"/>
      <c r="AF913" s="537" t="n"/>
      <c r="AG913" s="537" t="n"/>
    </row>
    <row customHeight="1" ht="15.75" r="914" s="452" spans="1:40">
      <c r="A914" s="44" t="n"/>
      <c r="J914" s="404" t="n"/>
      <c r="N914" s="404" t="n"/>
      <c r="R914" s="404" t="n"/>
      <c r="AB914" s="537" t="n"/>
      <c r="AC914" s="537" t="n"/>
      <c r="AF914" s="537" t="n"/>
      <c r="AG914" s="537" t="n"/>
    </row>
    <row customHeight="1" ht="15.75" r="915" s="452" spans="1:40">
      <c r="A915" s="44" t="n"/>
      <c r="J915" s="404" t="n"/>
      <c r="N915" s="404" t="n"/>
      <c r="R915" s="404" t="n"/>
      <c r="AB915" s="537" t="n"/>
      <c r="AC915" s="537" t="n"/>
      <c r="AF915" s="537" t="n"/>
      <c r="AG915" s="537" t="n"/>
    </row>
    <row customHeight="1" ht="15.75" r="916" s="452" spans="1:40">
      <c r="A916" s="44" t="n"/>
      <c r="J916" s="404" t="n"/>
      <c r="N916" s="404" t="n"/>
      <c r="R916" s="404" t="n"/>
      <c r="AB916" s="537" t="n"/>
      <c r="AC916" s="537" t="n"/>
      <c r="AF916" s="537" t="n"/>
      <c r="AG916" s="537" t="n"/>
    </row>
    <row customHeight="1" ht="15.75" r="917" s="452" spans="1:40">
      <c r="A917" s="44" t="n"/>
      <c r="J917" s="404" t="n"/>
      <c r="N917" s="404" t="n"/>
      <c r="R917" s="404" t="n"/>
      <c r="AB917" s="537" t="n"/>
      <c r="AC917" s="537" t="n"/>
      <c r="AF917" s="537" t="n"/>
      <c r="AG917" s="537" t="n"/>
    </row>
    <row customHeight="1" ht="15.75" r="918" s="452" spans="1:40">
      <c r="A918" s="44" t="n"/>
      <c r="J918" s="404" t="n"/>
      <c r="N918" s="404" t="n"/>
      <c r="R918" s="404" t="n"/>
      <c r="AB918" s="537" t="n"/>
      <c r="AC918" s="537" t="n"/>
      <c r="AF918" s="537" t="n"/>
      <c r="AG918" s="537" t="n"/>
    </row>
    <row customHeight="1" ht="15.75" r="919" s="452" spans="1:40">
      <c r="A919" s="44" t="n"/>
      <c r="J919" s="404" t="n"/>
      <c r="N919" s="404" t="n"/>
      <c r="R919" s="404" t="n"/>
      <c r="AB919" s="537" t="n"/>
      <c r="AC919" s="537" t="n"/>
      <c r="AF919" s="537" t="n"/>
      <c r="AG919" s="537" t="n"/>
    </row>
    <row customHeight="1" ht="15.75" r="920" s="452" spans="1:40">
      <c r="A920" s="44" t="n"/>
      <c r="J920" s="404" t="n"/>
      <c r="N920" s="404" t="n"/>
      <c r="R920" s="404" t="n"/>
      <c r="AB920" s="537" t="n"/>
      <c r="AC920" s="537" t="n"/>
      <c r="AF920" s="537" t="n"/>
      <c r="AG920" s="537" t="n"/>
    </row>
    <row customHeight="1" ht="15.75" r="921" s="452" spans="1:40">
      <c r="A921" s="44" t="n"/>
      <c r="J921" s="404" t="n"/>
      <c r="N921" s="404" t="n"/>
      <c r="R921" s="404" t="n"/>
      <c r="AB921" s="537" t="n"/>
      <c r="AC921" s="537" t="n"/>
      <c r="AF921" s="537" t="n"/>
      <c r="AG921" s="537" t="n"/>
    </row>
    <row customHeight="1" ht="15.75" r="922" s="452" spans="1:40">
      <c r="A922" s="44" t="n"/>
      <c r="J922" s="404" t="n"/>
      <c r="N922" s="404" t="n"/>
      <c r="R922" s="404" t="n"/>
      <c r="AB922" s="537" t="n"/>
      <c r="AC922" s="537" t="n"/>
      <c r="AF922" s="537" t="n"/>
      <c r="AG922" s="537" t="n"/>
    </row>
    <row customHeight="1" ht="15.75" r="923" s="452" spans="1:40">
      <c r="A923" s="44" t="n"/>
      <c r="J923" s="404" t="n"/>
      <c r="N923" s="404" t="n"/>
      <c r="R923" s="404" t="n"/>
      <c r="AB923" s="537" t="n"/>
      <c r="AC923" s="537" t="n"/>
      <c r="AF923" s="537" t="n"/>
      <c r="AG923" s="537" t="n"/>
    </row>
    <row customHeight="1" ht="15.75" r="924" s="452" spans="1:40">
      <c r="A924" s="44" t="n"/>
      <c r="J924" s="404" t="n"/>
      <c r="N924" s="404" t="n"/>
      <c r="R924" s="404" t="n"/>
      <c r="AB924" s="537" t="n"/>
      <c r="AC924" s="537" t="n"/>
      <c r="AF924" s="537" t="n"/>
      <c r="AG924" s="537" t="n"/>
    </row>
    <row customHeight="1" ht="15.75" r="925" s="452" spans="1:40">
      <c r="A925" s="44" t="n"/>
      <c r="J925" s="404" t="n"/>
      <c r="N925" s="404" t="n"/>
      <c r="R925" s="404" t="n"/>
      <c r="AB925" s="537" t="n"/>
      <c r="AC925" s="537" t="n"/>
      <c r="AF925" s="537" t="n"/>
      <c r="AG925" s="537" t="n"/>
    </row>
    <row customHeight="1" ht="15.75" r="926" s="452" spans="1:40">
      <c r="A926" s="44" t="n"/>
      <c r="J926" s="404" t="n"/>
      <c r="N926" s="404" t="n"/>
      <c r="R926" s="404" t="n"/>
      <c r="AB926" s="537" t="n"/>
      <c r="AC926" s="537" t="n"/>
      <c r="AF926" s="537" t="n"/>
      <c r="AG926" s="537" t="n"/>
    </row>
    <row customHeight="1" ht="15.75" r="927" s="452" spans="1:40">
      <c r="A927" s="44" t="n"/>
      <c r="J927" s="404" t="n"/>
      <c r="N927" s="404" t="n"/>
      <c r="R927" s="404" t="n"/>
      <c r="AB927" s="537" t="n"/>
      <c r="AC927" s="537" t="n"/>
      <c r="AF927" s="537" t="n"/>
      <c r="AG927" s="537" t="n"/>
    </row>
    <row customHeight="1" ht="15.75" r="928" s="452" spans="1:40">
      <c r="A928" s="44" t="n"/>
      <c r="J928" s="404" t="n"/>
      <c r="N928" s="404" t="n"/>
      <c r="R928" s="404" t="n"/>
      <c r="AB928" s="537" t="n"/>
      <c r="AC928" s="537" t="n"/>
      <c r="AF928" s="537" t="n"/>
      <c r="AG928" s="537" t="n"/>
    </row>
    <row customHeight="1" ht="15.75" r="929" s="452" spans="1:40">
      <c r="A929" s="44" t="n"/>
      <c r="J929" s="404" t="n"/>
      <c r="N929" s="404" t="n"/>
      <c r="R929" s="404" t="n"/>
      <c r="AB929" s="537" t="n"/>
      <c r="AC929" s="537" t="n"/>
      <c r="AF929" s="537" t="n"/>
      <c r="AG929" s="537" t="n"/>
    </row>
    <row customHeight="1" ht="15.75" r="930" s="452" spans="1:40">
      <c r="A930" s="44" t="n"/>
      <c r="J930" s="404" t="n"/>
      <c r="N930" s="404" t="n"/>
      <c r="R930" s="404" t="n"/>
      <c r="AB930" s="537" t="n"/>
      <c r="AC930" s="537" t="n"/>
      <c r="AF930" s="537" t="n"/>
      <c r="AG930" s="537" t="n"/>
    </row>
    <row customHeight="1" ht="15.75" r="931" s="452" spans="1:40">
      <c r="A931" s="44" t="n"/>
      <c r="J931" s="404" t="n"/>
      <c r="N931" s="404" t="n"/>
      <c r="R931" s="404" t="n"/>
      <c r="AB931" s="537" t="n"/>
      <c r="AC931" s="537" t="n"/>
      <c r="AF931" s="537" t="n"/>
      <c r="AG931" s="537" t="n"/>
    </row>
    <row customHeight="1" ht="15.75" r="932" s="452" spans="1:40">
      <c r="A932" s="44" t="n"/>
      <c r="J932" s="404" t="n"/>
      <c r="N932" s="404" t="n"/>
      <c r="R932" s="404" t="n"/>
      <c r="AB932" s="537" t="n"/>
      <c r="AC932" s="537" t="n"/>
      <c r="AF932" s="537" t="n"/>
      <c r="AG932" s="537" t="n"/>
    </row>
    <row customHeight="1" ht="15.75" r="933" s="452" spans="1:40">
      <c r="A933" s="44" t="n"/>
      <c r="J933" s="404" t="n"/>
      <c r="N933" s="404" t="n"/>
      <c r="R933" s="404" t="n"/>
      <c r="AB933" s="537" t="n"/>
      <c r="AC933" s="537" t="n"/>
      <c r="AF933" s="537" t="n"/>
      <c r="AG933" s="537" t="n"/>
    </row>
    <row customHeight="1" ht="15.75" r="934" s="452" spans="1:40">
      <c r="A934" s="44" t="n"/>
      <c r="J934" s="404" t="n"/>
      <c r="N934" s="404" t="n"/>
      <c r="R934" s="404" t="n"/>
      <c r="AB934" s="537" t="n"/>
      <c r="AC934" s="537" t="n"/>
      <c r="AF934" s="537" t="n"/>
      <c r="AG934" s="537" t="n"/>
    </row>
    <row customHeight="1" ht="15.75" r="935" s="452" spans="1:40">
      <c r="A935" s="44" t="n"/>
      <c r="J935" s="404" t="n"/>
      <c r="N935" s="404" t="n"/>
      <c r="R935" s="404" t="n"/>
      <c r="AB935" s="537" t="n"/>
      <c r="AC935" s="537" t="n"/>
      <c r="AF935" s="537" t="n"/>
      <c r="AG935" s="537" t="n"/>
    </row>
    <row customHeight="1" ht="15.75" r="936" s="452" spans="1:40">
      <c r="A936" s="44" t="n"/>
      <c r="J936" s="404" t="n"/>
      <c r="N936" s="404" t="n"/>
      <c r="R936" s="404" t="n"/>
      <c r="AB936" s="537" t="n"/>
      <c r="AC936" s="537" t="n"/>
      <c r="AF936" s="537" t="n"/>
      <c r="AG936" s="537" t="n"/>
    </row>
    <row customHeight="1" ht="15.75" r="937" s="452" spans="1:40">
      <c r="A937" s="44" t="n"/>
      <c r="J937" s="404" t="n"/>
      <c r="N937" s="404" t="n"/>
      <c r="R937" s="404" t="n"/>
      <c r="AB937" s="537" t="n"/>
      <c r="AC937" s="537" t="n"/>
      <c r="AF937" s="537" t="n"/>
      <c r="AG937" s="537" t="n"/>
    </row>
    <row customHeight="1" ht="15.75" r="938" s="452" spans="1:40">
      <c r="A938" s="44" t="n"/>
      <c r="J938" s="404" t="n"/>
      <c r="N938" s="404" t="n"/>
      <c r="R938" s="404" t="n"/>
      <c r="AB938" s="537" t="n"/>
      <c r="AC938" s="537" t="n"/>
      <c r="AF938" s="537" t="n"/>
      <c r="AG938" s="537" t="n"/>
    </row>
    <row customHeight="1" ht="15.75" r="939" s="452" spans="1:40">
      <c r="A939" s="44" t="n"/>
      <c r="J939" s="404" t="n"/>
      <c r="N939" s="404" t="n"/>
      <c r="R939" s="404" t="n"/>
      <c r="AB939" s="537" t="n"/>
      <c r="AC939" s="537" t="n"/>
      <c r="AF939" s="537" t="n"/>
      <c r="AG939" s="537" t="n"/>
    </row>
    <row customHeight="1" ht="15.75" r="940" s="452" spans="1:40">
      <c r="A940" s="44" t="n"/>
      <c r="J940" s="404" t="n"/>
      <c r="N940" s="404" t="n"/>
      <c r="R940" s="404" t="n"/>
      <c r="AB940" s="537" t="n"/>
      <c r="AC940" s="537" t="n"/>
      <c r="AF940" s="537" t="n"/>
      <c r="AG940" s="537" t="n"/>
    </row>
    <row customHeight="1" ht="15.75" r="941" s="452" spans="1:40">
      <c r="A941" s="44" t="n"/>
      <c r="J941" s="404" t="n"/>
      <c r="N941" s="404" t="n"/>
      <c r="R941" s="404" t="n"/>
      <c r="AB941" s="537" t="n"/>
      <c r="AC941" s="537" t="n"/>
      <c r="AF941" s="537" t="n"/>
      <c r="AG941" s="537" t="n"/>
    </row>
    <row customHeight="1" ht="15.75" r="942" s="452" spans="1:40">
      <c r="A942" s="44" t="n"/>
      <c r="J942" s="404" t="n"/>
      <c r="N942" s="404" t="n"/>
      <c r="R942" s="404" t="n"/>
      <c r="AB942" s="537" t="n"/>
      <c r="AC942" s="537" t="n"/>
      <c r="AF942" s="537" t="n"/>
      <c r="AG942" s="537" t="n"/>
    </row>
    <row customHeight="1" ht="15.75" r="943" s="452" spans="1:40">
      <c r="A943" s="44" t="n"/>
      <c r="J943" s="404" t="n"/>
      <c r="N943" s="404" t="n"/>
      <c r="R943" s="404" t="n"/>
      <c r="AB943" s="537" t="n"/>
      <c r="AC943" s="537" t="n"/>
      <c r="AF943" s="537" t="n"/>
      <c r="AG943" s="537" t="n"/>
    </row>
    <row customHeight="1" ht="15.75" r="944" s="452" spans="1:40">
      <c r="A944" s="44" t="n"/>
      <c r="J944" s="404" t="n"/>
      <c r="N944" s="404" t="n"/>
      <c r="R944" s="404" t="n"/>
      <c r="AB944" s="537" t="n"/>
      <c r="AC944" s="537" t="n"/>
      <c r="AF944" s="537" t="n"/>
      <c r="AG944" s="537" t="n"/>
    </row>
    <row customHeight="1" ht="15.75" r="945" s="452" spans="1:40">
      <c r="A945" s="44" t="n"/>
      <c r="J945" s="404" t="n"/>
      <c r="N945" s="404" t="n"/>
      <c r="R945" s="404" t="n"/>
      <c r="AB945" s="537" t="n"/>
      <c r="AC945" s="537" t="n"/>
      <c r="AF945" s="537" t="n"/>
      <c r="AG945" s="537" t="n"/>
    </row>
    <row customHeight="1" ht="15.75" r="946" s="452" spans="1:40">
      <c r="A946" s="44" t="n"/>
      <c r="J946" s="404" t="n"/>
      <c r="N946" s="404" t="n"/>
      <c r="R946" s="404" t="n"/>
      <c r="AB946" s="537" t="n"/>
      <c r="AC946" s="537" t="n"/>
      <c r="AF946" s="537" t="n"/>
      <c r="AG946" s="537" t="n"/>
    </row>
    <row customHeight="1" ht="15.75" r="947" s="452" spans="1:40">
      <c r="A947" s="44" t="n"/>
      <c r="J947" s="404" t="n"/>
      <c r="N947" s="404" t="n"/>
      <c r="R947" s="404" t="n"/>
      <c r="AB947" s="537" t="n"/>
      <c r="AC947" s="537" t="n"/>
      <c r="AF947" s="537" t="n"/>
      <c r="AG947" s="537" t="n"/>
    </row>
    <row customHeight="1" ht="15.75" r="948" s="452" spans="1:40">
      <c r="A948" s="44" t="n"/>
      <c r="J948" s="404" t="n"/>
      <c r="N948" s="404" t="n"/>
      <c r="R948" s="404" t="n"/>
      <c r="AB948" s="537" t="n"/>
      <c r="AC948" s="537" t="n"/>
      <c r="AF948" s="537" t="n"/>
      <c r="AG948" s="537" t="n"/>
    </row>
    <row customHeight="1" ht="15.75" r="949" s="452" spans="1:40">
      <c r="A949" s="44" t="n"/>
      <c r="J949" s="404" t="n"/>
      <c r="N949" s="404" t="n"/>
      <c r="R949" s="404" t="n"/>
      <c r="AB949" s="537" t="n"/>
      <c r="AC949" s="537" t="n"/>
      <c r="AF949" s="537" t="n"/>
      <c r="AG949" s="537" t="n"/>
    </row>
    <row customHeight="1" ht="15.75" r="950" s="452" spans="1:40">
      <c r="A950" s="44" t="n"/>
      <c r="J950" s="404" t="n"/>
      <c r="N950" s="404" t="n"/>
      <c r="R950" s="404" t="n"/>
      <c r="AB950" s="537" t="n"/>
      <c r="AC950" s="537" t="n"/>
      <c r="AF950" s="537" t="n"/>
      <c r="AG950" s="537" t="n"/>
    </row>
    <row customHeight="1" ht="15.75" r="951" s="452" spans="1:40">
      <c r="A951" s="44" t="n"/>
      <c r="J951" s="404" t="n"/>
      <c r="N951" s="404" t="n"/>
      <c r="R951" s="404" t="n"/>
      <c r="AB951" s="537" t="n"/>
      <c r="AC951" s="537" t="n"/>
      <c r="AF951" s="537" t="n"/>
      <c r="AG951" s="537" t="n"/>
    </row>
    <row customHeight="1" ht="15.75" r="952" s="452" spans="1:40">
      <c r="A952" s="44" t="n"/>
      <c r="J952" s="404" t="n"/>
      <c r="N952" s="404" t="n"/>
      <c r="R952" s="404" t="n"/>
      <c r="AB952" s="537" t="n"/>
      <c r="AC952" s="537" t="n"/>
      <c r="AF952" s="537" t="n"/>
      <c r="AG952" s="537" t="n"/>
    </row>
    <row customHeight="1" ht="15.75" r="953" s="452" spans="1:40">
      <c r="A953" s="44" t="n"/>
      <c r="J953" s="404" t="n"/>
      <c r="N953" s="404" t="n"/>
      <c r="R953" s="404" t="n"/>
      <c r="AB953" s="537" t="n"/>
      <c r="AC953" s="537" t="n"/>
      <c r="AF953" s="537" t="n"/>
      <c r="AG953" s="537" t="n"/>
    </row>
    <row customHeight="1" ht="15.75" r="954" s="452" spans="1:40">
      <c r="A954" s="44" t="n"/>
      <c r="J954" s="404" t="n"/>
      <c r="N954" s="404" t="n"/>
      <c r="R954" s="404" t="n"/>
      <c r="AB954" s="537" t="n"/>
      <c r="AC954" s="537" t="n"/>
      <c r="AF954" s="537" t="n"/>
      <c r="AG954" s="537" t="n"/>
    </row>
    <row customHeight="1" ht="15.75" r="955" s="452" spans="1:40">
      <c r="A955" s="44" t="n"/>
      <c r="J955" s="404" t="n"/>
      <c r="N955" s="404" t="n"/>
      <c r="R955" s="404" t="n"/>
      <c r="AB955" s="537" t="n"/>
      <c r="AC955" s="537" t="n"/>
      <c r="AF955" s="537" t="n"/>
      <c r="AG955" s="537" t="n"/>
    </row>
    <row customHeight="1" ht="15.75" r="956" s="452" spans="1:40">
      <c r="A956" s="44" t="n"/>
      <c r="J956" s="404" t="n"/>
      <c r="N956" s="404" t="n"/>
      <c r="R956" s="404" t="n"/>
      <c r="AB956" s="537" t="n"/>
      <c r="AC956" s="537" t="n"/>
      <c r="AF956" s="537" t="n"/>
      <c r="AG956" s="537" t="n"/>
    </row>
    <row customHeight="1" ht="15.75" r="957" s="452" spans="1:40">
      <c r="A957" s="44" t="n"/>
      <c r="J957" s="404" t="n"/>
      <c r="N957" s="404" t="n"/>
      <c r="R957" s="404" t="n"/>
      <c r="AB957" s="537" t="n"/>
      <c r="AC957" s="537" t="n"/>
      <c r="AF957" s="537" t="n"/>
      <c r="AG957" s="537" t="n"/>
    </row>
    <row customHeight="1" ht="15.75" r="958" s="452" spans="1:40">
      <c r="A958" s="44" t="n"/>
      <c r="J958" s="404" t="n"/>
      <c r="N958" s="404" t="n"/>
      <c r="R958" s="404" t="n"/>
      <c r="AB958" s="537" t="n"/>
      <c r="AC958" s="537" t="n"/>
      <c r="AF958" s="537" t="n"/>
      <c r="AG958" s="537" t="n"/>
    </row>
    <row customHeight="1" ht="15.75" r="959" s="452" spans="1:40">
      <c r="A959" s="44" t="n"/>
      <c r="J959" s="404" t="n"/>
      <c r="N959" s="404" t="n"/>
      <c r="R959" s="404" t="n"/>
      <c r="AB959" s="537" t="n"/>
      <c r="AC959" s="537" t="n"/>
      <c r="AF959" s="537" t="n"/>
      <c r="AG959" s="537" t="n"/>
    </row>
    <row customHeight="1" ht="15.75" r="960" s="452" spans="1:40">
      <c r="A960" s="44" t="n"/>
      <c r="J960" s="404" t="n"/>
      <c r="N960" s="404" t="n"/>
      <c r="R960" s="404" t="n"/>
      <c r="AB960" s="537" t="n"/>
      <c r="AC960" s="537" t="n"/>
      <c r="AF960" s="537" t="n"/>
      <c r="AG960" s="537" t="n"/>
    </row>
    <row customHeight="1" ht="15.75" r="961" s="452" spans="1:40">
      <c r="A961" s="44" t="n"/>
      <c r="J961" s="404" t="n"/>
      <c r="N961" s="404" t="n"/>
      <c r="R961" s="404" t="n"/>
      <c r="AB961" s="537" t="n"/>
      <c r="AC961" s="537" t="n"/>
      <c r="AF961" s="537" t="n"/>
      <c r="AG961" s="537" t="n"/>
    </row>
    <row customHeight="1" ht="15.75" r="962" s="452" spans="1:40">
      <c r="A962" s="44" t="n"/>
      <c r="J962" s="404" t="n"/>
      <c r="N962" s="404" t="n"/>
      <c r="R962" s="404" t="n"/>
      <c r="AB962" s="537" t="n"/>
      <c r="AC962" s="537" t="n"/>
      <c r="AF962" s="537" t="n"/>
      <c r="AG962" s="537" t="n"/>
    </row>
    <row customHeight="1" ht="15.75" r="963" s="452" spans="1:40">
      <c r="A963" s="44" t="n"/>
      <c r="J963" s="404" t="n"/>
      <c r="N963" s="404" t="n"/>
      <c r="R963" s="404" t="n"/>
      <c r="AB963" s="537" t="n"/>
      <c r="AC963" s="537" t="n"/>
      <c r="AF963" s="537" t="n"/>
      <c r="AG963" s="537" t="n"/>
    </row>
    <row customHeight="1" ht="15.75" r="964" s="452" spans="1:40">
      <c r="A964" s="44" t="n"/>
      <c r="J964" s="404" t="n"/>
      <c r="N964" s="404" t="n"/>
      <c r="R964" s="404" t="n"/>
      <c r="AB964" s="537" t="n"/>
      <c r="AC964" s="537" t="n"/>
      <c r="AF964" s="537" t="n"/>
      <c r="AG964" s="537" t="n"/>
    </row>
    <row customHeight="1" ht="15.75" r="965" s="452" spans="1:40">
      <c r="A965" s="44" t="n"/>
      <c r="J965" s="404" t="n"/>
      <c r="N965" s="404" t="n"/>
      <c r="R965" s="404" t="n"/>
      <c r="AB965" s="537" t="n"/>
      <c r="AC965" s="537" t="n"/>
      <c r="AF965" s="537" t="n"/>
      <c r="AG965" s="537" t="n"/>
    </row>
    <row customHeight="1" ht="15.75" r="966" s="452" spans="1:40">
      <c r="A966" s="44" t="n"/>
      <c r="J966" s="404" t="n"/>
      <c r="N966" s="404" t="n"/>
      <c r="R966" s="404" t="n"/>
      <c r="AB966" s="537" t="n"/>
      <c r="AC966" s="537" t="n"/>
      <c r="AF966" s="537" t="n"/>
      <c r="AG966" s="537" t="n"/>
    </row>
    <row customHeight="1" ht="15.75" r="967" s="452" spans="1:40">
      <c r="A967" s="44" t="n"/>
      <c r="J967" s="404" t="n"/>
      <c r="N967" s="404" t="n"/>
      <c r="R967" s="404" t="n"/>
      <c r="AB967" s="537" t="n"/>
      <c r="AC967" s="537" t="n"/>
      <c r="AF967" s="537" t="n"/>
      <c r="AG967" s="537" t="n"/>
    </row>
    <row customHeight="1" ht="15.75" r="968" s="452" spans="1:40">
      <c r="A968" s="44" t="n"/>
      <c r="J968" s="404" t="n"/>
      <c r="N968" s="404" t="n"/>
      <c r="R968" s="404" t="n"/>
      <c r="AB968" s="537" t="n"/>
      <c r="AC968" s="537" t="n"/>
      <c r="AF968" s="537" t="n"/>
      <c r="AG968" s="537" t="n"/>
    </row>
    <row customHeight="1" ht="15.75" r="969" s="452" spans="1:40">
      <c r="A969" s="44" t="n"/>
      <c r="J969" s="404" t="n"/>
      <c r="N969" s="404" t="n"/>
      <c r="R969" s="404" t="n"/>
      <c r="AB969" s="537" t="n"/>
      <c r="AC969" s="537" t="n"/>
      <c r="AF969" s="537" t="n"/>
      <c r="AG969" s="537" t="n"/>
    </row>
    <row customHeight="1" ht="15.75" r="970" s="452" spans="1:40">
      <c r="A970" s="44" t="n"/>
      <c r="J970" s="404" t="n"/>
      <c r="N970" s="404" t="n"/>
      <c r="R970" s="404" t="n"/>
      <c r="AB970" s="537" t="n"/>
      <c r="AC970" s="537" t="n"/>
      <c r="AF970" s="537" t="n"/>
      <c r="AG970" s="537" t="n"/>
    </row>
    <row customHeight="1" ht="15.75" r="971" s="452" spans="1:40">
      <c r="A971" s="44" t="n"/>
      <c r="J971" s="404" t="n"/>
      <c r="N971" s="404" t="n"/>
      <c r="R971" s="404" t="n"/>
      <c r="AB971" s="537" t="n"/>
      <c r="AC971" s="537" t="n"/>
      <c r="AF971" s="537" t="n"/>
      <c r="AG971" s="537" t="n"/>
    </row>
    <row customHeight="1" ht="15.75" r="972" s="452" spans="1:40">
      <c r="A972" s="44" t="n"/>
      <c r="J972" s="404" t="n"/>
      <c r="N972" s="404" t="n"/>
      <c r="R972" s="404" t="n"/>
      <c r="AB972" s="537" t="n"/>
      <c r="AC972" s="537" t="n"/>
      <c r="AF972" s="537" t="n"/>
      <c r="AG972" s="537" t="n"/>
    </row>
    <row customHeight="1" ht="15.75" r="973" s="452" spans="1:40">
      <c r="A973" s="44" t="n"/>
      <c r="J973" s="404" t="n"/>
      <c r="N973" s="404" t="n"/>
      <c r="R973" s="404" t="n"/>
      <c r="AB973" s="537" t="n"/>
      <c r="AC973" s="537" t="n"/>
      <c r="AF973" s="537" t="n"/>
      <c r="AG973" s="537" t="n"/>
    </row>
    <row customHeight="1" ht="15.75" r="974" s="452" spans="1:40">
      <c r="A974" s="44" t="n"/>
      <c r="J974" s="404" t="n"/>
      <c r="N974" s="404" t="n"/>
      <c r="R974" s="404" t="n"/>
      <c r="AB974" s="537" t="n"/>
      <c r="AC974" s="537" t="n"/>
      <c r="AF974" s="537" t="n"/>
      <c r="AG974" s="537" t="n"/>
    </row>
    <row customHeight="1" ht="15.75" r="975" s="452" spans="1:40">
      <c r="A975" s="44" t="n"/>
      <c r="J975" s="404" t="n"/>
      <c r="N975" s="404" t="n"/>
      <c r="R975" s="404" t="n"/>
      <c r="AB975" s="537" t="n"/>
      <c r="AC975" s="537" t="n"/>
      <c r="AF975" s="537" t="n"/>
      <c r="AG975" s="537" t="n"/>
    </row>
    <row customHeight="1" ht="15.75" r="976" s="452" spans="1:40">
      <c r="A976" s="44" t="n"/>
      <c r="J976" s="404" t="n"/>
      <c r="N976" s="404" t="n"/>
      <c r="R976" s="404" t="n"/>
      <c r="AB976" s="537" t="n"/>
      <c r="AC976" s="537" t="n"/>
      <c r="AF976" s="537" t="n"/>
      <c r="AG976" s="537" t="n"/>
    </row>
    <row customHeight="1" ht="15.75" r="977" s="452" spans="1:40">
      <c r="A977" s="44" t="n"/>
      <c r="J977" s="404" t="n"/>
      <c r="N977" s="404" t="n"/>
      <c r="R977" s="404" t="n"/>
      <c r="AB977" s="537" t="n"/>
      <c r="AC977" s="537" t="n"/>
      <c r="AF977" s="537" t="n"/>
      <c r="AG977" s="537" t="n"/>
    </row>
    <row customHeight="1" ht="15.75" r="978" s="452" spans="1:40">
      <c r="A978" s="44" t="n"/>
      <c r="J978" s="404" t="n"/>
      <c r="N978" s="404" t="n"/>
      <c r="R978" s="404" t="n"/>
      <c r="AB978" s="537" t="n"/>
      <c r="AC978" s="537" t="n"/>
      <c r="AF978" s="537" t="n"/>
      <c r="AG978" s="537" t="n"/>
    </row>
    <row customHeight="1" ht="15.75" r="979" s="452" spans="1:40">
      <c r="A979" s="44" t="n"/>
      <c r="J979" s="404" t="n"/>
      <c r="N979" s="404" t="n"/>
      <c r="R979" s="404" t="n"/>
      <c r="AB979" s="537" t="n"/>
      <c r="AC979" s="537" t="n"/>
      <c r="AF979" s="537" t="n"/>
      <c r="AG979" s="537" t="n"/>
    </row>
    <row customHeight="1" ht="15.75" r="980" s="452" spans="1:40">
      <c r="A980" s="44" t="n"/>
      <c r="J980" s="404" t="n"/>
      <c r="N980" s="404" t="n"/>
      <c r="R980" s="404" t="n"/>
      <c r="AB980" s="537" t="n"/>
      <c r="AC980" s="537" t="n"/>
      <c r="AF980" s="537" t="n"/>
      <c r="AG980" s="537" t="n"/>
    </row>
    <row customHeight="1" ht="15.75" r="981" s="452" spans="1:40">
      <c r="A981" s="44" t="n"/>
      <c r="J981" s="404" t="n"/>
      <c r="N981" s="404" t="n"/>
      <c r="R981" s="404" t="n"/>
      <c r="AB981" s="537" t="n"/>
      <c r="AC981" s="537" t="n"/>
      <c r="AF981" s="537" t="n"/>
      <c r="AG981" s="537" t="n"/>
    </row>
    <row customHeight="1" ht="15.75" r="982" s="452" spans="1:40">
      <c r="A982" s="44" t="n"/>
      <c r="J982" s="404" t="n"/>
      <c r="N982" s="404" t="n"/>
      <c r="R982" s="404" t="n"/>
      <c r="AB982" s="537" t="n"/>
      <c r="AC982" s="537" t="n"/>
      <c r="AF982" s="537" t="n"/>
      <c r="AG982" s="537" t="n"/>
    </row>
    <row customHeight="1" ht="15.75" r="983" s="452" spans="1:40">
      <c r="A983" s="44" t="n"/>
      <c r="J983" s="404" t="n"/>
      <c r="N983" s="404" t="n"/>
      <c r="R983" s="404" t="n"/>
      <c r="AB983" s="537" t="n"/>
      <c r="AC983" s="537" t="n"/>
      <c r="AF983" s="537" t="n"/>
      <c r="AG983" s="537" t="n"/>
    </row>
    <row customHeight="1" ht="15.75" r="984" s="452" spans="1:40">
      <c r="A984" s="44" t="n"/>
      <c r="J984" s="404" t="n"/>
      <c r="N984" s="404" t="n"/>
      <c r="R984" s="404" t="n"/>
      <c r="AB984" s="537" t="n"/>
      <c r="AC984" s="537" t="n"/>
      <c r="AF984" s="537" t="n"/>
      <c r="AG984" s="537" t="n"/>
    </row>
    <row customHeight="1" ht="15.75" r="985" s="452" spans="1:40">
      <c r="A985" s="44" t="n"/>
      <c r="J985" s="404" t="n"/>
      <c r="N985" s="404" t="n"/>
      <c r="R985" s="404" t="n"/>
      <c r="AB985" s="537" t="n"/>
      <c r="AC985" s="537" t="n"/>
      <c r="AF985" s="537" t="n"/>
      <c r="AG985" s="537" t="n"/>
    </row>
    <row customHeight="1" ht="15.75" r="986" s="452" spans="1:40">
      <c r="A986" s="44" t="n"/>
      <c r="J986" s="404" t="n"/>
      <c r="N986" s="404" t="n"/>
      <c r="R986" s="404" t="n"/>
      <c r="AB986" s="537" t="n"/>
      <c r="AC986" s="537" t="n"/>
      <c r="AF986" s="537" t="n"/>
      <c r="AG986" s="537" t="n"/>
    </row>
    <row customHeight="1" ht="15.75" r="987" s="452" spans="1:40">
      <c r="A987" s="44" t="n"/>
      <c r="J987" s="404" t="n"/>
      <c r="N987" s="404" t="n"/>
      <c r="R987" s="404" t="n"/>
      <c r="AB987" s="537" t="n"/>
      <c r="AC987" s="537" t="n"/>
      <c r="AF987" s="537" t="n"/>
      <c r="AG987" s="537" t="n"/>
    </row>
    <row customHeight="1" ht="15.75" r="988" s="452" spans="1:40">
      <c r="A988" s="44" t="n"/>
      <c r="J988" s="404" t="n"/>
      <c r="N988" s="404" t="n"/>
      <c r="R988" s="404" t="n"/>
      <c r="AB988" s="537" t="n"/>
      <c r="AC988" s="537" t="n"/>
      <c r="AF988" s="537" t="n"/>
      <c r="AG988" s="537" t="n"/>
    </row>
    <row customHeight="1" ht="15.75" r="989" s="452" spans="1:40">
      <c r="A989" s="44" t="n"/>
      <c r="J989" s="404" t="n"/>
      <c r="N989" s="404" t="n"/>
      <c r="R989" s="404" t="n"/>
      <c r="AB989" s="537" t="n"/>
      <c r="AC989" s="537" t="n"/>
      <c r="AF989" s="537" t="n"/>
      <c r="AG989" s="537" t="n"/>
    </row>
    <row customHeight="1" ht="15.75" r="990" s="452" spans="1:40">
      <c r="A990" s="44" t="n"/>
      <c r="J990" s="404" t="n"/>
      <c r="N990" s="404" t="n"/>
      <c r="R990" s="404" t="n"/>
      <c r="AB990" s="537" t="n"/>
      <c r="AC990" s="537" t="n"/>
      <c r="AF990" s="537" t="n"/>
      <c r="AG990" s="537" t="n"/>
    </row>
    <row customHeight="1" ht="15.75" r="991" s="452" spans="1:40">
      <c r="A991" s="44" t="n"/>
      <c r="J991" s="404" t="n"/>
      <c r="N991" s="404" t="n"/>
      <c r="R991" s="404" t="n"/>
      <c r="AB991" s="537" t="n"/>
      <c r="AC991" s="537" t="n"/>
      <c r="AF991" s="537" t="n"/>
      <c r="AG991" s="537" t="n"/>
    </row>
    <row customHeight="1" ht="15.75" r="992" s="452" spans="1:40">
      <c r="A992" s="44" t="n"/>
      <c r="J992" s="404" t="n"/>
      <c r="N992" s="404" t="n"/>
      <c r="R992" s="404" t="n"/>
      <c r="AB992" s="537" t="n"/>
      <c r="AC992" s="537" t="n"/>
      <c r="AF992" s="537" t="n"/>
      <c r="AG992" s="537" t="n"/>
    </row>
    <row customHeight="1" ht="15.75" r="993" s="452" spans="1:40">
      <c r="A993" s="44" t="n"/>
      <c r="J993" s="404" t="n"/>
      <c r="N993" s="404" t="n"/>
      <c r="R993" s="404" t="n"/>
      <c r="AB993" s="537" t="n"/>
      <c r="AC993" s="537" t="n"/>
      <c r="AF993" s="537" t="n"/>
      <c r="AG993" s="537" t="n"/>
    </row>
    <row customHeight="1" ht="15.75" r="994" s="452" spans="1:40">
      <c r="A994" s="44" t="n"/>
      <c r="J994" s="404" t="n"/>
      <c r="N994" s="404" t="n"/>
      <c r="R994" s="404" t="n"/>
      <c r="AB994" s="537" t="n"/>
      <c r="AC994" s="537" t="n"/>
      <c r="AF994" s="537" t="n"/>
      <c r="AG994" s="537" t="n"/>
    </row>
    <row customHeight="1" ht="15.75" r="995" s="452" spans="1:40">
      <c r="A995" s="44" t="n"/>
      <c r="J995" s="404" t="n"/>
      <c r="N995" s="404" t="n"/>
      <c r="R995" s="404" t="n"/>
      <c r="AB995" s="537" t="n"/>
      <c r="AC995" s="537" t="n"/>
      <c r="AF995" s="537" t="n"/>
      <c r="AG995" s="537" t="n"/>
    </row>
    <row customHeight="1" ht="15.75" r="996" s="452" spans="1:40">
      <c r="A996" s="44" t="n"/>
      <c r="J996" s="404" t="n"/>
      <c r="N996" s="404" t="n"/>
      <c r="R996" s="404" t="n"/>
      <c r="AB996" s="537" t="n"/>
      <c r="AC996" s="537" t="n"/>
      <c r="AF996" s="537" t="n"/>
      <c r="AG996" s="537" t="n"/>
    </row>
    <row customHeight="1" ht="15.75" r="997" s="452" spans="1:40">
      <c r="A997" s="44" t="n"/>
      <c r="J997" s="404" t="n"/>
      <c r="N997" s="404" t="n"/>
      <c r="R997" s="404" t="n"/>
      <c r="AB997" s="537" t="n"/>
      <c r="AC997" s="537" t="n"/>
      <c r="AF997" s="537" t="n"/>
      <c r="AG997" s="537" t="n"/>
    </row>
    <row customHeight="1" ht="15.75" r="998" s="452" spans="1:40">
      <c r="A998" s="44" t="n"/>
      <c r="J998" s="404" t="n"/>
      <c r="N998" s="404" t="n"/>
      <c r="R998" s="404" t="n"/>
      <c r="AB998" s="537" t="n"/>
      <c r="AC998" s="537" t="n"/>
      <c r="AF998" s="537" t="n"/>
      <c r="AG998" s="537" t="n"/>
    </row>
    <row customHeight="1" ht="15.75" r="999" s="452" spans="1:40">
      <c r="A999" s="44" t="n"/>
      <c r="J999" s="404" t="n"/>
      <c r="N999" s="404" t="n"/>
      <c r="R999" s="404" t="n"/>
      <c r="AB999" s="537" t="n"/>
      <c r="AC999" s="537" t="n"/>
      <c r="AF999" s="537" t="n"/>
      <c r="AG999" s="537" t="n"/>
    </row>
    <row customHeight="1" ht="15.75" r="1000" s="452" spans="1:40">
      <c r="A1000" s="44" t="n"/>
      <c r="J1000" s="404" t="n"/>
      <c r="N1000" s="404" t="n"/>
      <c r="R1000" s="404" t="n"/>
      <c r="AB1000" s="537" t="n"/>
      <c r="AC1000" s="537" t="n"/>
      <c r="AF1000" s="537" t="n"/>
      <c r="AG1000" s="537" t="n"/>
    </row>
  </sheetData>
  <autoFilter ref="A1:AN54"/>
  <conditionalFormatting sqref="F2:F49 R2:R53 V2:V53">
    <cfRule dxfId="1" operator="lessThan" priority="81" type="cellIs">
      <formula>0</formula>
    </cfRule>
    <cfRule dxfId="0" operator="greaterThanOrEqual" priority="82" type="cellIs">
      <formula>0</formula>
    </cfRule>
  </conditionalFormatting>
  <conditionalFormatting sqref="J2:J3 J4:K53">
    <cfRule dxfId="0" operator="lessThanOrEqual" priority="83" type="cellIs">
      <formula>0</formula>
    </cfRule>
    <cfRule dxfId="1" operator="greaterThan" priority="84" type="cellIs">
      <formula>0</formula>
    </cfRule>
  </conditionalFormatting>
  <conditionalFormatting sqref="F53">
    <cfRule dxfId="1" operator="lessThan" priority="85" type="cellIs">
      <formula>0</formula>
    </cfRule>
    <cfRule dxfId="0" operator="greaterThanOrEqual" priority="86" type="cellIs">
      <formula>0</formula>
    </cfRule>
  </conditionalFormatting>
  <conditionalFormatting sqref="F50">
    <cfRule dxfId="1" operator="lessThan" priority="87" type="cellIs">
      <formula>0</formula>
    </cfRule>
    <cfRule dxfId="0" operator="greaterThanOrEqual" priority="88" type="cellIs">
      <formula>0</formula>
    </cfRule>
  </conditionalFormatting>
  <conditionalFormatting sqref="F51">
    <cfRule dxfId="1" operator="lessThan" priority="89" type="cellIs">
      <formula>0</formula>
    </cfRule>
    <cfRule dxfId="0" operator="greaterThanOrEqual" priority="90" type="cellIs">
      <formula>0</formula>
    </cfRule>
  </conditionalFormatting>
  <conditionalFormatting sqref="F52">
    <cfRule dxfId="1" operator="lessThan" priority="91" type="cellIs">
      <formula>0</formula>
    </cfRule>
    <cfRule dxfId="0" operator="greaterThanOrEqual" priority="92" type="cellIs">
      <formula>0</formula>
    </cfRule>
  </conditionalFormatting>
  <conditionalFormatting sqref="K2">
    <cfRule dxfId="1" operator="lessThan" priority="93" type="cellIs">
      <formula>0</formula>
    </cfRule>
    <cfRule dxfId="0" operator="greaterThanOrEqual" priority="94" type="cellIs">
      <formula>0</formula>
    </cfRule>
  </conditionalFormatting>
  <conditionalFormatting sqref="K3">
    <cfRule dxfId="1" operator="lessThan" priority="95" type="cellIs">
      <formula>0</formula>
    </cfRule>
    <cfRule dxfId="0" operator="greaterThanOrEqual" priority="96" type="cellIs">
      <formula>0</formula>
    </cfRule>
  </conditionalFormatting>
  <conditionalFormatting sqref="AD2:AD53">
    <cfRule dxfId="1" operator="lessThan" priority="97" type="cellIs">
      <formula>0</formula>
    </cfRule>
    <cfRule dxfId="0" operator="greaterThanOrEqual" priority="98" type="cellIs">
      <formula>0</formula>
    </cfRule>
  </conditionalFormatting>
  <conditionalFormatting sqref="AH2:AH3 AH4:AI53">
    <cfRule dxfId="1" operator="lessThan" priority="99" type="cellIs">
      <formula>0</formula>
    </cfRule>
    <cfRule dxfId="0" operator="greaterThanOrEqual" priority="100" type="cellIs">
      <formula>0</formula>
    </cfRule>
  </conditionalFormatting>
  <conditionalFormatting sqref="AI2">
    <cfRule dxfId="1" operator="lessThan" priority="101" type="cellIs">
      <formula>0</formula>
    </cfRule>
    <cfRule dxfId="0" operator="greaterThanOrEqual" priority="102" type="cellIs">
      <formula>0</formula>
    </cfRule>
  </conditionalFormatting>
  <conditionalFormatting sqref="AI3">
    <cfRule dxfId="1" operator="lessThan" priority="103" type="cellIs">
      <formula>0</formula>
    </cfRule>
    <cfRule dxfId="0" operator="greaterThanOrEqual" priority="104" type="cellIs">
      <formula>0</formula>
    </cfRule>
  </conditionalFormatting>
  <conditionalFormatting sqref="AL2:AL53">
    <cfRule dxfId="1" operator="lessThan" priority="79" type="cellIs">
      <formula>0</formula>
    </cfRule>
    <cfRule dxfId="0" operator="greaterThanOrEqual" priority="80" type="cellIs">
      <formula>0</formula>
    </cfRule>
  </conditionalFormatting>
  <conditionalFormatting sqref="G54">
    <cfRule dxfId="1" operator="lessThan" priority="47" type="cellIs">
      <formula>0</formula>
    </cfRule>
    <cfRule dxfId="0" operator="greaterThanOrEqual" priority="48" type="cellIs">
      <formula>0</formula>
    </cfRule>
  </conditionalFormatting>
  <conditionalFormatting sqref="G4:G53">
    <cfRule dxfId="1" operator="lessThan" priority="49" type="cellIs">
      <formula>0</formula>
    </cfRule>
    <cfRule dxfId="0" operator="greaterThanOrEqual" priority="50" type="cellIs">
      <formula>0</formula>
    </cfRule>
  </conditionalFormatting>
  <conditionalFormatting sqref="AM4:AM53">
    <cfRule dxfId="1" operator="lessThan" priority="73" type="cellIs">
      <formula>0</formula>
    </cfRule>
    <cfRule dxfId="0" operator="greaterThanOrEqual" priority="74" type="cellIs">
      <formula>0</formula>
    </cfRule>
  </conditionalFormatting>
  <conditionalFormatting sqref="AM2">
    <cfRule dxfId="1" operator="lessThan" priority="75" type="cellIs">
      <formula>0</formula>
    </cfRule>
    <cfRule dxfId="0" operator="greaterThanOrEqual" priority="76" type="cellIs">
      <formula>0</formula>
    </cfRule>
  </conditionalFormatting>
  <conditionalFormatting sqref="AM3">
    <cfRule dxfId="1" operator="lessThan" priority="77" type="cellIs">
      <formula>0</formula>
    </cfRule>
    <cfRule dxfId="0" operator="greaterThanOrEqual" priority="78" type="cellIs">
      <formula>0</formula>
    </cfRule>
  </conditionalFormatting>
  <conditionalFormatting sqref="AE4:AE53">
    <cfRule dxfId="1" operator="lessThan" priority="67" type="cellIs">
      <formula>0</formula>
    </cfRule>
    <cfRule dxfId="0" operator="greaterThanOrEqual" priority="68" type="cellIs">
      <formula>0</formula>
    </cfRule>
  </conditionalFormatting>
  <conditionalFormatting sqref="AE2">
    <cfRule dxfId="1" operator="lessThan" priority="69" type="cellIs">
      <formula>0</formula>
    </cfRule>
    <cfRule dxfId="0" operator="greaterThanOrEqual" priority="70" type="cellIs">
      <formula>0</formula>
    </cfRule>
  </conditionalFormatting>
  <conditionalFormatting sqref="AE3">
    <cfRule dxfId="1" operator="lessThan" priority="71" type="cellIs">
      <formula>0</formula>
    </cfRule>
    <cfRule dxfId="0" operator="greaterThanOrEqual" priority="72" type="cellIs">
      <formula>0</formula>
    </cfRule>
  </conditionalFormatting>
  <conditionalFormatting sqref="W4:W53">
    <cfRule dxfId="1" operator="lessThan" priority="61" type="cellIs">
      <formula>0</formula>
    </cfRule>
    <cfRule dxfId="0" operator="greaterThanOrEqual" priority="62" type="cellIs">
      <formula>0</formula>
    </cfRule>
  </conditionalFormatting>
  <conditionalFormatting sqref="W2">
    <cfRule dxfId="1" operator="lessThan" priority="63" type="cellIs">
      <formula>0</formula>
    </cfRule>
    <cfRule dxfId="0" operator="greaterThanOrEqual" priority="64" type="cellIs">
      <formula>0</formula>
    </cfRule>
  </conditionalFormatting>
  <conditionalFormatting sqref="W3">
    <cfRule dxfId="1" operator="lessThan" priority="65" type="cellIs">
      <formula>0</formula>
    </cfRule>
    <cfRule dxfId="0" operator="greaterThanOrEqual" priority="66" type="cellIs">
      <formula>0</formula>
    </cfRule>
  </conditionalFormatting>
  <conditionalFormatting sqref="S4:S53">
    <cfRule dxfId="1" operator="lessThan" priority="55" type="cellIs">
      <formula>0</formula>
    </cfRule>
    <cfRule dxfId="0" operator="greaterThanOrEqual" priority="56" type="cellIs">
      <formula>0</formula>
    </cfRule>
  </conditionalFormatting>
  <conditionalFormatting sqref="S2">
    <cfRule dxfId="1" operator="lessThan" priority="57" type="cellIs">
      <formula>0</formula>
    </cfRule>
    <cfRule dxfId="0" operator="greaterThanOrEqual" priority="58" type="cellIs">
      <formula>0</formula>
    </cfRule>
  </conditionalFormatting>
  <conditionalFormatting sqref="S3">
    <cfRule dxfId="1" operator="lessThan" priority="59" type="cellIs">
      <formula>0</formula>
    </cfRule>
    <cfRule dxfId="0" operator="greaterThanOrEqual" priority="60" type="cellIs">
      <formula>0</formula>
    </cfRule>
  </conditionalFormatting>
  <conditionalFormatting sqref="G2">
    <cfRule dxfId="1" operator="lessThan" priority="51" type="cellIs">
      <formula>0</formula>
    </cfRule>
    <cfRule dxfId="0" operator="greaterThanOrEqual" priority="52" type="cellIs">
      <formula>0</formula>
    </cfRule>
  </conditionalFormatting>
  <conditionalFormatting sqref="G3">
    <cfRule dxfId="1" operator="lessThan" priority="53" type="cellIs">
      <formula>0</formula>
    </cfRule>
    <cfRule dxfId="0" operator="greaterThanOrEqual" priority="54" type="cellIs">
      <formula>0</formula>
    </cfRule>
  </conditionalFormatting>
  <conditionalFormatting sqref="S54">
    <cfRule dxfId="1" operator="lessThan" priority="45" type="cellIs">
      <formula>0</formula>
    </cfRule>
    <cfRule dxfId="0" operator="greaterThanOrEqual" priority="46" type="cellIs">
      <formula>0</formula>
    </cfRule>
  </conditionalFormatting>
  <conditionalFormatting sqref="W54">
    <cfRule dxfId="1" operator="lessThan" priority="43" type="cellIs">
      <formula>0</formula>
    </cfRule>
    <cfRule dxfId="0" operator="greaterThanOrEqual" priority="44" type="cellIs">
      <formula>0</formula>
    </cfRule>
  </conditionalFormatting>
  <conditionalFormatting sqref="Z2:Z53">
    <cfRule dxfId="1" operator="lessThan" priority="41" type="cellIs">
      <formula>0</formula>
    </cfRule>
    <cfRule dxfId="0" operator="greaterThanOrEqual" priority="42" type="cellIs">
      <formula>0</formula>
    </cfRule>
  </conditionalFormatting>
  <conditionalFormatting sqref="AA4:AA53">
    <cfRule dxfId="1" operator="lessThan" priority="35" type="cellIs">
      <formula>0</formula>
    </cfRule>
    <cfRule dxfId="0" operator="greaterThanOrEqual" priority="36" type="cellIs">
      <formula>0</formula>
    </cfRule>
  </conditionalFormatting>
  <conditionalFormatting sqref="AA2">
    <cfRule dxfId="1" operator="lessThan" priority="37" type="cellIs">
      <formula>0</formula>
    </cfRule>
    <cfRule dxfId="0" operator="greaterThanOrEqual" priority="38" type="cellIs">
      <formula>0</formula>
    </cfRule>
  </conditionalFormatting>
  <conditionalFormatting sqref="AA3">
    <cfRule dxfId="1" operator="lessThan" priority="39" type="cellIs">
      <formula>0</formula>
    </cfRule>
    <cfRule dxfId="0" operator="greaterThanOrEqual" priority="40" type="cellIs">
      <formula>0</formula>
    </cfRule>
  </conditionalFormatting>
  <conditionalFormatting sqref="AA54">
    <cfRule dxfId="1" operator="lessThan" priority="33" type="cellIs">
      <formula>0</formula>
    </cfRule>
    <cfRule dxfId="0" operator="greaterThanOrEqual" priority="34" type="cellIs">
      <formula>0</formula>
    </cfRule>
  </conditionalFormatting>
  <conditionalFormatting sqref="AE54">
    <cfRule dxfId="1" operator="lessThan" priority="31" type="cellIs">
      <formula>0</formula>
    </cfRule>
    <cfRule dxfId="0" operator="greaterThanOrEqual" priority="32" type="cellIs">
      <formula>0</formula>
    </cfRule>
  </conditionalFormatting>
  <conditionalFormatting sqref="AI54">
    <cfRule dxfId="1" operator="lessThan" priority="29" type="cellIs">
      <formula>0</formula>
    </cfRule>
    <cfRule dxfId="0" operator="greaterThanOrEqual" priority="30" type="cellIs">
      <formula>0</formula>
    </cfRule>
  </conditionalFormatting>
  <conditionalFormatting sqref="AM54">
    <cfRule dxfId="1" operator="lessThan" priority="27" type="cellIs">
      <formula>0</formula>
    </cfRule>
    <cfRule dxfId="0" operator="greaterThanOrEqual" priority="28" type="cellIs">
      <formula>0</formula>
    </cfRule>
  </conditionalFormatting>
  <conditionalFormatting sqref="N2:N53">
    <cfRule dxfId="1" operator="lessThan" priority="25" type="cellIs">
      <formula>0</formula>
    </cfRule>
    <cfRule dxfId="0" operator="greaterThanOrEqual" priority="26" type="cellIs">
      <formula>0</formula>
    </cfRule>
  </conditionalFormatting>
  <conditionalFormatting sqref="O4:O53">
    <cfRule dxfId="1" operator="lessThan" priority="19" type="cellIs">
      <formula>0</formula>
    </cfRule>
    <cfRule dxfId="0" operator="greaterThanOrEqual" priority="20" type="cellIs">
      <formula>0</formula>
    </cfRule>
  </conditionalFormatting>
  <conditionalFormatting sqref="O2">
    <cfRule dxfId="1" operator="lessThan" priority="21" type="cellIs">
      <formula>0</formula>
    </cfRule>
    <cfRule dxfId="0" operator="greaterThanOrEqual" priority="22" type="cellIs">
      <formula>0</formula>
    </cfRule>
  </conditionalFormatting>
  <conditionalFormatting sqref="O3">
    <cfRule dxfId="1" operator="lessThan" priority="23" type="cellIs">
      <formula>0</formula>
    </cfRule>
    <cfRule dxfId="0" operator="greaterThanOrEqual" priority="24" type="cellIs">
      <formula>0</formula>
    </cfRule>
  </conditionalFormatting>
  <conditionalFormatting sqref="O54">
    <cfRule dxfId="1" operator="lessThan" priority="17" type="cellIs">
      <formula>0</formula>
    </cfRule>
    <cfRule dxfId="0" operator="greaterThanOrEqual" priority="18" type="cellIs">
      <formula>0</formula>
    </cfRule>
  </conditionalFormatting>
  <pageMargins bottom="1" footer="0.5" header="0.5" left="0.75" right="0.75" top="1"/>
  <pageSetup horizontalDpi="4294967292" orientation="portrait" verticalDpi="4294967292"/>
</worksheet>
</file>

<file path=xl/worksheets/sheet12.xml><?xml version="1.0" encoding="utf-8"?>
<worksheet xmlns="http://schemas.openxmlformats.org/spreadsheetml/2006/main">
  <sheetPr>
    <tabColor rgb="FFFFC000"/>
    <outlinePr summaryBelow="1" summaryRight="1"/>
    <pageSetUpPr/>
  </sheetPr>
  <dimension ref="A1:V21"/>
  <sheetViews>
    <sheetView workbookViewId="0">
      <selection activeCell="D22" sqref="D22"/>
    </sheetView>
  </sheetViews>
  <sheetFormatPr baseColWidth="8" defaultColWidth="11" defaultRowHeight="15.75" outlineLevelCol="0"/>
  <cols>
    <col bestFit="1" customWidth="1" max="3" min="3" style="452" width="26.625"/>
    <col customWidth="1" max="5" min="5" style="159" width="11"/>
    <col customWidth="1" max="10" min="10" style="452" width="16"/>
    <col customWidth="1" max="11" min="11" style="452" width="16.625"/>
    <col bestFit="1" customWidth="1" max="17" min="17" style="452" width="11.625"/>
    <col customWidth="1" max="18" min="18" style="452" width="11.625"/>
    <col bestFit="1" customWidth="1" max="19" min="19" style="452" width="11.5"/>
    <col bestFit="1" customWidth="1" max="20" min="20" style="452" width="14"/>
    <col bestFit="1" customWidth="1" max="22" min="22" style="452" width="82.875"/>
  </cols>
  <sheetData>
    <row customFormat="1" r="1" s="357" spans="1:22">
      <c r="A1" s="151" t="s">
        <v>55</v>
      </c>
      <c r="B1" s="151" t="s">
        <v>61</v>
      </c>
      <c r="C1" s="151" t="s">
        <v>171</v>
      </c>
      <c r="D1" s="151" t="s">
        <v>215</v>
      </c>
      <c r="E1" s="157" t="s">
        <v>216</v>
      </c>
      <c r="F1" s="151" t="s">
        <v>1</v>
      </c>
      <c r="G1" s="151" t="s">
        <v>139</v>
      </c>
      <c r="H1" s="151" t="s">
        <v>217</v>
      </c>
      <c r="I1" s="151" t="s">
        <v>218</v>
      </c>
      <c r="J1" s="151" t="s">
        <v>219</v>
      </c>
      <c r="K1" s="151" t="s">
        <v>220</v>
      </c>
      <c r="L1" s="151" t="s">
        <v>8</v>
      </c>
      <c r="M1" s="151" t="s">
        <v>10</v>
      </c>
      <c r="N1" s="151" t="s">
        <v>12</v>
      </c>
      <c r="O1" s="151" t="s">
        <v>16</v>
      </c>
      <c r="P1" s="628" t="s">
        <v>18</v>
      </c>
      <c r="Q1" s="628" t="s">
        <v>212</v>
      </c>
      <c r="R1" s="628" t="s">
        <v>221</v>
      </c>
      <c r="S1" s="628" t="s">
        <v>175</v>
      </c>
      <c r="T1" s="628" t="s">
        <v>33</v>
      </c>
      <c r="U1" s="153" t="s">
        <v>22</v>
      </c>
      <c r="V1" s="151" t="s">
        <v>66</v>
      </c>
    </row>
    <row r="2" spans="1:22">
      <c r="A2" t="s">
        <v>32</v>
      </c>
      <c r="B2" t="s">
        <v>69</v>
      </c>
      <c r="C2" t="s">
        <v>70</v>
      </c>
      <c r="D2" s="221" t="n">
        <v>42749</v>
      </c>
      <c r="E2" s="222" t="n">
        <v>42750</v>
      </c>
      <c r="F2" s="529" t="n">
        <v>381</v>
      </c>
      <c r="G2" s="529">
        <f>H2+I2</f>
        <v/>
      </c>
      <c r="H2" s="529" t="n">
        <v>4607</v>
      </c>
      <c r="I2" s="529">
        <f>H2*0.085</f>
        <v/>
      </c>
      <c r="J2" s="546">
        <f>F2/H2</f>
        <v/>
      </c>
      <c r="K2" s="546">
        <f>F2/G2</f>
        <v/>
      </c>
      <c r="L2" s="615" t="n">
        <v>4666</v>
      </c>
      <c r="M2" t="n">
        <v>4</v>
      </c>
      <c r="N2" s="286">
        <f>M2/L2</f>
        <v/>
      </c>
      <c r="O2" s="529">
        <f>F2/M2</f>
        <v/>
      </c>
      <c r="P2" s="615" t="n">
        <v>7333</v>
      </c>
      <c r="Q2" s="546">
        <f>H2/P2</f>
        <v/>
      </c>
      <c r="R2" s="546">
        <f>(H2/T2)*1000</f>
        <v/>
      </c>
      <c r="S2" s="615" t="n">
        <v>983819</v>
      </c>
      <c r="T2" s="615" t="n">
        <v>4557430</v>
      </c>
      <c r="U2" s="286">
        <f>P2/T2</f>
        <v/>
      </c>
      <c r="V2" t="s">
        <v>222</v>
      </c>
    </row>
    <row r="3" spans="1:22">
      <c r="A3" t="s">
        <v>32</v>
      </c>
      <c r="B3" t="s">
        <v>71</v>
      </c>
      <c r="C3" t="s">
        <v>72</v>
      </c>
      <c r="D3" s="221" t="n">
        <v>42756</v>
      </c>
      <c r="E3" s="222" t="n">
        <v>42756</v>
      </c>
      <c r="F3" s="529" t="n">
        <v>569</v>
      </c>
      <c r="G3" s="529">
        <f>H3+I3</f>
        <v/>
      </c>
      <c r="H3" s="529" t="n">
        <v>3912</v>
      </c>
      <c r="I3" s="529">
        <f>H3*0.085</f>
        <v/>
      </c>
      <c r="J3" s="546">
        <f>F3/H3</f>
        <v/>
      </c>
      <c r="K3" s="546">
        <f>F3/G3</f>
        <v/>
      </c>
      <c r="L3" s="615" t="n">
        <v>3821</v>
      </c>
      <c r="M3" t="n">
        <v>5</v>
      </c>
      <c r="N3" s="286">
        <f>M3/L3</f>
        <v/>
      </c>
      <c r="O3" s="529">
        <f>F3/M3</f>
        <v/>
      </c>
      <c r="P3" s="615" t="n">
        <v>4508</v>
      </c>
      <c r="Q3" s="546">
        <f>H3/P3</f>
        <v/>
      </c>
      <c r="R3" s="546">
        <f>(H3/T3)*1000</f>
        <v/>
      </c>
      <c r="S3" s="615" t="n">
        <v>190495</v>
      </c>
      <c r="T3" s="615" t="n">
        <v>286957</v>
      </c>
      <c r="U3" s="286">
        <f>P3/T3</f>
        <v/>
      </c>
      <c r="V3" t="s">
        <v>223</v>
      </c>
    </row>
    <row r="4" spans="1:22">
      <c r="A4" t="s">
        <v>42</v>
      </c>
      <c r="B4" t="s">
        <v>79</v>
      </c>
      <c r="C4" t="s">
        <v>224</v>
      </c>
      <c r="D4" s="221" t="n">
        <v>42790</v>
      </c>
      <c r="E4" s="222" t="n">
        <v>42804</v>
      </c>
      <c r="F4" s="529" t="n">
        <v>265</v>
      </c>
      <c r="G4" s="529">
        <f>H4+I4</f>
        <v/>
      </c>
      <c r="H4" s="529" t="n">
        <v>22873.66</v>
      </c>
      <c r="I4" s="529">
        <f>H4*0.085</f>
        <v/>
      </c>
      <c r="J4" s="546">
        <f>F4/H4</f>
        <v/>
      </c>
      <c r="K4" s="546">
        <f>F4/G4</f>
        <v/>
      </c>
      <c r="L4" s="615" t="n">
        <v>10389</v>
      </c>
      <c r="M4" t="n">
        <v>3</v>
      </c>
      <c r="N4" s="286">
        <f>M4/L4</f>
        <v/>
      </c>
      <c r="O4" s="529">
        <f>F4/M4</f>
        <v/>
      </c>
      <c r="P4" s="615" t="n">
        <v>27097</v>
      </c>
      <c r="Q4" s="546">
        <f>H4/P4</f>
        <v/>
      </c>
      <c r="R4" s="546">
        <f>(H4/T4)*1000</f>
        <v/>
      </c>
      <c r="S4" s="615" t="n">
        <v>1709809</v>
      </c>
      <c r="T4" s="615" t="n">
        <v>7073945</v>
      </c>
      <c r="U4" s="286">
        <f>P4/T4</f>
        <v/>
      </c>
      <c r="V4" t="s">
        <v>225</v>
      </c>
    </row>
    <row r="5" spans="1:22">
      <c r="A5" t="s">
        <v>43</v>
      </c>
      <c r="B5" t="s">
        <v>90</v>
      </c>
      <c r="C5" t="s">
        <v>182</v>
      </c>
      <c r="D5" s="221" t="n">
        <v>42826</v>
      </c>
      <c r="E5" s="222" t="n">
        <v>42832</v>
      </c>
      <c r="F5" s="529" t="n">
        <v>0</v>
      </c>
      <c r="G5" s="529">
        <f>H5+I5</f>
        <v/>
      </c>
      <c r="H5" s="529" t="n">
        <v>4334.7</v>
      </c>
      <c r="I5" s="529">
        <f>H5*0.085</f>
        <v/>
      </c>
      <c r="J5" s="546">
        <f>F5/H5</f>
        <v/>
      </c>
      <c r="K5" s="546">
        <f>F5/G5</f>
        <v/>
      </c>
      <c r="L5" s="615" t="n">
        <v>0</v>
      </c>
      <c r="M5" t="n">
        <v>0</v>
      </c>
      <c r="N5" s="286">
        <f>M5/L5</f>
        <v/>
      </c>
      <c r="O5" s="529">
        <f>F5/M5</f>
        <v/>
      </c>
      <c r="P5" s="615" t="n">
        <v>6685</v>
      </c>
      <c r="Q5" s="546">
        <f>H5/P5</f>
        <v/>
      </c>
      <c r="R5" s="546">
        <f>(H5/T5)*1000</f>
        <v/>
      </c>
      <c r="S5" s="615" t="n">
        <v>496118</v>
      </c>
      <c r="T5" s="615" t="n">
        <v>902048</v>
      </c>
      <c r="U5" s="286">
        <f>P5/T5</f>
        <v/>
      </c>
      <c r="V5" t="s">
        <v>226</v>
      </c>
    </row>
    <row customFormat="1" r="6" s="247" spans="1:22">
      <c r="A6" s="247" t="s">
        <v>44</v>
      </c>
      <c r="B6" s="247" t="s">
        <v>95</v>
      </c>
      <c r="C6" s="247" t="s">
        <v>113</v>
      </c>
      <c r="D6" s="248" t="n">
        <v>42854</v>
      </c>
      <c r="E6" s="249" t="n">
        <v>42855</v>
      </c>
      <c r="F6" s="629" t="n">
        <v>2559</v>
      </c>
      <c r="G6" s="629">
        <f>H6+I6</f>
        <v/>
      </c>
      <c r="H6" s="629" t="n">
        <v>4606.78</v>
      </c>
      <c r="I6" s="629">
        <f>H6*0.085</f>
        <v/>
      </c>
      <c r="J6" s="630">
        <f>F6/H6</f>
        <v/>
      </c>
      <c r="K6" s="630">
        <f>F6/G6</f>
        <v/>
      </c>
      <c r="L6" s="631" t="n">
        <v>6526</v>
      </c>
      <c r="M6" s="247" t="n">
        <v>17</v>
      </c>
      <c r="N6" s="253">
        <f>M6/L6</f>
        <v/>
      </c>
      <c r="O6" s="629">
        <f>F6/M6</f>
        <v/>
      </c>
      <c r="P6" s="631" t="n">
        <v>7348</v>
      </c>
      <c r="Q6" s="630">
        <f>H6/P6</f>
        <v/>
      </c>
      <c r="R6" s="630">
        <f>(H6/T6)*1000</f>
        <v/>
      </c>
      <c r="S6" s="254" t="n">
        <v>268291</v>
      </c>
      <c r="T6" s="254" t="n">
        <v>449789</v>
      </c>
      <c r="U6" s="253">
        <f>P6/T6</f>
        <v/>
      </c>
      <c r="V6" s="247" t="s">
        <v>227</v>
      </c>
    </row>
    <row r="7" spans="1:22">
      <c r="A7" t="s">
        <v>228</v>
      </c>
      <c r="B7" t="s">
        <v>96</v>
      </c>
      <c r="C7" s="214" t="s">
        <v>229</v>
      </c>
      <c r="D7" s="221" t="n">
        <v>42856</v>
      </c>
      <c r="E7" s="222" t="n">
        <v>42858</v>
      </c>
      <c r="F7" s="529" t="n">
        <v>489</v>
      </c>
      <c r="G7" s="529">
        <f>H7+I7</f>
        <v/>
      </c>
      <c r="H7" s="529" t="n">
        <v>2760.95</v>
      </c>
      <c r="I7" s="529">
        <f>H7*0.085</f>
        <v/>
      </c>
      <c r="J7" s="546">
        <f>F7/H7</f>
        <v/>
      </c>
      <c r="K7" s="546">
        <f>F7/G7</f>
        <v/>
      </c>
      <c r="L7" s="615" t="n">
        <v>5287</v>
      </c>
      <c r="M7" t="n">
        <v>6</v>
      </c>
      <c r="N7" s="286">
        <f>M7/L7</f>
        <v/>
      </c>
      <c r="O7" s="529">
        <f>F7/M7</f>
        <v/>
      </c>
      <c r="P7" s="615" t="n">
        <v>5730</v>
      </c>
      <c r="Q7" s="546">
        <f>H7/P7</f>
        <v/>
      </c>
      <c r="R7" s="546">
        <f>(H7/T7)*1000</f>
        <v/>
      </c>
      <c r="S7" s="615" t="n">
        <v>217934</v>
      </c>
      <c r="T7" s="615" t="n">
        <v>376335</v>
      </c>
      <c r="U7" s="286">
        <f>P7/T7</f>
        <v/>
      </c>
      <c r="V7" t="s">
        <v>227</v>
      </c>
    </row>
    <row r="8" s="452" spans="1:22">
      <c r="A8" t="s">
        <v>45</v>
      </c>
      <c r="B8" t="s">
        <v>230</v>
      </c>
      <c r="C8" s="268" t="s">
        <v>187</v>
      </c>
      <c r="D8" s="221" t="n">
        <v>42896</v>
      </c>
      <c r="E8" s="222" t="n">
        <v>42897</v>
      </c>
      <c r="F8" s="529" t="n">
        <v>917</v>
      </c>
      <c r="G8" s="529">
        <f>H8+I8</f>
        <v/>
      </c>
      <c r="H8" s="529" t="n">
        <v>3143.12</v>
      </c>
      <c r="I8" s="529">
        <f>H8*0.085</f>
        <v/>
      </c>
      <c r="J8" s="546">
        <f>F8/H8</f>
        <v/>
      </c>
      <c r="K8" s="546">
        <f>F8/G8</f>
        <v/>
      </c>
      <c r="L8" s="615" t="n">
        <v>1979</v>
      </c>
      <c r="M8" t="n">
        <v>7</v>
      </c>
      <c r="N8" s="286">
        <f>M8/L8</f>
        <v/>
      </c>
      <c r="O8" s="529">
        <f>F8/M8</f>
        <v/>
      </c>
      <c r="P8" s="615" t="n">
        <v>3172</v>
      </c>
      <c r="Q8" s="546">
        <f>H8/P8</f>
        <v/>
      </c>
      <c r="R8" s="546">
        <f>(H8/T8)*1000</f>
        <v/>
      </c>
      <c r="S8" s="615" t="n">
        <v>97210</v>
      </c>
      <c r="T8" s="239" t="n">
        <v>177167</v>
      </c>
      <c r="U8" s="286">
        <f>P8/T8</f>
        <v/>
      </c>
      <c r="V8" t="s">
        <v>227</v>
      </c>
    </row>
    <row customFormat="1" r="9" s="247" spans="1:22">
      <c r="A9" s="247" t="s">
        <v>231</v>
      </c>
      <c r="B9" s="247" t="s">
        <v>232</v>
      </c>
      <c r="C9" s="247" t="s">
        <v>182</v>
      </c>
      <c r="D9" s="248" t="n">
        <v>42910</v>
      </c>
      <c r="E9" s="249" t="n">
        <v>42915</v>
      </c>
      <c r="F9" s="629" t="n">
        <v>0</v>
      </c>
      <c r="G9" s="629">
        <f>H9+I9</f>
        <v/>
      </c>
      <c r="H9" s="629" t="n">
        <v>5526</v>
      </c>
      <c r="I9" s="629">
        <f>H9*0.085</f>
        <v/>
      </c>
      <c r="J9" s="630">
        <f>F9/H9</f>
        <v/>
      </c>
      <c r="K9" s="630">
        <f>F9/G9</f>
        <v/>
      </c>
      <c r="L9" s="631" t="n">
        <v>0</v>
      </c>
      <c r="M9" s="247" t="n">
        <v>0</v>
      </c>
      <c r="N9" s="253">
        <f>M9/L9</f>
        <v/>
      </c>
      <c r="O9" s="629">
        <f>F9/M9</f>
        <v/>
      </c>
      <c r="P9" s="631" t="n">
        <v>5488</v>
      </c>
      <c r="Q9" s="630">
        <f>H9/P9</f>
        <v/>
      </c>
      <c r="R9" s="630">
        <f>(H9/T9)*1000</f>
        <v/>
      </c>
      <c r="S9" s="631" t="n">
        <v>182670</v>
      </c>
      <c r="T9" s="631" t="n">
        <v>571766</v>
      </c>
      <c r="U9" s="253">
        <f>P9/T9</f>
        <v/>
      </c>
    </row>
    <row r="10" spans="1:22">
      <c r="A10" t="s">
        <v>233</v>
      </c>
      <c r="B10" t="s">
        <v>111</v>
      </c>
      <c r="C10" s="268" t="s">
        <v>113</v>
      </c>
      <c r="D10" s="221" t="n">
        <v>42936</v>
      </c>
      <c r="E10" s="222" t="n">
        <v>42938</v>
      </c>
      <c r="F10" s="529" t="n">
        <v>1310</v>
      </c>
      <c r="G10" s="529">
        <f>H10+I10</f>
        <v/>
      </c>
      <c r="H10" s="529" t="n">
        <v>4867.01</v>
      </c>
      <c r="I10" s="529">
        <f>H10*0.085</f>
        <v/>
      </c>
      <c r="J10" s="546">
        <f>F10/H10</f>
        <v/>
      </c>
      <c r="K10" s="546">
        <f>F10/G10</f>
        <v/>
      </c>
      <c r="L10" s="615" t="n">
        <v>2875</v>
      </c>
      <c r="M10" t="n">
        <v>9</v>
      </c>
      <c r="N10" s="286">
        <f>M10/L10</f>
        <v/>
      </c>
      <c r="O10" s="529">
        <f>F10/M10</f>
        <v/>
      </c>
      <c r="P10" s="615" t="n">
        <v>5551</v>
      </c>
      <c r="Q10" s="546">
        <f>H10/P10</f>
        <v/>
      </c>
      <c r="R10" s="630">
        <f>(H10/T10)*1000</f>
        <v/>
      </c>
      <c r="S10" s="615" t="n">
        <v>468563</v>
      </c>
      <c r="T10" s="210" t="n">
        <v>657573</v>
      </c>
      <c r="U10" s="253">
        <f>P10/T10</f>
        <v/>
      </c>
      <c r="V10" t="s">
        <v>234</v>
      </c>
    </row>
    <row r="11" spans="1:22">
      <c r="A11" t="s">
        <v>49</v>
      </c>
      <c r="B11" t="s">
        <v>123</v>
      </c>
      <c r="C11" s="268" t="s">
        <v>182</v>
      </c>
      <c r="D11" s="221" t="n">
        <v>42993</v>
      </c>
      <c r="E11" s="222" t="n">
        <v>42999</v>
      </c>
      <c r="F11" s="529" t="n">
        <v>0</v>
      </c>
      <c r="G11" s="529">
        <f>H11+I11</f>
        <v/>
      </c>
      <c r="H11" s="529" t="n">
        <v>4608</v>
      </c>
      <c r="I11" s="529">
        <f>H11*0.085</f>
        <v/>
      </c>
      <c r="J11" s="546">
        <f>F11/H11</f>
        <v/>
      </c>
      <c r="K11" s="546">
        <f>F11/G11</f>
        <v/>
      </c>
      <c r="L11" s="631" t="n">
        <v>0</v>
      </c>
      <c r="M11" s="247" t="n">
        <v>0</v>
      </c>
      <c r="N11" s="286">
        <f>M11/L11</f>
        <v/>
      </c>
      <c r="O11" s="529">
        <f>F11/M11</f>
        <v/>
      </c>
      <c r="P11" s="615" t="n">
        <v>8462</v>
      </c>
      <c r="Q11" s="546">
        <f>H11/P11</f>
        <v/>
      </c>
      <c r="R11" s="630">
        <f>(H11/T11)*1000</f>
        <v/>
      </c>
      <c r="S11" s="615" t="n">
        <v>243926</v>
      </c>
      <c r="T11" s="210" t="n">
        <v>559559</v>
      </c>
      <c r="U11" s="253">
        <f>P11/T11</f>
        <v/>
      </c>
    </row>
    <row r="12" spans="1:22">
      <c r="A12" t="s">
        <v>49</v>
      </c>
      <c r="B12" t="s">
        <v>123</v>
      </c>
      <c r="C12" s="268" t="s">
        <v>113</v>
      </c>
      <c r="D12" s="221" t="n">
        <v>43001</v>
      </c>
      <c r="E12" s="222" t="n">
        <v>43002</v>
      </c>
      <c r="F12" s="529" t="n">
        <v>3220</v>
      </c>
      <c r="G12" s="529">
        <f>H12+I12</f>
        <v/>
      </c>
      <c r="H12" s="529" t="n">
        <v>4581.04</v>
      </c>
      <c r="I12" s="529">
        <f>H12*0.085</f>
        <v/>
      </c>
      <c r="J12" s="546">
        <f>F12/H12</f>
        <v/>
      </c>
      <c r="K12" s="546">
        <f>F12/G12</f>
        <v/>
      </c>
      <c r="L12" s="615" t="n">
        <v>4650</v>
      </c>
      <c r="M12" t="n">
        <v>23</v>
      </c>
      <c r="N12" s="286">
        <f>M12/L12</f>
        <v/>
      </c>
      <c r="O12" s="529">
        <f>F12/M12</f>
        <v/>
      </c>
      <c r="P12" s="615" t="n">
        <v>11442</v>
      </c>
      <c r="Q12" s="546">
        <f>H12/P12</f>
        <v/>
      </c>
      <c r="R12" s="630">
        <f>(H12/T12)*1000</f>
        <v/>
      </c>
      <c r="S12" s="615" t="n">
        <v>234923</v>
      </c>
      <c r="T12" s="615" t="n">
        <v>404544</v>
      </c>
      <c r="U12" s="253">
        <f>P12/T12</f>
        <v/>
      </c>
    </row>
    <row r="14" spans="1:22">
      <c r="F14" s="268" t="n"/>
      <c r="J14" s="546" t="n"/>
    </row>
    <row r="18" spans="1:22">
      <c r="H18" s="259" t="n"/>
      <c r="Q18" s="632" t="n"/>
    </row>
    <row r="19" spans="1:22">
      <c r="Q19" s="632" t="n"/>
    </row>
    <row r="20" spans="1:22">
      <c r="J20" s="633" t="n"/>
    </row>
    <row r="21" spans="1:22">
      <c r="J21" s="634" t="n"/>
    </row>
  </sheetData>
  <autoFilter ref="A1:V10"/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tabColor rgb="FFFFC000"/>
    <outlinePr summaryBelow="1" summaryRight="1"/>
    <pageSetUpPr/>
  </sheetPr>
  <dimension ref="A1:W95"/>
  <sheetViews>
    <sheetView workbookViewId="0">
      <pane activePane="bottomLeft" state="frozen" topLeftCell="A65" ySplit="1"/>
      <selection activeCell="D1" sqref="D1"/>
      <selection activeCell="C90" pane="bottomLeft" sqref="C90"/>
    </sheetView>
  </sheetViews>
  <sheetFormatPr baseColWidth="8" defaultColWidth="11" defaultRowHeight="15.75" outlineLevelCol="0"/>
  <cols>
    <col customWidth="1" max="2" min="1" style="452" width="11"/>
    <col customWidth="1" max="3" min="3" style="452" width="26.625"/>
    <col bestFit="1" customWidth="1" max="4" min="4" style="452" width="64.625"/>
    <col customWidth="1" max="5" min="5" style="452" width="11"/>
    <col customWidth="1" max="6" min="6" style="159" width="11"/>
    <col customWidth="1" max="14" min="14" style="219" width="11"/>
    <col bestFit="1" customWidth="1" max="18" min="18" style="452" width="11.625"/>
    <col customWidth="1" max="19" min="19" style="452" width="11.625"/>
    <col bestFit="1" customWidth="1" max="20" min="20" style="452" width="11.5"/>
    <col bestFit="1" customWidth="1" max="21" min="21" style="452" width="14"/>
    <col customWidth="1" max="23" min="23" style="452" width="28.625"/>
  </cols>
  <sheetData>
    <row customFormat="1" r="1" s="357" spans="1:23">
      <c r="A1" s="151" t="s">
        <v>55</v>
      </c>
      <c r="B1" s="151" t="s">
        <v>61</v>
      </c>
      <c r="C1" s="151" t="s">
        <v>171</v>
      </c>
      <c r="D1" s="151" t="s">
        <v>235</v>
      </c>
      <c r="E1" s="151" t="s">
        <v>215</v>
      </c>
      <c r="F1" s="157" t="s">
        <v>216</v>
      </c>
      <c r="G1" s="151" t="s">
        <v>1</v>
      </c>
      <c r="H1" s="151" t="s">
        <v>139</v>
      </c>
      <c r="I1" s="151" t="s">
        <v>217</v>
      </c>
      <c r="J1" s="151" t="s">
        <v>218</v>
      </c>
      <c r="K1" s="151" t="s">
        <v>219</v>
      </c>
      <c r="L1" s="151" t="s">
        <v>220</v>
      </c>
      <c r="M1" s="151" t="s">
        <v>236</v>
      </c>
      <c r="N1" s="256" t="s">
        <v>10</v>
      </c>
      <c r="O1" s="151" t="s">
        <v>12</v>
      </c>
      <c r="P1" s="151" t="s">
        <v>16</v>
      </c>
      <c r="Q1" s="628" t="s">
        <v>18</v>
      </c>
      <c r="R1" s="628" t="s">
        <v>212</v>
      </c>
      <c r="S1" s="628" t="s">
        <v>221</v>
      </c>
      <c r="T1" s="628" t="s">
        <v>175</v>
      </c>
      <c r="U1" s="628" t="s">
        <v>33</v>
      </c>
      <c r="V1" s="153" t="s">
        <v>22</v>
      </c>
      <c r="W1" s="151" t="s">
        <v>66</v>
      </c>
    </row>
    <row r="2" spans="1:23">
      <c r="A2" t="s">
        <v>32</v>
      </c>
      <c r="B2" t="s">
        <v>69</v>
      </c>
      <c r="C2" t="s">
        <v>70</v>
      </c>
      <c r="D2" t="s">
        <v>237</v>
      </c>
      <c r="E2" s="221" t="n">
        <v>42749</v>
      </c>
      <c r="F2" s="222" t="n">
        <v>42750</v>
      </c>
      <c r="G2" s="529" t="n">
        <v>88</v>
      </c>
      <c r="H2" s="529">
        <f>I2+J2</f>
        <v/>
      </c>
      <c r="I2" s="529" t="n">
        <v>461</v>
      </c>
      <c r="J2" s="529">
        <f>I2*0.085</f>
        <v/>
      </c>
      <c r="K2" s="546">
        <f>G2/I2</f>
        <v/>
      </c>
      <c r="L2" s="546">
        <f>G2/H2</f>
        <v/>
      </c>
      <c r="M2" s="615" t="n">
        <v>608</v>
      </c>
      <c r="N2" t="n">
        <v>1</v>
      </c>
      <c r="O2" s="286">
        <f>N2/M2</f>
        <v/>
      </c>
      <c r="P2" s="529">
        <f>G2/N2</f>
        <v/>
      </c>
      <c r="Q2" s="615" t="n">
        <v>1029</v>
      </c>
      <c r="R2" s="546">
        <f>I2/Q2</f>
        <v/>
      </c>
      <c r="S2" s="546">
        <f>(I2/U2)*1000</f>
        <v/>
      </c>
      <c r="T2" s="615" t="n">
        <v>309632</v>
      </c>
      <c r="U2" s="615" t="n">
        <v>1196424</v>
      </c>
      <c r="V2" s="286">
        <f>Q2/U2</f>
        <v/>
      </c>
      <c r="W2" t="s">
        <v>222</v>
      </c>
    </row>
    <row r="3" spans="1:23">
      <c r="A3" t="s">
        <v>32</v>
      </c>
      <c r="B3" t="s">
        <v>69</v>
      </c>
      <c r="C3" t="s">
        <v>70</v>
      </c>
      <c r="D3" t="s">
        <v>238</v>
      </c>
      <c r="E3" s="221" t="n">
        <v>42749</v>
      </c>
      <c r="F3" s="222" t="n">
        <v>42750</v>
      </c>
      <c r="G3" s="529" t="n">
        <v>80</v>
      </c>
      <c r="H3" s="529">
        <f>I3+J3</f>
        <v/>
      </c>
      <c r="I3" s="529" t="n">
        <v>461</v>
      </c>
      <c r="J3" s="529">
        <f>I3*0.085</f>
        <v/>
      </c>
      <c r="K3" s="546">
        <f>G3/I3</f>
        <v/>
      </c>
      <c r="L3" s="546">
        <f>G3/H3</f>
        <v/>
      </c>
      <c r="M3" s="615" t="n">
        <v>558</v>
      </c>
      <c r="N3" t="n">
        <v>1</v>
      </c>
      <c r="O3" s="286">
        <f>N3/M3</f>
        <v/>
      </c>
      <c r="P3" s="529">
        <f>G3/N3</f>
        <v/>
      </c>
      <c r="Q3" s="615" t="n">
        <v>814</v>
      </c>
      <c r="R3" s="546">
        <f>I3/Q3</f>
        <v/>
      </c>
      <c r="S3" s="546">
        <f>(I3/U3)*1000</f>
        <v/>
      </c>
      <c r="T3" s="615" t="n">
        <v>179552</v>
      </c>
      <c r="U3" s="615" t="n">
        <v>711839</v>
      </c>
      <c r="V3" s="286">
        <f>Q3/U3</f>
        <v/>
      </c>
      <c r="W3" t="s">
        <v>222</v>
      </c>
    </row>
    <row r="4" spans="1:23">
      <c r="A4" t="s">
        <v>32</v>
      </c>
      <c r="B4" t="s">
        <v>69</v>
      </c>
      <c r="C4" t="s">
        <v>70</v>
      </c>
      <c r="D4" t="s">
        <v>239</v>
      </c>
      <c r="E4" s="221" t="n">
        <v>42749</v>
      </c>
      <c r="F4" s="222" t="n">
        <v>42750</v>
      </c>
      <c r="G4" s="529" t="n">
        <v>0</v>
      </c>
      <c r="H4" s="529">
        <f>I4+J4</f>
        <v/>
      </c>
      <c r="I4" s="529" t="n">
        <v>461</v>
      </c>
      <c r="J4" s="529">
        <f>I4*0.085</f>
        <v/>
      </c>
      <c r="K4" s="546">
        <f>G4/I4</f>
        <v/>
      </c>
      <c r="L4" s="546">
        <f>G4/H4</f>
        <v/>
      </c>
      <c r="M4" s="615" t="n">
        <v>542</v>
      </c>
      <c r="N4" s="615" t="n">
        <v>0</v>
      </c>
      <c r="O4" s="286">
        <f>N4/M4</f>
        <v/>
      </c>
      <c r="P4" s="529">
        <f>G4/N4</f>
        <v/>
      </c>
      <c r="Q4" s="615" t="n">
        <v>1112</v>
      </c>
      <c r="R4" s="546">
        <f>I4/Q4</f>
        <v/>
      </c>
      <c r="S4" s="546">
        <f>(I4/U4)*1000</f>
        <v/>
      </c>
      <c r="T4" s="615" t="n">
        <v>546702</v>
      </c>
      <c r="U4" s="615" t="n">
        <v>1889242</v>
      </c>
      <c r="V4" s="286">
        <f>Q4/U4</f>
        <v/>
      </c>
      <c r="W4" t="s">
        <v>222</v>
      </c>
    </row>
    <row r="5" spans="1:23">
      <c r="A5" t="s">
        <v>32</v>
      </c>
      <c r="B5" t="s">
        <v>69</v>
      </c>
      <c r="C5" t="s">
        <v>70</v>
      </c>
      <c r="D5" t="s">
        <v>240</v>
      </c>
      <c r="E5" s="221" t="n">
        <v>42749</v>
      </c>
      <c r="F5" s="222" t="n">
        <v>42750</v>
      </c>
      <c r="G5" s="529" t="n">
        <v>0</v>
      </c>
      <c r="H5" s="529">
        <f>I5+J5</f>
        <v/>
      </c>
      <c r="I5" s="529" t="n">
        <v>461</v>
      </c>
      <c r="J5" s="529">
        <f>I5*0.085</f>
        <v/>
      </c>
      <c r="K5" s="546">
        <f>G5/I5</f>
        <v/>
      </c>
      <c r="L5" s="546">
        <f>G5/H5</f>
        <v/>
      </c>
      <c r="M5" s="615" t="n">
        <v>586</v>
      </c>
      <c r="N5" s="615" t="n">
        <v>0</v>
      </c>
      <c r="O5" s="286">
        <f>N5/M5</f>
        <v/>
      </c>
      <c r="P5" s="529">
        <f>G5/N5</f>
        <v/>
      </c>
      <c r="Q5" s="615" t="n">
        <v>798</v>
      </c>
      <c r="R5" s="546">
        <f>I5/Q5</f>
        <v/>
      </c>
      <c r="S5" s="546">
        <f>(I5/U5)*1000</f>
        <v/>
      </c>
      <c r="T5" s="615" t="n">
        <v>80496</v>
      </c>
      <c r="U5" s="615" t="n">
        <v>344634</v>
      </c>
      <c r="V5" s="286">
        <f>Q5/U5</f>
        <v/>
      </c>
      <c r="W5" t="s">
        <v>222</v>
      </c>
    </row>
    <row r="6" spans="1:23">
      <c r="A6" t="s">
        <v>32</v>
      </c>
      <c r="B6" t="s">
        <v>69</v>
      </c>
      <c r="C6" t="s">
        <v>70</v>
      </c>
      <c r="D6" t="s">
        <v>241</v>
      </c>
      <c r="E6" s="221" t="n">
        <v>42749</v>
      </c>
      <c r="F6" s="222" t="n">
        <v>42750</v>
      </c>
      <c r="G6" s="529" t="n">
        <v>0</v>
      </c>
      <c r="H6" s="529">
        <f>I6+J6</f>
        <v/>
      </c>
      <c r="I6" s="529" t="n">
        <v>461</v>
      </c>
      <c r="J6" s="529">
        <f>I6*0.085</f>
        <v/>
      </c>
      <c r="K6" s="546">
        <f>G6/I6</f>
        <v/>
      </c>
      <c r="L6" s="546">
        <f>G6/H6</f>
        <v/>
      </c>
      <c r="M6" s="615" t="n">
        <v>522</v>
      </c>
      <c r="N6" s="615" t="n">
        <v>0</v>
      </c>
      <c r="O6" s="286">
        <f>N6/M6</f>
        <v/>
      </c>
      <c r="P6" s="529">
        <f>G6/N6</f>
        <v/>
      </c>
      <c r="Q6" s="615" t="n">
        <v>785</v>
      </c>
      <c r="R6" s="546">
        <f>I6/Q6</f>
        <v/>
      </c>
      <c r="S6" s="546">
        <f>(I6/U6)*1000</f>
        <v/>
      </c>
      <c r="T6" s="615" t="n">
        <v>59856</v>
      </c>
      <c r="U6" s="615" t="n">
        <v>415291</v>
      </c>
      <c r="V6" s="286">
        <f>Q6/U6</f>
        <v/>
      </c>
      <c r="W6" t="s">
        <v>222</v>
      </c>
    </row>
    <row r="7" spans="1:23">
      <c r="A7" t="s">
        <v>32</v>
      </c>
      <c r="B7" t="s">
        <v>71</v>
      </c>
      <c r="C7" t="s">
        <v>72</v>
      </c>
      <c r="D7" t="s">
        <v>242</v>
      </c>
      <c r="E7" s="221" t="n">
        <v>42756</v>
      </c>
      <c r="F7" s="222" t="n">
        <v>42756</v>
      </c>
      <c r="G7" s="529" t="n">
        <v>74</v>
      </c>
      <c r="H7" s="529">
        <f>I7+J7</f>
        <v/>
      </c>
      <c r="I7" s="529" t="n">
        <v>227</v>
      </c>
      <c r="J7" s="529">
        <f>I7*0.085</f>
        <v/>
      </c>
      <c r="K7" s="546">
        <f>G7/I7</f>
        <v/>
      </c>
      <c r="L7" s="546">
        <f>G7/H7</f>
        <v/>
      </c>
      <c r="M7" s="615" t="n">
        <v>40</v>
      </c>
      <c r="N7" t="n">
        <v>1</v>
      </c>
      <c r="O7" s="286">
        <f>N7/M7</f>
        <v/>
      </c>
      <c r="P7" s="529">
        <f>G7/N7</f>
        <v/>
      </c>
      <c r="Q7" s="615" t="n">
        <v>52</v>
      </c>
      <c r="R7" s="546">
        <f>I7/Q7</f>
        <v/>
      </c>
      <c r="S7" s="546">
        <f>(I7/U7)*1000</f>
        <v/>
      </c>
      <c r="T7" s="615" t="n">
        <v>3035</v>
      </c>
      <c r="U7" s="615" t="n">
        <v>6630</v>
      </c>
      <c r="V7" s="286">
        <f>Q7/U7</f>
        <v/>
      </c>
      <c r="W7" t="s">
        <v>223</v>
      </c>
    </row>
    <row r="8" spans="1:23">
      <c r="A8" t="s">
        <v>32</v>
      </c>
      <c r="B8" t="s">
        <v>71</v>
      </c>
      <c r="C8" t="s">
        <v>72</v>
      </c>
      <c r="D8" t="s">
        <v>243</v>
      </c>
      <c r="E8" s="221" t="n">
        <v>42756</v>
      </c>
      <c r="F8" s="222" t="n">
        <v>42756</v>
      </c>
      <c r="G8" s="529" t="n">
        <v>0</v>
      </c>
      <c r="H8" s="529">
        <f>I8+J8</f>
        <v/>
      </c>
      <c r="I8" s="529" t="n">
        <v>922</v>
      </c>
      <c r="J8" s="529">
        <f>I8*0.085</f>
        <v/>
      </c>
      <c r="K8" s="546">
        <f>G8/I8</f>
        <v/>
      </c>
      <c r="L8" s="546">
        <f>G8/H8</f>
        <v/>
      </c>
      <c r="M8" s="615" t="n">
        <v>627</v>
      </c>
      <c r="N8" s="615" t="n">
        <v>0</v>
      </c>
      <c r="O8" s="286">
        <f>N8/M8</f>
        <v/>
      </c>
      <c r="P8" s="529">
        <f>G8/N8</f>
        <v/>
      </c>
      <c r="Q8" s="615" t="n">
        <v>779</v>
      </c>
      <c r="R8" s="546">
        <f>I8/Q8</f>
        <v/>
      </c>
      <c r="S8" s="546">
        <f>(I8/U8)*1000</f>
        <v/>
      </c>
      <c r="T8" s="615" t="n">
        <v>46120</v>
      </c>
      <c r="U8" s="615" t="n">
        <v>65198</v>
      </c>
      <c r="V8" s="286">
        <f>Q8/U8</f>
        <v/>
      </c>
      <c r="W8" t="s">
        <v>223</v>
      </c>
    </row>
    <row r="9" spans="1:23">
      <c r="A9" t="s">
        <v>32</v>
      </c>
      <c r="B9" t="s">
        <v>71</v>
      </c>
      <c r="C9" t="s">
        <v>72</v>
      </c>
      <c r="D9" t="s">
        <v>244</v>
      </c>
      <c r="E9" s="221" t="n">
        <v>42756</v>
      </c>
      <c r="F9" s="222" t="n">
        <v>42756</v>
      </c>
      <c r="G9" s="529" t="n">
        <v>120</v>
      </c>
      <c r="H9" s="529">
        <f>I9+J9</f>
        <v/>
      </c>
      <c r="I9" s="529" t="n">
        <v>920</v>
      </c>
      <c r="J9" s="529">
        <f>I9*0.085</f>
        <v/>
      </c>
      <c r="K9" s="546">
        <f>G9/I9</f>
        <v/>
      </c>
      <c r="L9" s="546">
        <f>G9/H9</f>
        <v/>
      </c>
      <c r="M9" s="615" t="n">
        <v>363</v>
      </c>
      <c r="N9" t="n">
        <v>1</v>
      </c>
      <c r="O9" s="286">
        <f>N9/M9</f>
        <v/>
      </c>
      <c r="P9" s="529">
        <f>G9/N9</f>
        <v/>
      </c>
      <c r="Q9" s="615" t="n">
        <v>443</v>
      </c>
      <c r="R9" s="546">
        <f>I9/Q9</f>
        <v/>
      </c>
      <c r="S9" s="546">
        <f>(I9/U9)*1000</f>
        <v/>
      </c>
      <c r="T9" s="615" t="n">
        <v>21244</v>
      </c>
      <c r="U9" s="615" t="n">
        <v>40839</v>
      </c>
      <c r="V9" s="286">
        <f>Q9/U9</f>
        <v/>
      </c>
      <c r="W9" t="s">
        <v>223</v>
      </c>
    </row>
    <row r="10" spans="1:23">
      <c r="A10" t="s">
        <v>32</v>
      </c>
      <c r="B10" t="s">
        <v>71</v>
      </c>
      <c r="C10" t="s">
        <v>72</v>
      </c>
      <c r="D10" t="s">
        <v>245</v>
      </c>
      <c r="E10" s="221" t="n">
        <v>42756</v>
      </c>
      <c r="F10" s="222" t="n">
        <v>42756</v>
      </c>
      <c r="G10" s="529" t="n">
        <v>252</v>
      </c>
      <c r="H10" s="529">
        <f>I10+J10</f>
        <v/>
      </c>
      <c r="I10" s="529" t="n">
        <v>921</v>
      </c>
      <c r="J10" s="529">
        <f>I10*0.085</f>
        <v/>
      </c>
      <c r="K10" s="546">
        <f>G10/I10</f>
        <v/>
      </c>
      <c r="L10" s="546">
        <f>G10/H10</f>
        <v/>
      </c>
      <c r="M10" s="615" t="n">
        <v>833</v>
      </c>
      <c r="N10" t="n">
        <v>1</v>
      </c>
      <c r="O10" s="286">
        <f>N10/M10</f>
        <v/>
      </c>
      <c r="P10" s="529">
        <f>G10/N10</f>
        <v/>
      </c>
      <c r="Q10" s="615" t="n">
        <v>1035</v>
      </c>
      <c r="R10" s="546">
        <f>I10/Q10</f>
        <v/>
      </c>
      <c r="S10" s="546">
        <f>(I10/U10)*1000</f>
        <v/>
      </c>
      <c r="T10" s="615" t="n">
        <v>76511</v>
      </c>
      <c r="U10" s="615" t="n">
        <v>40839</v>
      </c>
      <c r="V10" s="286">
        <f>Q10/U10</f>
        <v/>
      </c>
      <c r="W10" t="s">
        <v>223</v>
      </c>
    </row>
    <row r="11" spans="1:23">
      <c r="A11" t="s">
        <v>32</v>
      </c>
      <c r="B11" t="s">
        <v>71</v>
      </c>
      <c r="C11" t="s">
        <v>72</v>
      </c>
      <c r="D11" t="s">
        <v>241</v>
      </c>
      <c r="E11" s="221" t="n">
        <v>42756</v>
      </c>
      <c r="F11" s="222" t="n">
        <v>42756</v>
      </c>
      <c r="G11" s="529" t="n">
        <v>123</v>
      </c>
      <c r="H11" s="529">
        <f>I11+J11</f>
        <v/>
      </c>
      <c r="I11" s="529" t="n">
        <v>922</v>
      </c>
      <c r="J11" s="529">
        <f>I11*0.085</f>
        <v/>
      </c>
      <c r="K11" s="546">
        <f>G11/I11</f>
        <v/>
      </c>
      <c r="L11" s="546">
        <f>G11/H11</f>
        <v/>
      </c>
      <c r="M11" s="615" t="n">
        <v>1958</v>
      </c>
      <c r="N11" t="n">
        <v>2</v>
      </c>
      <c r="O11" s="286">
        <f>N11/M11</f>
        <v/>
      </c>
      <c r="P11" s="529">
        <f>G11/N11</f>
        <v/>
      </c>
      <c r="Q11" s="615" t="n">
        <v>2199</v>
      </c>
      <c r="R11" s="546">
        <f>I11/Q11</f>
        <v/>
      </c>
      <c r="S11" s="546">
        <f>(I11/U11)*1000</f>
        <v/>
      </c>
      <c r="T11" s="615" t="n">
        <v>49344</v>
      </c>
      <c r="U11" s="615" t="n">
        <v>85053</v>
      </c>
      <c r="V11" s="286">
        <f>Q11/U11</f>
        <v/>
      </c>
      <c r="W11" t="s">
        <v>223</v>
      </c>
    </row>
    <row r="12" spans="1:23">
      <c r="A12" t="s">
        <v>42</v>
      </c>
      <c r="B12" t="s">
        <v>79</v>
      </c>
      <c r="C12" t="s">
        <v>224</v>
      </c>
      <c r="D12" t="s">
        <v>237</v>
      </c>
      <c r="E12" s="221" t="n">
        <v>42790</v>
      </c>
      <c r="F12" s="222" t="n">
        <v>42804</v>
      </c>
      <c r="G12" s="529" t="n">
        <v>80</v>
      </c>
      <c r="H12" s="529">
        <f>I12+J12</f>
        <v/>
      </c>
      <c r="I12" s="529" t="n">
        <v>5220</v>
      </c>
      <c r="J12" s="529">
        <f>I12*0.085</f>
        <v/>
      </c>
      <c r="K12" s="546">
        <f>G12/I12</f>
        <v/>
      </c>
      <c r="L12" s="546">
        <f>G12/H12</f>
        <v/>
      </c>
      <c r="M12" s="615" t="n">
        <v>2950</v>
      </c>
      <c r="N12" t="n">
        <v>1</v>
      </c>
      <c r="O12" s="286">
        <f>N12/M12</f>
        <v/>
      </c>
      <c r="P12" s="529">
        <f>G12/N12</f>
        <v/>
      </c>
      <c r="Q12" s="615" t="n">
        <v>8118</v>
      </c>
      <c r="R12" s="546">
        <f>I12/Q12</f>
        <v/>
      </c>
      <c r="S12" s="546">
        <f>(I12/U12)*1000</f>
        <v/>
      </c>
      <c r="T12" s="615" t="n">
        <v>563782</v>
      </c>
      <c r="U12" s="615" t="n">
        <v>1788463</v>
      </c>
      <c r="V12" s="286">
        <f>Q12/U12</f>
        <v/>
      </c>
      <c r="W12" t="s">
        <v>225</v>
      </c>
    </row>
    <row r="13" spans="1:23">
      <c r="A13" t="s">
        <v>42</v>
      </c>
      <c r="B13" t="s">
        <v>79</v>
      </c>
      <c r="C13" t="s">
        <v>224</v>
      </c>
      <c r="D13" t="s">
        <v>239</v>
      </c>
      <c r="E13" s="221" t="n">
        <v>42790</v>
      </c>
      <c r="F13" s="222" t="n">
        <v>42804</v>
      </c>
      <c r="G13" s="529" t="n">
        <v>185</v>
      </c>
      <c r="H13" s="529">
        <f>I13+J13</f>
        <v/>
      </c>
      <c r="I13" s="529" t="n">
        <v>5217.59</v>
      </c>
      <c r="J13" s="529">
        <f>I13*0.085</f>
        <v/>
      </c>
      <c r="K13" s="546">
        <f>G13/I13</f>
        <v/>
      </c>
      <c r="L13" s="546">
        <f>G13/H13</f>
        <v/>
      </c>
      <c r="M13" s="615" t="n">
        <v>2247</v>
      </c>
      <c r="N13" t="n">
        <v>2</v>
      </c>
      <c r="O13" s="286">
        <f>N13/M13</f>
        <v/>
      </c>
      <c r="P13" s="529">
        <f>G13/N13</f>
        <v/>
      </c>
      <c r="Q13" s="615" t="n">
        <v>6038</v>
      </c>
      <c r="R13" s="546">
        <f>I13/Q13</f>
        <v/>
      </c>
      <c r="S13" s="546">
        <f>(I13/U13)*1000</f>
        <v/>
      </c>
      <c r="T13" s="615" t="n">
        <v>819745</v>
      </c>
      <c r="U13" s="615" t="n">
        <v>2492001</v>
      </c>
      <c r="V13" s="286">
        <f>Q13/U13</f>
        <v/>
      </c>
      <c r="W13" t="s">
        <v>225</v>
      </c>
    </row>
    <row r="14" spans="1:23">
      <c r="A14" t="s">
        <v>42</v>
      </c>
      <c r="B14" t="s">
        <v>79</v>
      </c>
      <c r="C14" t="s">
        <v>224</v>
      </c>
      <c r="D14" t="s">
        <v>246</v>
      </c>
      <c r="E14" s="221" t="n">
        <v>42790</v>
      </c>
      <c r="F14" s="222" t="n">
        <v>42804</v>
      </c>
      <c r="G14" s="529" t="n">
        <v>0</v>
      </c>
      <c r="H14" s="529">
        <f>I14+J14</f>
        <v/>
      </c>
      <c r="I14" s="529" t="n">
        <v>5219.26</v>
      </c>
      <c r="J14" s="529">
        <f>I14*0.085</f>
        <v/>
      </c>
      <c r="K14" s="546">
        <f>G14/I14</f>
        <v/>
      </c>
      <c r="L14" s="546">
        <f>G14/H14</f>
        <v/>
      </c>
      <c r="M14" s="615" t="n">
        <v>2907</v>
      </c>
      <c r="N14" s="615" t="n">
        <v>0</v>
      </c>
      <c r="O14" s="286">
        <f>N14/M14</f>
        <v/>
      </c>
      <c r="P14" s="529">
        <f>G14/N14</f>
        <v/>
      </c>
      <c r="Q14" s="615" t="n">
        <v>5749</v>
      </c>
      <c r="R14" s="546">
        <f>I14/Q14</f>
        <v/>
      </c>
      <c r="S14" s="546">
        <f>(I14/U14)*1000</f>
        <v/>
      </c>
      <c r="T14" s="615" t="n">
        <v>422274</v>
      </c>
      <c r="U14" s="615" t="n">
        <v>921876</v>
      </c>
      <c r="V14" s="286">
        <f>Q14/U14</f>
        <v/>
      </c>
      <c r="W14" t="s">
        <v>225</v>
      </c>
    </row>
    <row r="15" spans="1:23">
      <c r="A15" t="s">
        <v>42</v>
      </c>
      <c r="B15" t="s">
        <v>79</v>
      </c>
      <c r="C15" t="s">
        <v>224</v>
      </c>
      <c r="D15" t="s">
        <v>247</v>
      </c>
      <c r="E15" s="221" t="n">
        <v>42790</v>
      </c>
      <c r="F15" s="222" t="n">
        <v>42804</v>
      </c>
      <c r="G15" s="529" t="n">
        <v>0</v>
      </c>
      <c r="H15" s="529">
        <f>I15+J15</f>
        <v/>
      </c>
      <c r="I15" s="529" t="n">
        <v>5217.62</v>
      </c>
      <c r="J15" s="529">
        <f>I15*0.085</f>
        <v/>
      </c>
      <c r="K15" s="546">
        <f>G15/I15</f>
        <v/>
      </c>
      <c r="L15" s="546">
        <f>G15/H15</f>
        <v/>
      </c>
      <c r="M15" s="615" t="n">
        <v>1792</v>
      </c>
      <c r="N15" s="615" t="n">
        <v>0</v>
      </c>
      <c r="O15" s="286">
        <f>N15/M15</f>
        <v/>
      </c>
      <c r="P15" s="529">
        <f>G15/N15</f>
        <v/>
      </c>
      <c r="Q15" s="615" t="n">
        <v>5412</v>
      </c>
      <c r="R15" s="546">
        <f>I15/Q15</f>
        <v/>
      </c>
      <c r="S15" s="546">
        <f>(I15/U15)*1000</f>
        <v/>
      </c>
      <c r="T15" s="615" t="n">
        <v>539934</v>
      </c>
      <c r="U15" s="615" t="n">
        <v>1358796</v>
      </c>
      <c r="V15" s="286">
        <f>Q15/U15</f>
        <v/>
      </c>
      <c r="W15" t="s">
        <v>225</v>
      </c>
    </row>
    <row r="16" spans="1:23">
      <c r="A16" t="s">
        <v>42</v>
      </c>
      <c r="B16" t="s">
        <v>79</v>
      </c>
      <c r="C16" t="s">
        <v>224</v>
      </c>
      <c r="D16" t="s">
        <v>248</v>
      </c>
      <c r="E16" s="221" t="n">
        <v>42790</v>
      </c>
      <c r="F16" s="222" t="n">
        <v>42804</v>
      </c>
      <c r="G16" s="529" t="n">
        <v>0</v>
      </c>
      <c r="H16" s="529">
        <f>I16+J16</f>
        <v/>
      </c>
      <c r="I16" s="529" t="n">
        <v>1999.19</v>
      </c>
      <c r="J16" s="529">
        <f>I16*0.085</f>
        <v/>
      </c>
      <c r="K16" s="546">
        <f>G16/I16</f>
        <v/>
      </c>
      <c r="L16" s="546">
        <f>G16/H16</f>
        <v/>
      </c>
      <c r="M16" s="615" t="n">
        <v>493</v>
      </c>
      <c r="N16" s="615" t="n">
        <v>0</v>
      </c>
      <c r="O16" s="286">
        <f>N16/M16</f>
        <v/>
      </c>
      <c r="P16" s="529">
        <f>G16/N16</f>
        <v/>
      </c>
      <c r="Q16" s="615" t="n">
        <v>1780</v>
      </c>
      <c r="R16" s="546">
        <f>I16/Q16</f>
        <v/>
      </c>
      <c r="S16" s="546">
        <f>(I16/U16)*1000</f>
        <v/>
      </c>
      <c r="T16" s="615" t="n">
        <v>240320</v>
      </c>
      <c r="U16" s="615" t="n">
        <v>512809</v>
      </c>
      <c r="V16" s="286">
        <f>Q16/U16</f>
        <v/>
      </c>
      <c r="W16" t="s">
        <v>249</v>
      </c>
    </row>
    <row r="17" spans="1:23">
      <c r="A17" t="s">
        <v>43</v>
      </c>
      <c r="B17" t="s">
        <v>90</v>
      </c>
      <c r="C17" t="s">
        <v>182</v>
      </c>
      <c r="D17" t="s">
        <v>237</v>
      </c>
      <c r="E17" s="221" t="n">
        <v>42826</v>
      </c>
      <c r="F17" s="222" t="n">
        <v>42832</v>
      </c>
      <c r="G17" s="529" t="n">
        <v>0</v>
      </c>
      <c r="H17" s="529">
        <f>I17+J17</f>
        <v/>
      </c>
      <c r="I17" s="529" t="n">
        <v>863.78</v>
      </c>
      <c r="J17" s="529">
        <f>I17*0.085</f>
        <v/>
      </c>
      <c r="K17" s="546">
        <f>G17/I17</f>
        <v/>
      </c>
      <c r="L17" s="546">
        <f>G17/H17</f>
        <v/>
      </c>
      <c r="M17" s="615" t="n">
        <v>0</v>
      </c>
      <c r="N17" s="615" t="n">
        <v>0</v>
      </c>
      <c r="O17" s="286">
        <f>N17/M17</f>
        <v/>
      </c>
      <c r="P17" s="529">
        <f>G17/N17</f>
        <v/>
      </c>
      <c r="Q17" s="615" t="n">
        <v>1340</v>
      </c>
      <c r="R17" s="546">
        <f>I17/Q17</f>
        <v/>
      </c>
      <c r="S17" s="546">
        <f>(I17/U17)*1000</f>
        <v/>
      </c>
      <c r="T17" s="615" t="n">
        <v>139681</v>
      </c>
      <c r="U17" s="615" t="n">
        <v>227073</v>
      </c>
      <c r="V17" s="286">
        <f>Q17/U17</f>
        <v/>
      </c>
      <c r="W17" t="s">
        <v>226</v>
      </c>
    </row>
    <row r="18" spans="1:23">
      <c r="A18" t="s">
        <v>43</v>
      </c>
      <c r="B18" t="s">
        <v>90</v>
      </c>
      <c r="C18" t="s">
        <v>182</v>
      </c>
      <c r="D18" t="s">
        <v>239</v>
      </c>
      <c r="E18" s="221" t="n">
        <v>42826</v>
      </c>
      <c r="F18" s="222" t="n">
        <v>42832</v>
      </c>
      <c r="G18" s="529" t="n">
        <v>0</v>
      </c>
      <c r="H18" s="529">
        <f>I18+J18</f>
        <v/>
      </c>
      <c r="I18" s="529" t="n">
        <v>870.42</v>
      </c>
      <c r="J18" s="529">
        <f>I18*0.085</f>
        <v/>
      </c>
      <c r="K18" s="546">
        <f>G18/I18</f>
        <v/>
      </c>
      <c r="L18" s="546">
        <f>G18/H18</f>
        <v/>
      </c>
      <c r="M18" s="615" t="n">
        <v>0</v>
      </c>
      <c r="N18" s="615" t="n">
        <v>0</v>
      </c>
      <c r="O18" s="286">
        <f>N18/M18</f>
        <v/>
      </c>
      <c r="P18" s="529">
        <f>G18/N18</f>
        <v/>
      </c>
      <c r="Q18" s="615" t="n">
        <v>1245</v>
      </c>
      <c r="R18" s="546">
        <f>I18/Q18</f>
        <v/>
      </c>
      <c r="S18" s="546">
        <f>(I18/U18)*1000</f>
        <v/>
      </c>
      <c r="T18" s="615" t="n">
        <v>163653</v>
      </c>
      <c r="U18" s="615" t="n">
        <v>242779</v>
      </c>
      <c r="V18" s="286">
        <f>Q18/U18</f>
        <v/>
      </c>
      <c r="W18" t="s">
        <v>226</v>
      </c>
    </row>
    <row r="19" spans="1:23">
      <c r="A19" t="s">
        <v>43</v>
      </c>
      <c r="B19" t="s">
        <v>90</v>
      </c>
      <c r="C19" t="s">
        <v>182</v>
      </c>
      <c r="D19" t="s">
        <v>250</v>
      </c>
      <c r="E19" s="221" t="n">
        <v>42826</v>
      </c>
      <c r="F19" s="222" t="n">
        <v>42832</v>
      </c>
      <c r="G19" s="529" t="n">
        <v>0</v>
      </c>
      <c r="H19" s="529">
        <f>I19+J19</f>
        <v/>
      </c>
      <c r="I19" s="529" t="n">
        <v>850.36</v>
      </c>
      <c r="J19" s="529">
        <f>I19*0.085</f>
        <v/>
      </c>
      <c r="K19" s="546">
        <f>G19/I19</f>
        <v/>
      </c>
      <c r="L19" s="546">
        <f>G19/H19</f>
        <v/>
      </c>
      <c r="M19" s="615" t="n">
        <v>0</v>
      </c>
      <c r="N19" s="615" t="n">
        <v>0</v>
      </c>
      <c r="O19" s="286">
        <f>N19/M19</f>
        <v/>
      </c>
      <c r="P19" s="529">
        <f>G19/N19</f>
        <v/>
      </c>
      <c r="Q19" s="615" t="n">
        <v>1116</v>
      </c>
      <c r="R19" s="546">
        <f>I19/Q19</f>
        <v/>
      </c>
      <c r="S19" s="546">
        <f>(I19/U19)*1000</f>
        <v/>
      </c>
      <c r="T19" s="615" t="n">
        <v>91988</v>
      </c>
      <c r="U19" s="615" t="n">
        <v>152078</v>
      </c>
      <c r="V19" s="286">
        <f>Q19/U19</f>
        <v/>
      </c>
      <c r="W19" t="s">
        <v>226</v>
      </c>
    </row>
    <row r="20" spans="1:23">
      <c r="A20" t="s">
        <v>43</v>
      </c>
      <c r="B20" t="s">
        <v>90</v>
      </c>
      <c r="C20" t="s">
        <v>182</v>
      </c>
      <c r="D20" t="s">
        <v>251</v>
      </c>
      <c r="E20" s="221" t="n">
        <v>42826</v>
      </c>
      <c r="F20" s="222" t="n">
        <v>42832</v>
      </c>
      <c r="G20" s="529" t="n">
        <v>0</v>
      </c>
      <c r="H20" s="529">
        <f>I20+J20</f>
        <v/>
      </c>
      <c r="I20" s="529" t="n">
        <v>874.83</v>
      </c>
      <c r="J20" s="529">
        <f>I20*0.085</f>
        <v/>
      </c>
      <c r="K20" s="546">
        <f>G20/I20</f>
        <v/>
      </c>
      <c r="L20" s="546">
        <f>G20/H20</f>
        <v/>
      </c>
      <c r="M20" s="615" t="n">
        <v>0</v>
      </c>
      <c r="N20" s="615" t="n">
        <v>0</v>
      </c>
      <c r="O20" s="286">
        <f>N20/M20</f>
        <v/>
      </c>
      <c r="P20" s="529">
        <f>G20/N20</f>
        <v/>
      </c>
      <c r="Q20" s="615" t="n">
        <v>1991</v>
      </c>
      <c r="R20" s="546">
        <f>I20/Q20</f>
        <v/>
      </c>
      <c r="S20" s="546">
        <f>(I20/U20)*1000</f>
        <v/>
      </c>
      <c r="T20" s="615" t="n">
        <v>67035</v>
      </c>
      <c r="U20" s="615" t="n">
        <v>126536</v>
      </c>
      <c r="V20" s="286">
        <f>Q20/U20</f>
        <v/>
      </c>
      <c r="W20" t="s">
        <v>226</v>
      </c>
    </row>
    <row r="21" spans="1:23">
      <c r="A21" t="s">
        <v>43</v>
      </c>
      <c r="B21" t="s">
        <v>90</v>
      </c>
      <c r="C21" t="s">
        <v>182</v>
      </c>
      <c r="D21" t="s">
        <v>248</v>
      </c>
      <c r="E21" s="221" t="n">
        <v>42826</v>
      </c>
      <c r="F21" s="222" t="n">
        <v>42832</v>
      </c>
      <c r="G21" s="529" t="n">
        <v>0</v>
      </c>
      <c r="H21" s="529">
        <f>I21+J21</f>
        <v/>
      </c>
      <c r="I21" s="529" t="n">
        <v>875.3099999999999</v>
      </c>
      <c r="J21" s="529">
        <f>I21*0.085</f>
        <v/>
      </c>
      <c r="K21" s="546">
        <f>G21/I21</f>
        <v/>
      </c>
      <c r="L21" s="546">
        <f>G21/H21</f>
        <v/>
      </c>
      <c r="M21" s="615" t="n">
        <v>0</v>
      </c>
      <c r="N21" s="615" t="n">
        <v>0</v>
      </c>
      <c r="O21" s="286">
        <f>N21/M21</f>
        <v/>
      </c>
      <c r="P21" s="529">
        <f>G21/N21</f>
        <v/>
      </c>
      <c r="Q21" s="615" t="n">
        <v>993</v>
      </c>
      <c r="R21" s="546">
        <f>I21/Q21</f>
        <v/>
      </c>
      <c r="S21" s="546">
        <f>(I21/U21)*1000</f>
        <v/>
      </c>
      <c r="T21" s="615" t="n">
        <v>90918</v>
      </c>
      <c r="U21" s="615" t="n">
        <v>153582</v>
      </c>
      <c r="V21" s="286">
        <f>Q21/U21</f>
        <v/>
      </c>
      <c r="W21" t="s">
        <v>226</v>
      </c>
    </row>
    <row r="22" spans="1:23">
      <c r="A22" t="s">
        <v>44</v>
      </c>
      <c r="B22" t="s">
        <v>95</v>
      </c>
      <c r="C22" t="s">
        <v>187</v>
      </c>
      <c r="D22" t="s">
        <v>252</v>
      </c>
      <c r="E22" s="221" t="n">
        <v>42854</v>
      </c>
      <c r="F22" s="222" t="n">
        <v>42855</v>
      </c>
      <c r="G22" s="529" t="n">
        <v>227</v>
      </c>
      <c r="H22" s="529">
        <f>I22+J22</f>
        <v/>
      </c>
      <c r="I22" s="529" t="n">
        <v>921.66</v>
      </c>
      <c r="J22" s="529">
        <f>I22*0.085</f>
        <v/>
      </c>
      <c r="K22" s="546">
        <f>G22/I22</f>
        <v/>
      </c>
      <c r="L22" s="546">
        <f>G22/H22</f>
        <v/>
      </c>
      <c r="M22" s="615" t="n">
        <v>1698</v>
      </c>
      <c r="N22" t="n">
        <v>2</v>
      </c>
      <c r="O22" s="286">
        <f>N22/M22</f>
        <v/>
      </c>
      <c r="P22" s="529">
        <f>G22/N22</f>
        <v/>
      </c>
      <c r="Q22" s="615" t="n">
        <v>1844</v>
      </c>
      <c r="R22" s="546">
        <f>I22/Q22</f>
        <v/>
      </c>
      <c r="S22" s="546">
        <f>(I22/U22)*1000</f>
        <v/>
      </c>
      <c r="T22" s="615" t="n">
        <v>60436</v>
      </c>
      <c r="U22" s="615" t="n">
        <v>96510</v>
      </c>
      <c r="V22" s="286">
        <f>Q22/U22</f>
        <v/>
      </c>
      <c r="W22" s="214" t="s">
        <v>253</v>
      </c>
    </row>
    <row r="23" spans="1:23">
      <c r="A23" t="s">
        <v>44</v>
      </c>
      <c r="B23" t="s">
        <v>95</v>
      </c>
      <c r="C23" t="s">
        <v>187</v>
      </c>
      <c r="D23" t="s">
        <v>254</v>
      </c>
      <c r="E23" s="221" t="n">
        <v>42854</v>
      </c>
      <c r="F23" s="222" t="n">
        <v>42855</v>
      </c>
      <c r="G23" s="529" t="n">
        <v>91</v>
      </c>
      <c r="H23" s="529">
        <f>I23+J23</f>
        <v/>
      </c>
      <c r="I23" s="529" t="n">
        <v>921.66</v>
      </c>
      <c r="J23" s="529">
        <f>I23*0.085</f>
        <v/>
      </c>
      <c r="K23" s="546">
        <f>G23/I23</f>
        <v/>
      </c>
      <c r="L23" s="546">
        <f>G23/H23</f>
        <v/>
      </c>
      <c r="M23" s="615" t="n">
        <v>1973</v>
      </c>
      <c r="N23" t="n">
        <v>1</v>
      </c>
      <c r="O23" s="286">
        <f>N23/M23</f>
        <v/>
      </c>
      <c r="P23" s="529">
        <f>G23/N23</f>
        <v/>
      </c>
      <c r="Q23" s="615" t="n">
        <v>2228</v>
      </c>
      <c r="R23" s="546">
        <f>I23/Q23</f>
        <v/>
      </c>
      <c r="S23" s="546">
        <f>(I23/U23)*1000</f>
        <v/>
      </c>
      <c r="T23" s="210" t="n">
        <v>83351</v>
      </c>
      <c r="U23" s="615" t="n">
        <v>111359</v>
      </c>
      <c r="V23" s="286">
        <f>Q23/U23</f>
        <v/>
      </c>
      <c r="W23" s="214" t="s">
        <v>253</v>
      </c>
    </row>
    <row r="24" spans="1:23">
      <c r="A24" t="s">
        <v>44</v>
      </c>
      <c r="B24" t="s">
        <v>95</v>
      </c>
      <c r="C24" t="s">
        <v>187</v>
      </c>
      <c r="D24" t="s">
        <v>255</v>
      </c>
      <c r="E24" s="221" t="n">
        <v>42854</v>
      </c>
      <c r="F24" s="222" t="n">
        <v>42855</v>
      </c>
      <c r="G24" s="529" t="n">
        <v>50</v>
      </c>
      <c r="H24" s="529">
        <f>I24+J24</f>
        <v/>
      </c>
      <c r="I24" s="529" t="n">
        <v>921.66</v>
      </c>
      <c r="J24" s="529">
        <f>I24*0.085</f>
        <v/>
      </c>
      <c r="K24" s="546">
        <f>G24/I24</f>
        <v/>
      </c>
      <c r="L24" s="546">
        <f>G24/H24</f>
        <v/>
      </c>
      <c r="M24" s="615" t="n">
        <v>683</v>
      </c>
      <c r="N24" t="n">
        <v>1</v>
      </c>
      <c r="O24" s="286">
        <f>N24/M24</f>
        <v/>
      </c>
      <c r="P24" s="529">
        <f>G24/N24</f>
        <v/>
      </c>
      <c r="Q24" s="615" t="n">
        <v>879</v>
      </c>
      <c r="R24" s="546">
        <f>I24/Q24</f>
        <v/>
      </c>
      <c r="S24" s="546">
        <f>(I24/U24)*1000</f>
        <v/>
      </c>
      <c r="T24" s="615" t="n">
        <v>70021</v>
      </c>
      <c r="U24" s="615" t="n">
        <v>107911</v>
      </c>
      <c r="V24" s="286">
        <f>Q24/U24</f>
        <v/>
      </c>
      <c r="W24" s="214" t="s">
        <v>253</v>
      </c>
    </row>
    <row r="25" spans="1:23">
      <c r="A25" t="s">
        <v>44</v>
      </c>
      <c r="B25" t="s">
        <v>95</v>
      </c>
      <c r="C25" t="s">
        <v>187</v>
      </c>
      <c r="D25" t="s">
        <v>256</v>
      </c>
      <c r="E25" s="221" t="n">
        <v>42854</v>
      </c>
      <c r="F25" s="222" t="n">
        <v>42855</v>
      </c>
      <c r="G25" s="529" t="n">
        <v>843</v>
      </c>
      <c r="H25" s="529">
        <f>I25+J25</f>
        <v/>
      </c>
      <c r="I25" s="529" t="n">
        <v>921.38</v>
      </c>
      <c r="J25" s="529">
        <f>I25*0.085</f>
        <v/>
      </c>
      <c r="K25" s="546">
        <f>G25/I25</f>
        <v/>
      </c>
      <c r="L25" s="546">
        <f>G25/H25</f>
        <v/>
      </c>
      <c r="M25" s="615" t="n">
        <v>1423</v>
      </c>
      <c r="N25" t="n">
        <v>5</v>
      </c>
      <c r="O25" s="286">
        <f>N25/M25</f>
        <v/>
      </c>
      <c r="P25" s="529">
        <f>G25/N25</f>
        <v/>
      </c>
      <c r="Q25" s="615" t="n">
        <v>1544</v>
      </c>
      <c r="R25" s="546">
        <f>I25/Q25</f>
        <v/>
      </c>
      <c r="S25" s="546">
        <f>(I25/U25)*1000</f>
        <v/>
      </c>
      <c r="T25" s="615" t="n">
        <v>45881</v>
      </c>
      <c r="U25" s="615" t="n">
        <v>85571</v>
      </c>
      <c r="V25" s="286">
        <f>Q25/U25</f>
        <v/>
      </c>
      <c r="W25" s="214" t="s">
        <v>253</v>
      </c>
    </row>
    <row r="26" spans="1:23">
      <c r="A26" t="s">
        <v>44</v>
      </c>
      <c r="B26" t="s">
        <v>257</v>
      </c>
      <c r="C26" t="s">
        <v>187</v>
      </c>
      <c r="D26" t="s">
        <v>258</v>
      </c>
      <c r="E26" s="221" t="n">
        <v>42854</v>
      </c>
      <c r="F26" s="222" t="n">
        <v>42855</v>
      </c>
      <c r="G26" s="529" t="n">
        <v>1348</v>
      </c>
      <c r="H26" s="529">
        <f>I26+J26</f>
        <v/>
      </c>
      <c r="I26" s="529" t="n">
        <v>920.42</v>
      </c>
      <c r="J26" s="529">
        <f>I26*0.085</f>
        <v/>
      </c>
      <c r="K26" s="546">
        <f>G26/I26</f>
        <v/>
      </c>
      <c r="L26" s="546">
        <f>G26/H26</f>
        <v/>
      </c>
      <c r="M26" s="615" t="n">
        <v>749</v>
      </c>
      <c r="N26" t="n">
        <v>8</v>
      </c>
      <c r="O26" s="286">
        <f>N26/M26</f>
        <v/>
      </c>
      <c r="P26" s="529">
        <f>G26/N26</f>
        <v/>
      </c>
      <c r="Q26" s="615" t="n">
        <v>853</v>
      </c>
      <c r="R26" s="546">
        <f>I26/Q26</f>
        <v/>
      </c>
      <c r="S26" s="546">
        <f>(I26/U26)*1000</f>
        <v/>
      </c>
      <c r="T26" s="615" t="n">
        <v>853</v>
      </c>
      <c r="U26" s="615" t="n">
        <v>48438</v>
      </c>
      <c r="V26" s="286">
        <f>Q26/U26</f>
        <v/>
      </c>
      <c r="W26" s="214" t="s">
        <v>253</v>
      </c>
    </row>
    <row r="27" spans="1:23">
      <c r="A27" t="s">
        <v>44</v>
      </c>
      <c r="B27" t="s">
        <v>259</v>
      </c>
      <c r="C27" t="s">
        <v>229</v>
      </c>
      <c r="D27" t="s">
        <v>260</v>
      </c>
      <c r="E27" s="221" t="n">
        <v>42856</v>
      </c>
      <c r="F27" s="222" t="n">
        <v>42858</v>
      </c>
      <c r="G27" s="529" t="n">
        <v>85</v>
      </c>
      <c r="H27" s="529">
        <f>I27+J27</f>
        <v/>
      </c>
      <c r="I27" s="529" t="n">
        <v>553</v>
      </c>
      <c r="J27" s="529">
        <f>I27*0.085</f>
        <v/>
      </c>
      <c r="K27" s="546">
        <f>G27/I27</f>
        <v/>
      </c>
      <c r="L27" s="546">
        <f>G27/H27</f>
        <v/>
      </c>
      <c r="M27" s="225" t="n">
        <v>1021</v>
      </c>
      <c r="N27" s="226" t="n">
        <v>1</v>
      </c>
      <c r="O27" s="286">
        <f>N27/M27</f>
        <v/>
      </c>
      <c r="P27" s="529">
        <f>G27/N27</f>
        <v/>
      </c>
      <c r="Q27" s="225" t="n">
        <v>1072</v>
      </c>
      <c r="R27" s="546">
        <f>I27/Q27</f>
        <v/>
      </c>
      <c r="S27" s="546">
        <f>(I27/U27)*1000</f>
        <v/>
      </c>
      <c r="T27" s="615" t="n">
        <v>30756</v>
      </c>
      <c r="U27" s="615" t="n">
        <v>51107</v>
      </c>
      <c r="V27" s="286">
        <f>Q27/U27</f>
        <v/>
      </c>
      <c r="W27" s="214" t="s">
        <v>253</v>
      </c>
    </row>
    <row r="28" spans="1:23">
      <c r="A28" t="s">
        <v>44</v>
      </c>
      <c r="B28" t="s">
        <v>259</v>
      </c>
      <c r="C28" t="s">
        <v>229</v>
      </c>
      <c r="D28" t="s">
        <v>261</v>
      </c>
      <c r="E28" s="221" t="n">
        <v>42856</v>
      </c>
      <c r="F28" s="222" t="n">
        <v>42858</v>
      </c>
      <c r="G28" s="529" t="n">
        <v>0</v>
      </c>
      <c r="H28" s="529">
        <f>I28+J28</f>
        <v/>
      </c>
      <c r="I28" s="529" t="n">
        <v>553</v>
      </c>
      <c r="J28" s="529">
        <f>I28*0.085</f>
        <v/>
      </c>
      <c r="K28" s="546">
        <f>G28/I28</f>
        <v/>
      </c>
      <c r="L28" s="546">
        <f>G28/H28</f>
        <v/>
      </c>
      <c r="M28" s="225" t="n">
        <v>2229</v>
      </c>
      <c r="N28" s="615" t="n">
        <v>0</v>
      </c>
      <c r="O28" s="286">
        <f>N28/M28</f>
        <v/>
      </c>
      <c r="P28" s="529">
        <f>G28/N28</f>
        <v/>
      </c>
      <c r="Q28" s="225" t="n">
        <v>2422</v>
      </c>
      <c r="R28" s="546">
        <f>I28/Q28</f>
        <v/>
      </c>
      <c r="S28" s="546">
        <f>(I28/U28)*1000</f>
        <v/>
      </c>
      <c r="T28" s="615" t="n">
        <v>91092</v>
      </c>
      <c r="U28" s="615" t="n">
        <v>130951</v>
      </c>
      <c r="V28" s="286">
        <f>Q28/U28</f>
        <v/>
      </c>
      <c r="W28" s="214" t="s">
        <v>253</v>
      </c>
    </row>
    <row r="29" spans="1:23">
      <c r="A29" t="s">
        <v>44</v>
      </c>
      <c r="B29" t="s">
        <v>259</v>
      </c>
      <c r="C29" t="s">
        <v>229</v>
      </c>
      <c r="D29" t="s">
        <v>262</v>
      </c>
      <c r="E29" s="221" t="n">
        <v>42856</v>
      </c>
      <c r="F29" s="222" t="n">
        <v>42858</v>
      </c>
      <c r="G29" s="529" t="n">
        <v>105</v>
      </c>
      <c r="H29" s="529">
        <f>I29+J29</f>
        <v/>
      </c>
      <c r="I29" s="529" t="n">
        <v>552.55</v>
      </c>
      <c r="J29" s="529">
        <f>I29*0.085</f>
        <v/>
      </c>
      <c r="K29" s="546">
        <f>G29/I29</f>
        <v/>
      </c>
      <c r="L29" s="546">
        <f>G29/H29</f>
        <v/>
      </c>
      <c r="M29" s="225" t="n">
        <v>881</v>
      </c>
      <c r="N29" s="226" t="n">
        <v>2</v>
      </c>
      <c r="O29" s="286">
        <f>N29/M29</f>
        <v/>
      </c>
      <c r="P29" s="529">
        <f>G29/N29</f>
        <v/>
      </c>
      <c r="Q29" s="225" t="n">
        <v>945</v>
      </c>
      <c r="R29" s="546">
        <f>I29/Q29</f>
        <v/>
      </c>
      <c r="S29" s="546">
        <f>(I29/U29)*1000</f>
        <v/>
      </c>
      <c r="T29" s="615" t="n">
        <v>35758</v>
      </c>
      <c r="U29" s="225" t="n">
        <v>58688</v>
      </c>
      <c r="V29" s="286">
        <f>Q29/U29</f>
        <v/>
      </c>
      <c r="W29" s="214" t="s">
        <v>253</v>
      </c>
    </row>
    <row r="30" spans="1:23">
      <c r="A30" t="s">
        <v>44</v>
      </c>
      <c r="B30" t="s">
        <v>259</v>
      </c>
      <c r="C30" t="s">
        <v>229</v>
      </c>
      <c r="D30" s="214" t="s">
        <v>263</v>
      </c>
      <c r="E30" s="221" t="n">
        <v>42856</v>
      </c>
      <c r="F30" s="222" t="n">
        <v>42858</v>
      </c>
      <c r="G30" s="529" t="n">
        <v>189</v>
      </c>
      <c r="H30" s="529">
        <f>I30+J30</f>
        <v/>
      </c>
      <c r="I30" s="529" t="n">
        <v>551.91</v>
      </c>
      <c r="J30" s="529">
        <f>I30*0.085</f>
        <v/>
      </c>
      <c r="K30" s="546">
        <f>G30/I30</f>
        <v/>
      </c>
      <c r="L30" s="546">
        <f>G30/H30</f>
        <v/>
      </c>
      <c r="M30" s="225" t="n">
        <v>537</v>
      </c>
      <c r="N30" s="226" t="n">
        <v>1</v>
      </c>
      <c r="O30" s="286">
        <f>N30/M30</f>
        <v/>
      </c>
      <c r="P30" s="529">
        <f>G30/N30</f>
        <v/>
      </c>
      <c r="Q30" s="225" t="n">
        <v>636</v>
      </c>
      <c r="R30" s="546">
        <f>I30/Q30</f>
        <v/>
      </c>
      <c r="S30" s="546">
        <f>(I30/U30)*1000</f>
        <v/>
      </c>
      <c r="T30" s="615" t="n">
        <v>26487</v>
      </c>
      <c r="U30" s="225" t="n">
        <v>60458</v>
      </c>
      <c r="V30" s="286">
        <f>Q30/U30</f>
        <v/>
      </c>
      <c r="W30" s="214" t="s">
        <v>253</v>
      </c>
    </row>
    <row r="31" spans="1:23">
      <c r="A31" t="s">
        <v>44</v>
      </c>
      <c r="B31" t="s">
        <v>259</v>
      </c>
      <c r="C31" t="s">
        <v>229</v>
      </c>
      <c r="D31" t="s">
        <v>264</v>
      </c>
      <c r="E31" s="221" t="n">
        <v>42856</v>
      </c>
      <c r="F31" s="222" t="n">
        <v>42858</v>
      </c>
      <c r="G31" s="529" t="n">
        <v>110</v>
      </c>
      <c r="H31" s="529">
        <f>I31+J31</f>
        <v/>
      </c>
      <c r="I31" s="529" t="n">
        <v>550.49</v>
      </c>
      <c r="J31" s="529">
        <f>I31*0.085</f>
        <v/>
      </c>
      <c r="K31" s="546">
        <f>G31/I31</f>
        <v/>
      </c>
      <c r="L31" s="546">
        <f>G31/H31</f>
        <v/>
      </c>
      <c r="M31" s="225" t="n">
        <v>597</v>
      </c>
      <c r="N31" s="226" t="n">
        <v>2</v>
      </c>
      <c r="O31" s="286">
        <f>N31/M31</f>
        <v/>
      </c>
      <c r="P31" s="529">
        <f>G31/N31</f>
        <v/>
      </c>
      <c r="Q31" s="225" t="n">
        <v>655</v>
      </c>
      <c r="R31" s="546">
        <f>I31/Q31</f>
        <v/>
      </c>
      <c r="S31" s="546">
        <f>(I31/U31)*1000</f>
        <v/>
      </c>
      <c r="T31" s="615" t="n">
        <v>40311</v>
      </c>
      <c r="U31" s="225" t="n">
        <v>75131</v>
      </c>
      <c r="V31" s="286">
        <f>Q31/U31</f>
        <v/>
      </c>
      <c r="W31" s="214" t="s">
        <v>253</v>
      </c>
    </row>
    <row r="32" s="452" spans="1:23">
      <c r="A32" t="s">
        <v>265</v>
      </c>
      <c r="B32" t="s">
        <v>230</v>
      </c>
      <c r="C32" t="s">
        <v>187</v>
      </c>
      <c r="D32" t="s">
        <v>266</v>
      </c>
      <c r="E32" s="221" t="n">
        <v>42896</v>
      </c>
      <c r="F32" s="222" t="n">
        <v>42897</v>
      </c>
      <c r="G32" s="529" t="n">
        <v>119</v>
      </c>
      <c r="H32" s="529">
        <f>I32+J32</f>
        <v/>
      </c>
      <c r="I32" s="529" t="n">
        <v>512.03</v>
      </c>
      <c r="J32" s="529">
        <f>I32*0.085</f>
        <v/>
      </c>
      <c r="K32" s="546">
        <f>G32/I32</f>
        <v/>
      </c>
      <c r="L32" s="546">
        <f>G32/H32</f>
        <v/>
      </c>
      <c r="M32" s="225">
        <f>955+42</f>
        <v/>
      </c>
      <c r="N32" s="226" t="n">
        <v>2</v>
      </c>
      <c r="O32" s="286">
        <f>N32/M32</f>
        <v/>
      </c>
      <c r="P32" s="529">
        <f>G32/N32</f>
        <v/>
      </c>
      <c r="Q32" s="225" t="n">
        <v>1523</v>
      </c>
      <c r="R32" s="546">
        <f>I32/Q32</f>
        <v/>
      </c>
      <c r="S32" s="546">
        <f>(I32/U32)*1000</f>
        <v/>
      </c>
      <c r="T32" s="635" t="n">
        <v>53245</v>
      </c>
      <c r="U32" s="225" t="n">
        <v>76758</v>
      </c>
      <c r="V32" s="286">
        <f>Q32/U32</f>
        <v/>
      </c>
    </row>
    <row r="33" spans="1:23">
      <c r="A33" t="s">
        <v>265</v>
      </c>
      <c r="B33" t="s">
        <v>230</v>
      </c>
      <c r="C33" t="s">
        <v>187</v>
      </c>
      <c r="D33" t="s">
        <v>267</v>
      </c>
      <c r="E33" s="221" t="n">
        <v>42896</v>
      </c>
      <c r="F33" s="222" t="n">
        <v>42897</v>
      </c>
      <c r="G33" s="529" t="n">
        <v>531</v>
      </c>
      <c r="H33" s="529">
        <f>I33+J33</f>
        <v/>
      </c>
      <c r="I33" s="529" t="n">
        <v>512.03</v>
      </c>
      <c r="J33" s="529">
        <f>I33*0.085</f>
        <v/>
      </c>
      <c r="K33" s="546">
        <f>G33/I33</f>
        <v/>
      </c>
      <c r="L33" s="546">
        <f>G33/H33</f>
        <v/>
      </c>
      <c r="M33" s="225" t="n">
        <v>555</v>
      </c>
      <c r="N33" s="226" t="n">
        <v>3</v>
      </c>
      <c r="O33" s="286">
        <f>N33/M33</f>
        <v/>
      </c>
      <c r="P33" s="529">
        <f>G33/N33</f>
        <v/>
      </c>
      <c r="Q33" s="225" t="n">
        <v>971</v>
      </c>
      <c r="R33" s="546">
        <f>I33/Q33</f>
        <v/>
      </c>
      <c r="S33" s="546">
        <f>(I33/U33)*1000</f>
        <v/>
      </c>
      <c r="T33" s="635" t="n">
        <v>29879</v>
      </c>
      <c r="U33" s="225" t="n">
        <v>48779</v>
      </c>
      <c r="V33" s="286">
        <f>Q33/U33</f>
        <v/>
      </c>
    </row>
    <row r="34" spans="1:23">
      <c r="A34" t="s">
        <v>265</v>
      </c>
      <c r="B34" t="s">
        <v>230</v>
      </c>
      <c r="C34" t="s">
        <v>187</v>
      </c>
      <c r="D34" t="s">
        <v>268</v>
      </c>
      <c r="E34" s="221" t="n">
        <v>42896</v>
      </c>
      <c r="F34" s="222" t="n">
        <v>42897</v>
      </c>
      <c r="G34" s="529" t="n">
        <v>0</v>
      </c>
      <c r="H34" s="529">
        <f>I34+J34</f>
        <v/>
      </c>
      <c r="I34" s="529" t="n">
        <v>452.59</v>
      </c>
      <c r="J34" s="529">
        <f>I34*0.085</f>
        <v/>
      </c>
      <c r="K34" s="546">
        <f>G34/I34</f>
        <v/>
      </c>
      <c r="L34" s="546">
        <f>G34/H34</f>
        <v/>
      </c>
      <c r="M34" t="n">
        <v>90</v>
      </c>
      <c r="N34" s="615" t="n">
        <v>0</v>
      </c>
      <c r="O34" s="286">
        <f>N34/M34</f>
        <v/>
      </c>
      <c r="P34" s="529">
        <f>G34/N34</f>
        <v/>
      </c>
      <c r="Q34" t="n">
        <v>135</v>
      </c>
      <c r="R34" s="546">
        <f>I34/Q34</f>
        <v/>
      </c>
      <c r="S34" s="546">
        <f>(I34/U34)*1000</f>
        <v/>
      </c>
      <c r="T34" s="210" t="n">
        <v>2795</v>
      </c>
      <c r="U34" s="210" t="n">
        <v>7262</v>
      </c>
      <c r="V34" s="286">
        <f>Q34/U34</f>
        <v/>
      </c>
    </row>
    <row r="35" spans="1:23">
      <c r="A35" t="s">
        <v>265</v>
      </c>
      <c r="B35" t="s">
        <v>230</v>
      </c>
      <c r="C35" t="s">
        <v>187</v>
      </c>
      <c r="D35" t="s">
        <v>269</v>
      </c>
      <c r="E35" s="221" t="n">
        <v>42896</v>
      </c>
      <c r="F35" s="222" t="n">
        <v>42897</v>
      </c>
      <c r="G35" s="529" t="n">
        <v>0</v>
      </c>
      <c r="H35" s="529">
        <f>I35+J35</f>
        <v/>
      </c>
      <c r="I35" s="529" t="n">
        <v>407.84</v>
      </c>
      <c r="J35" s="529">
        <f>I35*0.085</f>
        <v/>
      </c>
      <c r="K35" s="546">
        <f>G35/I35</f>
        <v/>
      </c>
      <c r="L35" s="546">
        <f>G35/H35</f>
        <v/>
      </c>
      <c r="M35" t="n">
        <v>52</v>
      </c>
      <c r="N35" s="615" t="n">
        <v>0</v>
      </c>
      <c r="O35" s="286">
        <f>N35/M35</f>
        <v/>
      </c>
      <c r="P35" s="529">
        <f>G35/N35</f>
        <v/>
      </c>
      <c r="Q35" t="n">
        <v>106</v>
      </c>
      <c r="R35" s="546">
        <f>I35/Q35</f>
        <v/>
      </c>
      <c r="S35" s="546">
        <f>(I35/U35)*1000</f>
        <v/>
      </c>
      <c r="T35" s="210" t="n">
        <v>5022</v>
      </c>
      <c r="U35" s="210" t="n">
        <v>13224</v>
      </c>
      <c r="V35" s="286">
        <f>Q35/U35</f>
        <v/>
      </c>
    </row>
    <row r="36" spans="1:23">
      <c r="A36" t="s">
        <v>265</v>
      </c>
      <c r="B36" t="s">
        <v>230</v>
      </c>
      <c r="C36" t="s">
        <v>187</v>
      </c>
      <c r="D36" t="s">
        <v>270</v>
      </c>
      <c r="E36" s="221" t="n">
        <v>42896</v>
      </c>
      <c r="F36" s="222" t="n">
        <v>42897</v>
      </c>
      <c r="G36" s="529" t="n">
        <v>69</v>
      </c>
      <c r="H36" s="529">
        <f>I36+J36</f>
        <v/>
      </c>
      <c r="I36" s="529" t="n">
        <v>399.88</v>
      </c>
      <c r="J36" s="529">
        <f>I36*0.085</f>
        <v/>
      </c>
      <c r="K36" s="546">
        <f>G36/I36</f>
        <v/>
      </c>
      <c r="L36" s="546">
        <f>G36/H36</f>
        <v/>
      </c>
      <c r="M36" t="n">
        <v>107</v>
      </c>
      <c r="N36" s="219" t="n">
        <v>1</v>
      </c>
      <c r="O36" s="286">
        <f>N36/M36</f>
        <v/>
      </c>
      <c r="P36" s="529">
        <f>G36/N36</f>
        <v/>
      </c>
      <c r="Q36" t="n">
        <v>151</v>
      </c>
      <c r="R36" s="546">
        <f>I36/Q36</f>
        <v/>
      </c>
      <c r="S36" s="546">
        <f>(I36/U36)*1000</f>
        <v/>
      </c>
      <c r="T36" s="210" t="n">
        <v>3085</v>
      </c>
      <c r="U36" s="210" t="n">
        <v>8215</v>
      </c>
      <c r="V36" s="286">
        <f>Q36/U36</f>
        <v/>
      </c>
    </row>
    <row r="37" spans="1:23">
      <c r="A37" t="s">
        <v>265</v>
      </c>
      <c r="B37" t="s">
        <v>230</v>
      </c>
      <c r="C37" t="s">
        <v>187</v>
      </c>
      <c r="D37" t="s">
        <v>271</v>
      </c>
      <c r="E37" s="221" t="n">
        <v>42896</v>
      </c>
      <c r="F37" s="222" t="n">
        <v>42897</v>
      </c>
      <c r="G37" s="529" t="n">
        <v>198</v>
      </c>
      <c r="H37" s="529">
        <f>I37+J37</f>
        <v/>
      </c>
      <c r="I37" s="529" t="n">
        <v>370.58</v>
      </c>
      <c r="J37" s="529">
        <f>I37*0.085</f>
        <v/>
      </c>
      <c r="K37" s="546">
        <f>G37/I37</f>
        <v/>
      </c>
      <c r="L37" s="546">
        <f>G37/H37</f>
        <v/>
      </c>
      <c r="M37" t="n">
        <v>79</v>
      </c>
      <c r="N37" s="219" t="n">
        <v>1</v>
      </c>
      <c r="O37" s="286">
        <f>N37/M37</f>
        <v/>
      </c>
      <c r="P37" s="529">
        <f>G37/N37</f>
        <v/>
      </c>
      <c r="Q37" t="n">
        <v>107</v>
      </c>
      <c r="R37" s="546">
        <f>I37/Q37</f>
        <v/>
      </c>
      <c r="S37" s="546">
        <f>(I37/U37)*1000</f>
        <v/>
      </c>
      <c r="T37" s="635" t="n">
        <v>4493</v>
      </c>
      <c r="U37" s="210" t="n">
        <v>10914</v>
      </c>
      <c r="V37" s="286">
        <f>Q37/U37</f>
        <v/>
      </c>
    </row>
    <row r="38" spans="1:23">
      <c r="A38" t="s">
        <v>265</v>
      </c>
      <c r="B38" t="s">
        <v>230</v>
      </c>
      <c r="C38" t="s">
        <v>187</v>
      </c>
      <c r="D38" t="s">
        <v>272</v>
      </c>
      <c r="E38" s="221" t="n">
        <v>42896</v>
      </c>
      <c r="F38" s="222" t="n">
        <v>42897</v>
      </c>
      <c r="G38" s="529" t="n">
        <v>0</v>
      </c>
      <c r="H38" s="529">
        <f>I38+J38</f>
        <v/>
      </c>
      <c r="I38" s="529" t="n">
        <v>221.18</v>
      </c>
      <c r="J38" s="529">
        <f>I38*0.085</f>
        <v/>
      </c>
      <c r="K38" s="546">
        <f>G38/I38</f>
        <v/>
      </c>
      <c r="L38" s="546">
        <f>G38/H38</f>
        <v/>
      </c>
      <c r="M38" t="n">
        <v>43</v>
      </c>
      <c r="N38" s="615" t="n">
        <v>0</v>
      </c>
      <c r="O38" s="286">
        <f>N38/M38</f>
        <v/>
      </c>
      <c r="P38" s="529">
        <f>G38/N38</f>
        <v/>
      </c>
      <c r="Q38" t="n">
        <v>76</v>
      </c>
      <c r="R38" s="546">
        <f>I38/Q38</f>
        <v/>
      </c>
      <c r="S38" s="546">
        <f>(I38/U38)*1000</f>
        <v/>
      </c>
      <c r="T38" s="210" t="n">
        <v>2044</v>
      </c>
      <c r="U38" s="210" t="n">
        <v>4884</v>
      </c>
      <c r="V38" s="286">
        <f>Q38/U38</f>
        <v/>
      </c>
    </row>
    <row r="39" spans="1:23">
      <c r="A39" t="s">
        <v>265</v>
      </c>
      <c r="B39" t="s">
        <v>230</v>
      </c>
      <c r="C39" t="s">
        <v>187</v>
      </c>
      <c r="D39" t="s">
        <v>273</v>
      </c>
      <c r="E39" s="221" t="n">
        <v>42896</v>
      </c>
      <c r="F39" s="222" t="n">
        <v>42897</v>
      </c>
      <c r="G39" s="529" t="n">
        <v>0</v>
      </c>
      <c r="H39" s="529">
        <f>I39+J39</f>
        <v/>
      </c>
      <c r="I39" s="529" t="n">
        <v>199.72</v>
      </c>
      <c r="J39" s="529">
        <f>I39*0.085</f>
        <v/>
      </c>
      <c r="K39" s="546">
        <f>G39/I39</f>
        <v/>
      </c>
      <c r="L39" s="546">
        <f>G39/H39</f>
        <v/>
      </c>
      <c r="M39" t="n">
        <v>32</v>
      </c>
      <c r="N39" s="615" t="n">
        <v>0</v>
      </c>
      <c r="O39" s="286">
        <f>N39/M39</f>
        <v/>
      </c>
      <c r="P39" s="529">
        <f>G39/N39</f>
        <v/>
      </c>
      <c r="Q39" t="n">
        <v>72</v>
      </c>
      <c r="R39" s="546">
        <f>I39/Q39</f>
        <v/>
      </c>
      <c r="S39" s="546">
        <f>(I39/U39)*1000</f>
        <v/>
      </c>
      <c r="T39" s="210" t="n">
        <v>2222</v>
      </c>
      <c r="U39" s="210" t="n">
        <v>4616</v>
      </c>
      <c r="V39" s="286">
        <f>Q39/U39</f>
        <v/>
      </c>
    </row>
    <row r="40" spans="1:23">
      <c r="A40" t="s">
        <v>265</v>
      </c>
      <c r="B40" t="s">
        <v>230</v>
      </c>
      <c r="C40" t="s">
        <v>187</v>
      </c>
      <c r="D40" t="s">
        <v>274</v>
      </c>
      <c r="E40" s="221" t="n">
        <v>42896</v>
      </c>
      <c r="F40" s="222" t="n">
        <v>42897</v>
      </c>
      <c r="G40" s="529" t="n">
        <v>0</v>
      </c>
      <c r="H40" s="529">
        <f>I40+J40</f>
        <v/>
      </c>
      <c r="I40" s="529" t="n">
        <v>67.27</v>
      </c>
      <c r="J40" s="529">
        <f>I40*0.085</f>
        <v/>
      </c>
      <c r="K40" s="546">
        <f>G40/I40</f>
        <v/>
      </c>
      <c r="L40" s="546">
        <f>G40/H40</f>
        <v/>
      </c>
      <c r="M40" t="n">
        <v>24</v>
      </c>
      <c r="N40" s="615" t="n">
        <v>0</v>
      </c>
      <c r="O40" s="286">
        <f>N40/M40</f>
        <v/>
      </c>
      <c r="P40" s="529">
        <f>G40/N40</f>
        <v/>
      </c>
      <c r="Q40" t="n">
        <v>31</v>
      </c>
      <c r="R40" s="546">
        <f>I40/Q40</f>
        <v/>
      </c>
      <c r="S40" s="546">
        <f>(I40/U40)*1000</f>
        <v/>
      </c>
      <c r="T40" s="210" t="n">
        <v>1445</v>
      </c>
      <c r="U40" s="210" t="n">
        <v>2515</v>
      </c>
      <c r="V40" s="286">
        <f>Q40/U40</f>
        <v/>
      </c>
    </row>
    <row r="41" spans="1:23">
      <c r="A41" s="247" t="s">
        <v>46</v>
      </c>
      <c r="B41" s="247" t="s">
        <v>232</v>
      </c>
      <c r="C41" s="247" t="s">
        <v>275</v>
      </c>
      <c r="D41" s="247" t="s">
        <v>276</v>
      </c>
      <c r="E41" s="248" t="n">
        <v>42910</v>
      </c>
      <c r="F41" s="249" t="n">
        <v>42915</v>
      </c>
      <c r="G41" s="629" t="n">
        <v>0</v>
      </c>
      <c r="H41" s="629">
        <f>I41+J41</f>
        <v/>
      </c>
      <c r="I41" s="629" t="n">
        <v>691.24</v>
      </c>
      <c r="J41" s="629">
        <f>I41*0.085</f>
        <v/>
      </c>
      <c r="K41" s="630">
        <f>G41/I41</f>
        <v/>
      </c>
      <c r="L41" s="630">
        <f>G41/H41</f>
        <v/>
      </c>
      <c r="M41" s="252" t="s">
        <v>277</v>
      </c>
      <c r="N41" s="615" t="n">
        <v>0</v>
      </c>
      <c r="O41" s="286">
        <f>O40/O39</f>
        <v/>
      </c>
      <c r="P41" s="529">
        <f>G41/N41</f>
        <v/>
      </c>
      <c r="Q41" s="247" t="n">
        <v>647</v>
      </c>
      <c r="R41" s="630">
        <f>I41/Q41</f>
        <v/>
      </c>
      <c r="S41" s="630">
        <f>(I41/U41)*1000</f>
        <v/>
      </c>
      <c r="T41" s="254" t="n">
        <v>51491</v>
      </c>
      <c r="U41" s="254" t="n">
        <v>131359</v>
      </c>
      <c r="V41" s="253">
        <f>Q41/U41</f>
        <v/>
      </c>
    </row>
    <row r="42" spans="1:23">
      <c r="A42" s="247" t="s">
        <v>46</v>
      </c>
      <c r="B42" s="247" t="s">
        <v>232</v>
      </c>
      <c r="C42" s="247" t="s">
        <v>275</v>
      </c>
      <c r="D42" s="247" t="s">
        <v>278</v>
      </c>
      <c r="E42" s="248" t="n">
        <v>42910</v>
      </c>
      <c r="F42" s="249" t="n">
        <v>42915</v>
      </c>
      <c r="G42" s="629" t="n">
        <v>0</v>
      </c>
      <c r="H42" s="629">
        <f>I42+J42</f>
        <v/>
      </c>
      <c r="I42" s="629" t="n">
        <v>691.24</v>
      </c>
      <c r="J42" s="629">
        <f>I42*0.085</f>
        <v/>
      </c>
      <c r="K42" s="630">
        <f>G42/I42</f>
        <v/>
      </c>
      <c r="L42" s="630">
        <f>G42/H42</f>
        <v/>
      </c>
      <c r="M42" s="252" t="s">
        <v>277</v>
      </c>
      <c r="N42" s="615" t="n">
        <v>0</v>
      </c>
      <c r="O42" s="286">
        <f>O41/O40</f>
        <v/>
      </c>
      <c r="P42" s="529">
        <f>G42/N42</f>
        <v/>
      </c>
      <c r="Q42" s="247" t="n">
        <v>725</v>
      </c>
      <c r="R42" s="630">
        <f>I42/Q42</f>
        <v/>
      </c>
      <c r="S42" s="630">
        <f>(I42/U42)*1000</f>
        <v/>
      </c>
      <c r="T42" s="254" t="n">
        <v>43776</v>
      </c>
      <c r="U42" s="254" t="n">
        <v>61149</v>
      </c>
      <c r="V42" s="253">
        <f>Q42/U42</f>
        <v/>
      </c>
    </row>
    <row r="43" spans="1:23">
      <c r="A43" s="247" t="s">
        <v>46</v>
      </c>
      <c r="B43" s="247" t="s">
        <v>232</v>
      </c>
      <c r="C43" s="247" t="s">
        <v>275</v>
      </c>
      <c r="D43" s="247" t="s">
        <v>279</v>
      </c>
      <c r="E43" s="248" t="n">
        <v>42910</v>
      </c>
      <c r="F43" s="249" t="n">
        <v>42915</v>
      </c>
      <c r="G43" s="629" t="n">
        <v>0</v>
      </c>
      <c r="H43" s="629">
        <f>I43+J43</f>
        <v/>
      </c>
      <c r="I43" s="629" t="n">
        <v>691.24</v>
      </c>
      <c r="J43" s="629">
        <f>I43*0.085</f>
        <v/>
      </c>
      <c r="K43" s="630">
        <f>G43/I43</f>
        <v/>
      </c>
      <c r="L43" s="630">
        <f>G43/H43</f>
        <v/>
      </c>
      <c r="M43" s="252" t="s">
        <v>277</v>
      </c>
      <c r="N43" s="615" t="n">
        <v>0</v>
      </c>
      <c r="O43" s="286">
        <f>O42/O41</f>
        <v/>
      </c>
      <c r="P43" s="529">
        <f>G43/N43</f>
        <v/>
      </c>
      <c r="Q43" s="247" t="n">
        <v>719</v>
      </c>
      <c r="R43" s="630">
        <f>I43/Q43</f>
        <v/>
      </c>
      <c r="S43" s="630">
        <f>(I43/U43)*1000</f>
        <v/>
      </c>
      <c r="T43" s="254" t="n">
        <v>53857</v>
      </c>
      <c r="U43" s="254" t="n">
        <v>66775</v>
      </c>
      <c r="V43" s="253">
        <f>Q43/U43</f>
        <v/>
      </c>
    </row>
    <row r="44" spans="1:23">
      <c r="A44" s="247" t="s">
        <v>46</v>
      </c>
      <c r="B44" s="247" t="s">
        <v>232</v>
      </c>
      <c r="C44" s="247" t="s">
        <v>275</v>
      </c>
      <c r="D44" s="247" t="s">
        <v>267</v>
      </c>
      <c r="E44" s="248" t="n">
        <v>42910</v>
      </c>
      <c r="F44" s="249" t="n">
        <v>42915</v>
      </c>
      <c r="G44" s="629" t="n">
        <v>0</v>
      </c>
      <c r="H44" s="629">
        <f>I44+J44</f>
        <v/>
      </c>
      <c r="I44" s="629" t="n">
        <v>691.24</v>
      </c>
      <c r="J44" s="629">
        <f>I44*0.085</f>
        <v/>
      </c>
      <c r="K44" s="630">
        <f>G44/I44</f>
        <v/>
      </c>
      <c r="L44" s="630">
        <f>G44/H44</f>
        <v/>
      </c>
      <c r="M44" s="252" t="s">
        <v>277</v>
      </c>
      <c r="N44" s="615" t="n">
        <v>0</v>
      </c>
      <c r="O44" s="286">
        <f>O43/O42</f>
        <v/>
      </c>
      <c r="P44" s="529">
        <f>G44/N44</f>
        <v/>
      </c>
      <c r="Q44" s="247" t="n">
        <v>652</v>
      </c>
      <c r="R44" s="630">
        <f>I44/Q44</f>
        <v/>
      </c>
      <c r="S44" s="630">
        <f>(I44/U44)*1000</f>
        <v/>
      </c>
      <c r="T44" s="254" t="n">
        <v>22394</v>
      </c>
      <c r="U44" s="254" t="n">
        <v>53115</v>
      </c>
      <c r="V44" s="253">
        <f>Q44/U44</f>
        <v/>
      </c>
    </row>
    <row r="45" spans="1:23">
      <c r="A45" s="247" t="s">
        <v>46</v>
      </c>
      <c r="B45" s="247" t="s">
        <v>232</v>
      </c>
      <c r="C45" s="247" t="s">
        <v>275</v>
      </c>
      <c r="D45" s="247" t="s">
        <v>280</v>
      </c>
      <c r="E45" s="248" t="n">
        <v>42910</v>
      </c>
      <c r="F45" s="249" t="n">
        <v>42915</v>
      </c>
      <c r="G45" s="629" t="n">
        <v>0</v>
      </c>
      <c r="H45" s="629">
        <f>I45+J45</f>
        <v/>
      </c>
      <c r="I45" s="629" t="n">
        <v>690.95</v>
      </c>
      <c r="J45" s="629">
        <f>I45*0.085</f>
        <v/>
      </c>
      <c r="K45" s="630">
        <f>G45/I45</f>
        <v/>
      </c>
      <c r="L45" s="630">
        <f>G45/H45</f>
        <v/>
      </c>
      <c r="M45" s="252" t="s">
        <v>277</v>
      </c>
      <c r="N45" s="615" t="n">
        <v>0</v>
      </c>
      <c r="O45" s="286">
        <f>O44/O43</f>
        <v/>
      </c>
      <c r="P45" s="529">
        <f>G45/N45</f>
        <v/>
      </c>
      <c r="Q45" s="247" t="n">
        <v>649</v>
      </c>
      <c r="R45" s="630">
        <f>I45/Q45</f>
        <v/>
      </c>
      <c r="S45" s="630">
        <f>(I45/U45)*1000</f>
        <v/>
      </c>
      <c r="T45" s="254" t="n">
        <v>49253</v>
      </c>
      <c r="U45" s="254" t="n">
        <v>67062</v>
      </c>
      <c r="V45" s="253">
        <f>Q45/U45</f>
        <v/>
      </c>
    </row>
    <row r="46" spans="1:23">
      <c r="A46" s="247" t="s">
        <v>46</v>
      </c>
      <c r="B46" s="247" t="s">
        <v>232</v>
      </c>
      <c r="C46" s="247" t="s">
        <v>275</v>
      </c>
      <c r="D46" s="247" t="s">
        <v>281</v>
      </c>
      <c r="E46" s="248" t="n">
        <v>42910</v>
      </c>
      <c r="F46" s="249" t="n">
        <v>42915</v>
      </c>
      <c r="G46" s="629" t="n">
        <v>0</v>
      </c>
      <c r="H46" s="629">
        <f>I46+J46</f>
        <v/>
      </c>
      <c r="I46" s="629" t="n">
        <v>690.27</v>
      </c>
      <c r="J46" s="629">
        <f>I46*0.085</f>
        <v/>
      </c>
      <c r="K46" s="630">
        <f>G46/I46</f>
        <v/>
      </c>
      <c r="L46" s="630">
        <f>G46/H46</f>
        <v/>
      </c>
      <c r="M46" s="252" t="s">
        <v>277</v>
      </c>
      <c r="N46" s="615" t="n">
        <v>0</v>
      </c>
      <c r="O46" s="286">
        <f>O45/O44</f>
        <v/>
      </c>
      <c r="P46" s="529">
        <f>G46/N46</f>
        <v/>
      </c>
      <c r="Q46" s="247" t="n">
        <v>824</v>
      </c>
      <c r="R46" s="630">
        <f>I46/Q46</f>
        <v/>
      </c>
      <c r="S46" s="630">
        <f>(I46/U46)*1000</f>
        <v/>
      </c>
      <c r="T46" s="254" t="n">
        <v>44606</v>
      </c>
      <c r="U46" s="254" t="n">
        <v>66700</v>
      </c>
      <c r="V46" s="253">
        <f>Q46/U46</f>
        <v/>
      </c>
    </row>
    <row r="47" spans="1:23">
      <c r="A47" s="247" t="s">
        <v>46</v>
      </c>
      <c r="B47" s="247" t="s">
        <v>232</v>
      </c>
      <c r="C47" s="247" t="s">
        <v>275</v>
      </c>
      <c r="D47" s="247" t="s">
        <v>282</v>
      </c>
      <c r="E47" s="248" t="n">
        <v>42910</v>
      </c>
      <c r="F47" s="249" t="n">
        <v>42915</v>
      </c>
      <c r="G47" s="629" t="n">
        <v>0</v>
      </c>
      <c r="H47" s="629">
        <f>I47+J47</f>
        <v/>
      </c>
      <c r="I47" s="629" t="n">
        <v>690.48</v>
      </c>
      <c r="J47" s="629">
        <f>I47*0.085</f>
        <v/>
      </c>
      <c r="K47" s="630">
        <f>G47/I47</f>
        <v/>
      </c>
      <c r="L47" s="630">
        <f>G47/H47</f>
        <v/>
      </c>
      <c r="M47" s="252" t="s">
        <v>277</v>
      </c>
      <c r="N47" s="615" t="n">
        <v>0</v>
      </c>
      <c r="O47" s="286">
        <f>O46/O45</f>
        <v/>
      </c>
      <c r="P47" s="529">
        <f>G47/N47</f>
        <v/>
      </c>
      <c r="Q47" s="247" t="n">
        <v>605</v>
      </c>
      <c r="R47" s="630">
        <f>I47/Q47</f>
        <v/>
      </c>
      <c r="S47" s="630">
        <f>(I47/U47)*1000</f>
        <v/>
      </c>
      <c r="T47" s="254" t="n">
        <v>42883</v>
      </c>
      <c r="U47" s="254" t="n">
        <v>61593</v>
      </c>
      <c r="V47" s="253">
        <f>Q47/U47</f>
        <v/>
      </c>
    </row>
    <row r="48" spans="1:23">
      <c r="A48" s="247" t="s">
        <v>46</v>
      </c>
      <c r="B48" s="247" t="s">
        <v>232</v>
      </c>
      <c r="C48" s="247" t="s">
        <v>275</v>
      </c>
      <c r="D48" s="247" t="s">
        <v>283</v>
      </c>
      <c r="E48" s="248" t="n">
        <v>42910</v>
      </c>
      <c r="F48" s="249" t="n">
        <v>42915</v>
      </c>
      <c r="G48" s="629" t="n">
        <v>0</v>
      </c>
      <c r="H48" s="629">
        <f>I48+J48</f>
        <v/>
      </c>
      <c r="I48" s="629" t="n">
        <v>689.35</v>
      </c>
      <c r="J48" s="629">
        <f>I48*0.085</f>
        <v/>
      </c>
      <c r="K48" s="630">
        <f>G48/I48</f>
        <v/>
      </c>
      <c r="L48" s="630">
        <f>G48/H48</f>
        <v/>
      </c>
      <c r="M48" s="252" t="s">
        <v>277</v>
      </c>
      <c r="N48" s="615" t="n">
        <v>0</v>
      </c>
      <c r="O48" s="286">
        <f>O47/O46</f>
        <v/>
      </c>
      <c r="P48" s="529">
        <f>G48/N48</f>
        <v/>
      </c>
      <c r="Q48" s="247" t="n">
        <v>670</v>
      </c>
      <c r="R48" s="630">
        <f>I48/Q48</f>
        <v/>
      </c>
      <c r="S48" s="630">
        <f>(I48/U48)*1000</f>
        <v/>
      </c>
      <c r="T48" s="254" t="n">
        <v>47859</v>
      </c>
      <c r="U48" s="254" t="n">
        <v>64016</v>
      </c>
      <c r="V48" s="253">
        <f>Q48/U48</f>
        <v/>
      </c>
    </row>
    <row r="49" spans="1:23">
      <c r="A49" t="s">
        <v>233</v>
      </c>
      <c r="B49" t="s">
        <v>111</v>
      </c>
      <c r="C49" t="s">
        <v>187</v>
      </c>
      <c r="D49" s="268" t="s">
        <v>284</v>
      </c>
      <c r="E49" s="221" t="n">
        <v>42936</v>
      </c>
      <c r="F49" s="222" t="n">
        <v>42938</v>
      </c>
      <c r="G49" s="529" t="n">
        <v>180</v>
      </c>
      <c r="H49" s="636">
        <f>I49+J49</f>
        <v/>
      </c>
      <c r="I49" s="636" t="n">
        <v>284</v>
      </c>
      <c r="J49" s="636">
        <f>I49*0.085</f>
        <v/>
      </c>
      <c r="K49" s="546">
        <f>G49/I49</f>
        <v/>
      </c>
      <c r="L49" s="546">
        <f>G49/H49</f>
        <v/>
      </c>
      <c r="M49" t="n">
        <v>298</v>
      </c>
      <c r="N49" s="219" t="n">
        <v>1</v>
      </c>
      <c r="O49" s="286">
        <f>N49/M49</f>
        <v/>
      </c>
      <c r="P49" s="529">
        <f>G49/N49</f>
        <v/>
      </c>
      <c r="Q49" s="615" t="n">
        <v>296</v>
      </c>
      <c r="R49" s="546">
        <f>I49/Q49</f>
        <v/>
      </c>
      <c r="S49" s="546">
        <f>(I49/U49)*1000</f>
        <v/>
      </c>
      <c r="T49" s="615" t="n">
        <v>16683</v>
      </c>
      <c r="U49" s="615" t="n">
        <v>20596</v>
      </c>
      <c r="V49" s="286">
        <f>Q49/U49</f>
        <v/>
      </c>
    </row>
    <row r="50" spans="1:23">
      <c r="A50" t="s">
        <v>233</v>
      </c>
      <c r="B50" t="s">
        <v>111</v>
      </c>
      <c r="C50" t="s">
        <v>187</v>
      </c>
      <c r="D50" s="268" t="s">
        <v>285</v>
      </c>
      <c r="E50" s="221" t="n">
        <v>42936</v>
      </c>
      <c r="F50" s="222" t="n">
        <v>42938</v>
      </c>
      <c r="G50" s="529" t="n">
        <v>86</v>
      </c>
      <c r="H50" s="636">
        <f>I50+J50</f>
        <v/>
      </c>
      <c r="I50" s="636" t="n">
        <v>284</v>
      </c>
      <c r="J50" s="636">
        <f>I50*0.085</f>
        <v/>
      </c>
      <c r="K50" s="546">
        <f>G50/I50</f>
        <v/>
      </c>
      <c r="L50" s="546">
        <f>G50/H50</f>
        <v/>
      </c>
      <c r="M50" t="n">
        <v>369</v>
      </c>
      <c r="N50" s="219" t="n">
        <v>1</v>
      </c>
      <c r="O50" s="286">
        <f>N50/M50</f>
        <v/>
      </c>
      <c r="P50" s="529">
        <f>G50/N50</f>
        <v/>
      </c>
      <c r="Q50" s="615" t="n">
        <v>371</v>
      </c>
      <c r="R50" s="546">
        <f>I50/Q50</f>
        <v/>
      </c>
      <c r="S50" s="546">
        <f>(I50/U50)*1000</f>
        <v/>
      </c>
      <c r="T50" s="615" t="n">
        <v>29567</v>
      </c>
      <c r="U50" s="615" t="n">
        <v>33324</v>
      </c>
      <c r="V50" s="286">
        <f>Q50/U50</f>
        <v/>
      </c>
    </row>
    <row r="51" spans="1:23">
      <c r="A51" t="s">
        <v>233</v>
      </c>
      <c r="B51" t="s">
        <v>111</v>
      </c>
      <c r="C51" t="s">
        <v>187</v>
      </c>
      <c r="D51" s="268" t="s">
        <v>286</v>
      </c>
      <c r="E51" s="221" t="n">
        <v>42936</v>
      </c>
      <c r="F51" s="222" t="n">
        <v>42938</v>
      </c>
      <c r="G51" s="529" t="n">
        <v>0</v>
      </c>
      <c r="H51" s="636">
        <f>I51+J51</f>
        <v/>
      </c>
      <c r="I51" s="636" t="n">
        <v>283.99</v>
      </c>
      <c r="J51" s="636">
        <f>I51*0.085</f>
        <v/>
      </c>
      <c r="K51" s="546">
        <f>G51/I51</f>
        <v/>
      </c>
      <c r="L51" s="546">
        <f>G51/H51</f>
        <v/>
      </c>
      <c r="M51" t="n">
        <v>388</v>
      </c>
      <c r="N51" s="615" t="n">
        <v>0</v>
      </c>
      <c r="O51" s="286" t="n">
        <v>0</v>
      </c>
      <c r="P51" s="529">
        <f>G51/N51</f>
        <v/>
      </c>
      <c r="Q51" s="615" t="n">
        <v>459</v>
      </c>
      <c r="R51" s="546">
        <f>I51/Q51</f>
        <v/>
      </c>
      <c r="S51" s="546">
        <f>(I51/U51)*1000</f>
        <v/>
      </c>
      <c r="T51" s="615" t="n">
        <v>65753</v>
      </c>
      <c r="U51" s="615" t="n">
        <v>72940</v>
      </c>
      <c r="V51" s="286">
        <f>Q51/U51</f>
        <v/>
      </c>
    </row>
    <row r="52" spans="1:23">
      <c r="A52" t="s">
        <v>233</v>
      </c>
      <c r="B52" t="s">
        <v>111</v>
      </c>
      <c r="C52" t="s">
        <v>187</v>
      </c>
      <c r="D52" s="268" t="s">
        <v>287</v>
      </c>
      <c r="E52" s="221" t="n">
        <v>42936</v>
      </c>
      <c r="F52" s="222" t="n">
        <v>42938</v>
      </c>
      <c r="G52" s="529" t="n">
        <v>0</v>
      </c>
      <c r="H52" s="636">
        <f>I52+J52</f>
        <v/>
      </c>
      <c r="I52" s="636" t="n">
        <v>283.57</v>
      </c>
      <c r="J52" s="636">
        <f>I52*0.085</f>
        <v/>
      </c>
      <c r="K52" s="546">
        <f>G52/I52</f>
        <v/>
      </c>
      <c r="L52" s="546">
        <f>G52/H52</f>
        <v/>
      </c>
      <c r="M52" t="n">
        <v>418</v>
      </c>
      <c r="N52" s="615" t="n">
        <v>0</v>
      </c>
      <c r="O52" s="286">
        <f>N52/M52</f>
        <v/>
      </c>
      <c r="P52" s="529">
        <f>G52/N52</f>
        <v/>
      </c>
      <c r="Q52" s="615" t="n">
        <v>487</v>
      </c>
      <c r="R52" s="546">
        <f>I52/Q52</f>
        <v/>
      </c>
      <c r="S52" s="546">
        <f>(I52/U52)*1000</f>
        <v/>
      </c>
      <c r="T52" s="615" t="n">
        <v>56764</v>
      </c>
      <c r="U52" s="615" t="n">
        <v>62994</v>
      </c>
      <c r="V52" s="286">
        <f>Q52/U52</f>
        <v/>
      </c>
    </row>
    <row r="53" spans="1:23">
      <c r="A53" t="s">
        <v>233</v>
      </c>
      <c r="B53" t="s">
        <v>111</v>
      </c>
      <c r="C53" t="s">
        <v>187</v>
      </c>
      <c r="D53" s="268" t="s">
        <v>288</v>
      </c>
      <c r="E53" s="221" t="n">
        <v>42936</v>
      </c>
      <c r="F53" s="222" t="n">
        <v>42938</v>
      </c>
      <c r="G53" s="529" t="n">
        <v>0</v>
      </c>
      <c r="H53" s="636">
        <f>I53+J53</f>
        <v/>
      </c>
      <c r="I53" s="636" t="n">
        <v>275.29</v>
      </c>
      <c r="J53" s="636">
        <f>I53*0.085</f>
        <v/>
      </c>
      <c r="K53" s="546">
        <f>G53/I53</f>
        <v/>
      </c>
      <c r="L53" s="546">
        <f>G53/H53</f>
        <v/>
      </c>
      <c r="M53" t="n">
        <v>190</v>
      </c>
      <c r="N53" s="615" t="n">
        <v>0</v>
      </c>
      <c r="O53" s="286">
        <f>N53/M53</f>
        <v/>
      </c>
      <c r="P53" s="529">
        <f>G53/N53</f>
        <v/>
      </c>
      <c r="Q53" s="615" t="n">
        <v>151</v>
      </c>
      <c r="R53" s="546">
        <f>I53/Q53</f>
        <v/>
      </c>
      <c r="S53" s="546">
        <f>(I53/U53)*1000</f>
        <v/>
      </c>
      <c r="T53" s="615" t="n">
        <v>8697</v>
      </c>
      <c r="U53" s="615" t="n">
        <v>11003</v>
      </c>
      <c r="V53" s="286">
        <f>Q53/U53</f>
        <v/>
      </c>
    </row>
    <row r="54" spans="1:23">
      <c r="A54" t="s">
        <v>233</v>
      </c>
      <c r="B54" t="s">
        <v>111</v>
      </c>
      <c r="C54" t="s">
        <v>187</v>
      </c>
      <c r="D54" s="268" t="s">
        <v>289</v>
      </c>
      <c r="E54" s="221" t="n">
        <v>42936</v>
      </c>
      <c r="F54" s="222" t="n">
        <v>42938</v>
      </c>
      <c r="G54" s="529" t="n">
        <v>166</v>
      </c>
      <c r="H54" s="636">
        <f>I54+J54</f>
        <v/>
      </c>
      <c r="I54" s="636" t="n">
        <v>264.35</v>
      </c>
      <c r="J54" s="636">
        <f>I54*0.085</f>
        <v/>
      </c>
      <c r="K54" s="546">
        <f>G54/I54</f>
        <v/>
      </c>
      <c r="L54" s="546">
        <f>G54/H54</f>
        <v/>
      </c>
      <c r="M54" t="n">
        <v>198</v>
      </c>
      <c r="N54" s="219" t="n">
        <v>1</v>
      </c>
      <c r="O54" s="286">
        <f>N54/M54</f>
        <v/>
      </c>
      <c r="P54" s="529">
        <f>G54/N54</f>
        <v/>
      </c>
      <c r="Q54" s="615" t="n">
        <v>182</v>
      </c>
      <c r="R54" s="546">
        <f>I54/Q54</f>
        <v/>
      </c>
      <c r="S54" s="546">
        <f>(I54/U54)*1000</f>
        <v/>
      </c>
      <c r="T54" s="615" t="n">
        <v>8566</v>
      </c>
      <c r="U54" s="615" t="n">
        <v>10905</v>
      </c>
      <c r="V54" s="286">
        <f>Q54/U54</f>
        <v/>
      </c>
    </row>
    <row r="55" spans="1:23">
      <c r="A55" t="s">
        <v>233</v>
      </c>
      <c r="B55" t="s">
        <v>111</v>
      </c>
      <c r="C55" t="s">
        <v>187</v>
      </c>
      <c r="D55" t="s">
        <v>290</v>
      </c>
      <c r="E55" s="221" t="n">
        <v>42936</v>
      </c>
      <c r="F55" s="222" t="n">
        <v>42938</v>
      </c>
      <c r="G55" s="529" t="n">
        <v>0</v>
      </c>
      <c r="H55" s="636">
        <f>I55+J55</f>
        <v/>
      </c>
      <c r="I55" s="636" t="n">
        <v>200</v>
      </c>
      <c r="J55" s="636">
        <f>I55*0.085</f>
        <v/>
      </c>
      <c r="K55" s="546">
        <f>G55/I55</f>
        <v/>
      </c>
      <c r="L55" s="546">
        <f>G55/H55</f>
        <v/>
      </c>
      <c r="M55" t="n">
        <v>53</v>
      </c>
      <c r="N55" s="615" t="n">
        <v>0</v>
      </c>
      <c r="O55" s="286">
        <f>N55/M55</f>
        <v/>
      </c>
      <c r="P55" s="529">
        <f>G55/N55</f>
        <v/>
      </c>
      <c r="Q55" s="615" t="n">
        <v>328</v>
      </c>
      <c r="R55" s="546">
        <f>I55/Q55</f>
        <v/>
      </c>
      <c r="S55" s="546">
        <f>(I55/U55)*1000</f>
        <v/>
      </c>
      <c r="T55" s="615" t="n">
        <v>31429</v>
      </c>
      <c r="U55" s="615" t="n">
        <v>39018</v>
      </c>
      <c r="V55" s="286">
        <f>Q55/U55</f>
        <v/>
      </c>
    </row>
    <row r="56" spans="1:23">
      <c r="A56" t="s">
        <v>233</v>
      </c>
      <c r="B56" t="s">
        <v>111</v>
      </c>
      <c r="C56" t="s">
        <v>187</v>
      </c>
      <c r="D56" t="s">
        <v>291</v>
      </c>
      <c r="E56" s="221" t="n">
        <v>42936</v>
      </c>
      <c r="F56" s="222" t="n">
        <v>42938</v>
      </c>
      <c r="G56" s="529" t="n">
        <v>0</v>
      </c>
      <c r="H56" s="636">
        <f>I56+J56</f>
        <v/>
      </c>
      <c r="I56" s="636" t="n">
        <v>200</v>
      </c>
      <c r="J56" s="636">
        <f>I56*0.085</f>
        <v/>
      </c>
      <c r="K56" s="546">
        <f>G56/I56</f>
        <v/>
      </c>
      <c r="L56" s="546">
        <f>G56/H56</f>
        <v/>
      </c>
      <c r="M56" t="n">
        <v>69</v>
      </c>
      <c r="N56" s="615" t="n">
        <v>0</v>
      </c>
      <c r="O56" s="286">
        <f>N56/M56</f>
        <v/>
      </c>
      <c r="P56" s="529">
        <f>G56/N56</f>
        <v/>
      </c>
      <c r="Q56" s="615" t="n">
        <v>448</v>
      </c>
      <c r="R56" s="546">
        <f>I56/Q56</f>
        <v/>
      </c>
      <c r="S56" s="546">
        <f>(I56/U56)*1000</f>
        <v/>
      </c>
      <c r="T56" s="615" t="n">
        <v>52700</v>
      </c>
      <c r="U56" s="615" t="n">
        <v>57829</v>
      </c>
      <c r="V56" s="286">
        <f>Q56/U56</f>
        <v/>
      </c>
    </row>
    <row r="57" spans="1:23">
      <c r="A57" t="s">
        <v>233</v>
      </c>
      <c r="B57" t="s">
        <v>111</v>
      </c>
      <c r="C57" t="s">
        <v>187</v>
      </c>
      <c r="D57" t="s">
        <v>292</v>
      </c>
      <c r="E57" s="221" t="n">
        <v>42936</v>
      </c>
      <c r="F57" s="222" t="n">
        <v>42938</v>
      </c>
      <c r="G57" s="529" t="n">
        <v>0</v>
      </c>
      <c r="H57" s="636">
        <f>I57+J57</f>
        <v/>
      </c>
      <c r="I57" s="636" t="n">
        <v>200</v>
      </c>
      <c r="J57" s="636">
        <f>I57*0.085</f>
        <v/>
      </c>
      <c r="K57" s="546">
        <f>G57/I57</f>
        <v/>
      </c>
      <c r="L57" s="546">
        <f>G57/H57</f>
        <v/>
      </c>
      <c r="M57" t="n">
        <v>69</v>
      </c>
      <c r="N57" s="615" t="n">
        <v>0</v>
      </c>
      <c r="O57" s="286">
        <f>N57/M57</f>
        <v/>
      </c>
      <c r="P57" s="529">
        <f>G57/N57</f>
        <v/>
      </c>
      <c r="Q57" s="615" t="n">
        <v>417</v>
      </c>
      <c r="R57" s="546">
        <f>I57/Q57</f>
        <v/>
      </c>
      <c r="S57" s="546">
        <f>(I57/U57)*1000</f>
        <v/>
      </c>
      <c r="T57" s="615" t="n">
        <v>36565</v>
      </c>
      <c r="U57" s="615" t="n">
        <v>40762</v>
      </c>
      <c r="V57" s="286">
        <f>Q57/U57</f>
        <v/>
      </c>
    </row>
    <row r="58" spans="1:23">
      <c r="A58" t="s">
        <v>233</v>
      </c>
      <c r="B58" t="s">
        <v>111</v>
      </c>
      <c r="C58" t="s">
        <v>187</v>
      </c>
      <c r="D58" t="s">
        <v>293</v>
      </c>
      <c r="E58" s="221" t="n">
        <v>42936</v>
      </c>
      <c r="F58" s="222" t="n">
        <v>42938</v>
      </c>
      <c r="G58" s="529" t="n">
        <v>0</v>
      </c>
      <c r="H58" s="636">
        <f>I58+J58</f>
        <v/>
      </c>
      <c r="I58" s="636" t="n">
        <v>200</v>
      </c>
      <c r="J58" s="636">
        <f>I58*0.085</f>
        <v/>
      </c>
      <c r="K58" s="546">
        <f>G58/I58</f>
        <v/>
      </c>
      <c r="L58" s="546">
        <f>G58/H58</f>
        <v/>
      </c>
      <c r="M58" t="n">
        <v>45</v>
      </c>
      <c r="N58" s="615" t="n">
        <v>0</v>
      </c>
      <c r="O58" s="286">
        <f>N58/M58</f>
        <v/>
      </c>
      <c r="P58" s="529">
        <f>G58/N58</f>
        <v/>
      </c>
      <c r="Q58" s="615" t="n">
        <v>195</v>
      </c>
      <c r="R58" s="546">
        <f>I58/Q58</f>
        <v/>
      </c>
      <c r="S58" s="546">
        <f>(I58/U58)*1000</f>
        <v/>
      </c>
      <c r="T58" s="615" t="n">
        <v>26629</v>
      </c>
      <c r="U58" s="615" t="n">
        <v>29289</v>
      </c>
      <c r="V58" s="286">
        <f>Q58/U58</f>
        <v/>
      </c>
    </row>
    <row r="59" spans="1:23">
      <c r="A59" t="s">
        <v>233</v>
      </c>
      <c r="B59" t="s">
        <v>111</v>
      </c>
      <c r="C59" t="s">
        <v>187</v>
      </c>
      <c r="D59" t="s">
        <v>294</v>
      </c>
      <c r="E59" s="221" t="n">
        <v>42936</v>
      </c>
      <c r="F59" s="222" t="n">
        <v>42938</v>
      </c>
      <c r="G59" s="529" t="n">
        <v>0</v>
      </c>
      <c r="H59" s="636">
        <f>I59+J59</f>
        <v/>
      </c>
      <c r="I59" s="636" t="n">
        <v>200</v>
      </c>
      <c r="J59" s="636">
        <f>I59*0.085</f>
        <v/>
      </c>
      <c r="K59" s="546">
        <f>G59/I59</f>
        <v/>
      </c>
      <c r="L59" s="546">
        <f>G59/H59</f>
        <v/>
      </c>
      <c r="M59">
        <f>25+74</f>
        <v/>
      </c>
      <c r="N59" s="615" t="n">
        <v>0</v>
      </c>
      <c r="O59" s="286">
        <f>N59/M59</f>
        <v/>
      </c>
      <c r="P59" s="529">
        <f>G59/N59</f>
        <v/>
      </c>
      <c r="Q59" s="615" t="n">
        <v>250</v>
      </c>
      <c r="R59" s="546">
        <f>I59/Q59</f>
        <v/>
      </c>
      <c r="S59" s="546">
        <f>(I59/U59)*1000</f>
        <v/>
      </c>
      <c r="T59" s="615" t="n">
        <v>17458</v>
      </c>
      <c r="U59" s="615" t="n">
        <v>19009</v>
      </c>
      <c r="V59" s="286">
        <f>Q59/U59</f>
        <v/>
      </c>
    </row>
    <row r="60" spans="1:23">
      <c r="A60" t="s">
        <v>233</v>
      </c>
      <c r="B60" t="s">
        <v>111</v>
      </c>
      <c r="C60" t="s">
        <v>187</v>
      </c>
      <c r="D60" t="s">
        <v>295</v>
      </c>
      <c r="E60" s="221" t="n">
        <v>42936</v>
      </c>
      <c r="F60" s="222" t="n">
        <v>42938</v>
      </c>
      <c r="G60" s="529" t="n">
        <v>0</v>
      </c>
      <c r="H60" s="636">
        <f>I60+J60</f>
        <v/>
      </c>
      <c r="I60" s="636" t="n">
        <v>200</v>
      </c>
      <c r="J60" s="636">
        <f>I60*0.085</f>
        <v/>
      </c>
      <c r="K60" s="546">
        <f>G60/I60</f>
        <v/>
      </c>
      <c r="L60" s="546">
        <f>G60/H60</f>
        <v/>
      </c>
      <c r="M60" t="n">
        <v>49</v>
      </c>
      <c r="N60" s="615" t="n">
        <v>0</v>
      </c>
      <c r="O60" s="286">
        <f>N60/M60</f>
        <v/>
      </c>
      <c r="P60" s="529">
        <f>G60/N60</f>
        <v/>
      </c>
      <c r="Q60" s="615" t="n">
        <v>287</v>
      </c>
      <c r="R60" s="546">
        <f>I60/Q60</f>
        <v/>
      </c>
      <c r="S60" s="546">
        <f>(I60/U60)*1000</f>
        <v/>
      </c>
      <c r="T60" s="615" t="n">
        <v>66840</v>
      </c>
      <c r="U60" s="615" t="n">
        <v>73372</v>
      </c>
      <c r="V60" s="286">
        <f>Q60/U60</f>
        <v/>
      </c>
    </row>
    <row r="61" spans="1:23">
      <c r="A61" t="s">
        <v>233</v>
      </c>
      <c r="B61" t="s">
        <v>111</v>
      </c>
      <c r="C61" t="s">
        <v>187</v>
      </c>
      <c r="D61" t="s">
        <v>296</v>
      </c>
      <c r="E61" s="221" t="n">
        <v>42936</v>
      </c>
      <c r="F61" s="222" t="n">
        <v>42938</v>
      </c>
      <c r="G61" s="529" t="n">
        <v>0</v>
      </c>
      <c r="H61" s="636">
        <f>I61+J61</f>
        <v/>
      </c>
      <c r="I61" s="636" t="n">
        <v>199.41</v>
      </c>
      <c r="J61" s="636">
        <f>I61*0.085</f>
        <v/>
      </c>
      <c r="K61" s="546">
        <f>G61/I61</f>
        <v/>
      </c>
      <c r="L61" s="546">
        <f>G61/H61</f>
        <v/>
      </c>
      <c r="M61" t="n">
        <v>59</v>
      </c>
      <c r="N61" s="615" t="n">
        <v>0</v>
      </c>
      <c r="O61" s="286">
        <f>N61/M61</f>
        <v/>
      </c>
      <c r="P61" s="529">
        <f>G61/N61</f>
        <v/>
      </c>
      <c r="Q61" s="615" t="n">
        <v>335</v>
      </c>
      <c r="R61" s="546">
        <f>I61/Q61</f>
        <v/>
      </c>
      <c r="S61" s="546">
        <f>(I61/U61)*1000</f>
        <v/>
      </c>
      <c r="T61" s="615" t="n">
        <v>32268</v>
      </c>
      <c r="U61" s="615" t="n">
        <v>38447</v>
      </c>
      <c r="V61" s="286">
        <f>Q61/U61</f>
        <v/>
      </c>
    </row>
    <row r="62" spans="1:23">
      <c r="A62" t="s">
        <v>233</v>
      </c>
      <c r="B62" t="s">
        <v>111</v>
      </c>
      <c r="C62" t="s">
        <v>187</v>
      </c>
      <c r="D62" t="s">
        <v>297</v>
      </c>
      <c r="E62" s="221" t="n">
        <v>42936</v>
      </c>
      <c r="F62" s="222" t="n">
        <v>42938</v>
      </c>
      <c r="G62" s="529" t="n">
        <v>0</v>
      </c>
      <c r="H62" s="636">
        <f>I62+J62</f>
        <v/>
      </c>
      <c r="I62" s="636" t="n">
        <v>199.11</v>
      </c>
      <c r="J62" s="636">
        <f>I62*0.085</f>
        <v/>
      </c>
      <c r="K62" s="546">
        <f>G62/I62</f>
        <v/>
      </c>
      <c r="L62" s="546">
        <f>G62/H62</f>
        <v/>
      </c>
      <c r="M62">
        <f>36+34</f>
        <v/>
      </c>
      <c r="N62" s="615" t="n">
        <v>0</v>
      </c>
      <c r="O62" s="286">
        <f>N62/M62</f>
        <v/>
      </c>
      <c r="P62" s="529">
        <f>G62/N62</f>
        <v/>
      </c>
      <c r="Q62" s="615" t="n">
        <v>334</v>
      </c>
      <c r="R62" s="546">
        <f>I62/Q62</f>
        <v/>
      </c>
      <c r="S62" s="546">
        <f>(I62/U62)*1000</f>
        <v/>
      </c>
      <c r="T62" s="615" t="n">
        <v>40155</v>
      </c>
      <c r="U62" s="615" t="n">
        <v>44291</v>
      </c>
      <c r="V62" s="286">
        <f>Q62/U62</f>
        <v/>
      </c>
    </row>
    <row r="63" spans="1:23">
      <c r="A63" t="s">
        <v>233</v>
      </c>
      <c r="B63" t="s">
        <v>111</v>
      </c>
      <c r="C63" t="s">
        <v>187</v>
      </c>
      <c r="D63" t="s">
        <v>298</v>
      </c>
      <c r="E63" s="221" t="n">
        <v>42936</v>
      </c>
      <c r="F63" s="222" t="n">
        <v>42938</v>
      </c>
      <c r="G63" s="529" t="n">
        <v>0</v>
      </c>
      <c r="H63" s="636">
        <f>I63+J63</f>
        <v/>
      </c>
      <c r="I63" s="636" t="n">
        <v>197.7</v>
      </c>
      <c r="J63" s="636">
        <f>I63*0.085</f>
        <v/>
      </c>
      <c r="K63" s="546">
        <f>G63/I63</f>
        <v/>
      </c>
      <c r="L63" s="546">
        <f>G63/H63</f>
        <v/>
      </c>
      <c r="M63" t="n">
        <v>57</v>
      </c>
      <c r="N63" s="615" t="n">
        <v>0</v>
      </c>
      <c r="O63" s="286">
        <f>N63/M63</f>
        <v/>
      </c>
      <c r="P63" s="529">
        <f>G63/N63</f>
        <v/>
      </c>
      <c r="Q63" s="615" t="n">
        <v>192</v>
      </c>
      <c r="R63" s="546">
        <f>I63/Q63</f>
        <v/>
      </c>
      <c r="S63" s="546">
        <f>(I63/U63)*1000</f>
        <v/>
      </c>
      <c r="T63" s="615" t="n">
        <v>16012</v>
      </c>
      <c r="U63" s="615" t="n">
        <v>21947</v>
      </c>
      <c r="V63" s="286">
        <f>Q63/U63</f>
        <v/>
      </c>
    </row>
    <row r="64" spans="1:23">
      <c r="A64" t="s">
        <v>233</v>
      </c>
      <c r="B64" t="s">
        <v>111</v>
      </c>
      <c r="C64" t="s">
        <v>187</v>
      </c>
      <c r="D64" t="s">
        <v>299</v>
      </c>
      <c r="E64" s="221" t="n">
        <v>42936</v>
      </c>
      <c r="F64" s="222" t="n">
        <v>42938</v>
      </c>
      <c r="G64" s="529" t="n">
        <v>0</v>
      </c>
      <c r="H64" s="636">
        <f>I64+J64</f>
        <v/>
      </c>
      <c r="I64" s="636" t="n">
        <v>197.42</v>
      </c>
      <c r="J64" s="636">
        <f>I64*0.085</f>
        <v/>
      </c>
      <c r="K64" s="546">
        <f>G64/I64</f>
        <v/>
      </c>
      <c r="L64" s="546">
        <f>G64/H64</f>
        <v/>
      </c>
      <c r="M64" t="n">
        <v>38</v>
      </c>
      <c r="N64" s="615" t="n">
        <v>0</v>
      </c>
      <c r="O64" s="286">
        <f>N64/M64</f>
        <v/>
      </c>
      <c r="P64" s="529">
        <f>G64/N64</f>
        <v/>
      </c>
      <c r="Q64" s="615" t="n">
        <v>180</v>
      </c>
      <c r="R64" s="546">
        <f>I64/Q64</f>
        <v/>
      </c>
      <c r="S64" s="546">
        <f>(I64/U64)*1000</f>
        <v/>
      </c>
      <c r="T64" s="615" t="n">
        <v>19366</v>
      </c>
      <c r="U64" s="615" t="n">
        <v>21124</v>
      </c>
      <c r="V64" s="286">
        <f>Q64/U64</f>
        <v/>
      </c>
    </row>
    <row r="65" spans="1:23">
      <c r="A65" t="s">
        <v>233</v>
      </c>
      <c r="B65" t="s">
        <v>111</v>
      </c>
      <c r="C65" t="s">
        <v>187</v>
      </c>
      <c r="D65" t="s">
        <v>300</v>
      </c>
      <c r="E65" s="221" t="n">
        <v>42936</v>
      </c>
      <c r="F65" s="222" t="n">
        <v>42938</v>
      </c>
      <c r="G65" s="529" t="n">
        <v>0</v>
      </c>
      <c r="H65" s="636">
        <f>I65+J65</f>
        <v/>
      </c>
      <c r="I65" s="636" t="n">
        <v>194.68</v>
      </c>
      <c r="J65" s="636">
        <f>I65*0.085</f>
        <v/>
      </c>
      <c r="K65" s="546">
        <f>G65/I65</f>
        <v/>
      </c>
      <c r="L65" s="546">
        <f>G65/H65</f>
        <v/>
      </c>
      <c r="M65" t="n">
        <v>31</v>
      </c>
      <c r="N65" s="615" t="n">
        <v>0</v>
      </c>
      <c r="O65" s="286">
        <f>N65/M65</f>
        <v/>
      </c>
      <c r="P65" s="529">
        <f>G65/N65</f>
        <v/>
      </c>
      <c r="Q65" s="615" t="n">
        <v>82</v>
      </c>
      <c r="R65" s="546">
        <f>I65/Q65</f>
        <v/>
      </c>
      <c r="S65" s="546">
        <f>(I65/U65)*1000</f>
        <v/>
      </c>
      <c r="T65" s="615" t="n">
        <v>8728</v>
      </c>
      <c r="U65" s="615" t="n">
        <v>11274</v>
      </c>
      <c r="V65" s="286">
        <f>Q65/U65</f>
        <v/>
      </c>
    </row>
    <row r="66" spans="1:23">
      <c r="A66" t="s">
        <v>233</v>
      </c>
      <c r="B66" t="s">
        <v>111</v>
      </c>
      <c r="C66" t="s">
        <v>187</v>
      </c>
      <c r="D66" t="s">
        <v>301</v>
      </c>
      <c r="E66" s="221" t="n">
        <v>42936</v>
      </c>
      <c r="F66" s="222" t="n">
        <v>42938</v>
      </c>
      <c r="G66" s="529" t="n">
        <v>219</v>
      </c>
      <c r="H66" s="636">
        <f>I66+J66</f>
        <v/>
      </c>
      <c r="I66" s="636" t="n">
        <v>189.16</v>
      </c>
      <c r="J66" s="636">
        <f>I66*0.085</f>
        <v/>
      </c>
      <c r="K66" s="546">
        <f>G66/I66</f>
        <v/>
      </c>
      <c r="L66" s="546">
        <f>G66/H66</f>
        <v/>
      </c>
      <c r="M66" t="n">
        <v>141</v>
      </c>
      <c r="N66" s="219" t="n">
        <v>2</v>
      </c>
      <c r="O66" s="286">
        <f>N66/M66</f>
        <v/>
      </c>
      <c r="P66" s="529">
        <f>G66/N66</f>
        <v/>
      </c>
      <c r="Q66" s="615" t="n">
        <v>89</v>
      </c>
      <c r="R66" s="546">
        <f>I66/Q66</f>
        <v/>
      </c>
      <c r="S66" s="546">
        <f>(I66/U66)*1000</f>
        <v/>
      </c>
      <c r="T66" s="615" t="n">
        <v>3171</v>
      </c>
      <c r="U66" s="615" t="n">
        <v>4655</v>
      </c>
      <c r="V66" s="286">
        <f>Q66/U66</f>
        <v/>
      </c>
    </row>
    <row r="67" spans="1:23">
      <c r="A67" t="s">
        <v>233</v>
      </c>
      <c r="B67" t="s">
        <v>111</v>
      </c>
      <c r="C67" t="s">
        <v>187</v>
      </c>
      <c r="D67" t="s">
        <v>302</v>
      </c>
      <c r="E67" s="221" t="n">
        <v>42936</v>
      </c>
      <c r="F67" s="222" t="n">
        <v>42938</v>
      </c>
      <c r="G67" s="529" t="n">
        <v>0</v>
      </c>
      <c r="H67" s="636">
        <f>I67+J67</f>
        <v/>
      </c>
      <c r="I67" s="636" t="n">
        <v>144.03</v>
      </c>
      <c r="J67" s="636">
        <f>I67*0.085</f>
        <v/>
      </c>
      <c r="K67" s="546">
        <f>G67/I67</f>
        <v/>
      </c>
      <c r="L67" s="546">
        <f>G67/H67</f>
        <v/>
      </c>
      <c r="M67" t="n">
        <v>25</v>
      </c>
      <c r="N67" s="615" t="n">
        <v>0</v>
      </c>
      <c r="O67" s="286">
        <f>N67/M67</f>
        <v/>
      </c>
      <c r="P67" s="529">
        <f>G67/N67</f>
        <v/>
      </c>
      <c r="Q67" s="615" t="n">
        <v>75</v>
      </c>
      <c r="R67" s="546">
        <f>I67/Q67</f>
        <v/>
      </c>
      <c r="S67" s="546">
        <f>(I67/U67)*1000</f>
        <v/>
      </c>
      <c r="T67" s="615" t="n">
        <v>3126</v>
      </c>
      <c r="U67" s="615" t="n">
        <v>5237</v>
      </c>
      <c r="V67" s="286">
        <f>Q67/U67</f>
        <v/>
      </c>
    </row>
    <row r="68" spans="1:23">
      <c r="A68" t="s">
        <v>233</v>
      </c>
      <c r="B68" t="s">
        <v>111</v>
      </c>
      <c r="C68" t="s">
        <v>187</v>
      </c>
      <c r="D68" t="s">
        <v>273</v>
      </c>
      <c r="E68" s="221" t="n">
        <v>42936</v>
      </c>
      <c r="F68" s="222" t="n">
        <v>42938</v>
      </c>
      <c r="G68" s="529" t="n">
        <v>349</v>
      </c>
      <c r="H68" s="636">
        <f>I68+J68</f>
        <v/>
      </c>
      <c r="I68" s="636" t="n">
        <v>143.51</v>
      </c>
      <c r="J68" s="636">
        <f>I68*0.085</f>
        <v/>
      </c>
      <c r="K68" s="546">
        <f>G68/I68</f>
        <v/>
      </c>
      <c r="L68" s="546">
        <f>G68/H68</f>
        <v/>
      </c>
      <c r="M68">
        <f>99+3</f>
        <v/>
      </c>
      <c r="N68" s="219" t="n">
        <v>2</v>
      </c>
      <c r="O68" s="286">
        <f>N68/M68</f>
        <v/>
      </c>
      <c r="P68" s="529">
        <f>G68/N68</f>
        <v/>
      </c>
      <c r="Q68" s="615" t="n">
        <v>57</v>
      </c>
      <c r="R68" s="546">
        <f>I68/Q68</f>
        <v/>
      </c>
      <c r="S68" s="546">
        <f>(I68/U68)*1000</f>
        <v/>
      </c>
      <c r="T68" s="615" t="n">
        <v>2122</v>
      </c>
      <c r="U68" s="615" t="n">
        <v>3208</v>
      </c>
      <c r="V68" s="286">
        <f>Q68/U68</f>
        <v/>
      </c>
    </row>
    <row r="69" spans="1:23">
      <c r="A69" t="s">
        <v>233</v>
      </c>
      <c r="B69" t="s">
        <v>111</v>
      </c>
      <c r="C69" t="s">
        <v>187</v>
      </c>
      <c r="D69" t="s">
        <v>303</v>
      </c>
      <c r="E69" s="221" t="n">
        <v>42936</v>
      </c>
      <c r="F69" s="222" t="n">
        <v>42938</v>
      </c>
      <c r="G69" s="529" t="n">
        <v>190</v>
      </c>
      <c r="H69" s="636">
        <f>I69+J69</f>
        <v/>
      </c>
      <c r="I69" s="636" t="n">
        <v>139.48</v>
      </c>
      <c r="J69" s="636">
        <f>I69*0.085</f>
        <v/>
      </c>
      <c r="K69" s="546">
        <f>G69/I69</f>
        <v/>
      </c>
      <c r="L69" s="546">
        <f>G69/H69</f>
        <v/>
      </c>
      <c r="M69" t="n">
        <v>33</v>
      </c>
      <c r="N69" s="219" t="n">
        <v>1</v>
      </c>
      <c r="O69" s="286">
        <f>N69/M69</f>
        <v/>
      </c>
      <c r="P69" s="529">
        <f>G69/N69</f>
        <v/>
      </c>
      <c r="Q69" s="615" t="n">
        <v>72</v>
      </c>
      <c r="R69" s="546">
        <f>I69/Q69</f>
        <v/>
      </c>
      <c r="S69" s="546">
        <f>(I69/U69)*1000</f>
        <v/>
      </c>
      <c r="T69" s="615" t="n">
        <v>3383</v>
      </c>
      <c r="U69" s="615" t="n">
        <v>5663</v>
      </c>
      <c r="V69" s="286">
        <f>Q69/U69</f>
        <v/>
      </c>
    </row>
    <row r="70" spans="1:23">
      <c r="A70" t="s">
        <v>233</v>
      </c>
      <c r="B70" t="s">
        <v>111</v>
      </c>
      <c r="C70" t="s">
        <v>187</v>
      </c>
      <c r="D70" t="s">
        <v>304</v>
      </c>
      <c r="E70" s="221" t="n">
        <v>42936</v>
      </c>
      <c r="F70" s="222" t="n">
        <v>42938</v>
      </c>
      <c r="G70" s="529" t="n">
        <v>120</v>
      </c>
      <c r="H70" s="636">
        <f>I70+J70</f>
        <v/>
      </c>
      <c r="I70" s="636" t="n">
        <v>131.37</v>
      </c>
      <c r="J70" s="636">
        <f>I70*0.085</f>
        <v/>
      </c>
      <c r="K70" s="546">
        <f>G70/I70</f>
        <v/>
      </c>
      <c r="L70" s="546">
        <f>G70/H70</f>
        <v/>
      </c>
      <c r="M70" t="n">
        <v>14</v>
      </c>
      <c r="N70" s="219" t="n">
        <v>1</v>
      </c>
      <c r="O70" s="286">
        <f>N70/M70</f>
        <v/>
      </c>
      <c r="P70" s="529">
        <f>G70/N70</f>
        <v/>
      </c>
      <c r="Q70" s="615" t="n">
        <v>81</v>
      </c>
      <c r="R70" s="546">
        <f>I70/Q70</f>
        <v/>
      </c>
      <c r="S70" s="546">
        <f>(I70/U70)*1000</f>
        <v/>
      </c>
      <c r="T70" s="615" t="n">
        <v>8687</v>
      </c>
      <c r="U70" s="615" t="n">
        <v>10997</v>
      </c>
      <c r="V70" s="286">
        <f>Q70/U70</f>
        <v/>
      </c>
    </row>
    <row r="71" spans="1:23">
      <c r="A71" t="s">
        <v>233</v>
      </c>
      <c r="B71" t="s">
        <v>111</v>
      </c>
      <c r="C71" t="s">
        <v>187</v>
      </c>
      <c r="D71" t="s">
        <v>305</v>
      </c>
      <c r="E71" s="221" t="n">
        <v>42936</v>
      </c>
      <c r="F71" s="222" t="n">
        <v>42938</v>
      </c>
      <c r="G71" s="529" t="n">
        <v>0</v>
      </c>
      <c r="H71" s="636">
        <f>I71+J71</f>
        <v/>
      </c>
      <c r="I71" s="636" t="n">
        <v>99.06</v>
      </c>
      <c r="J71" s="636">
        <f>I71*0.085</f>
        <v/>
      </c>
      <c r="K71" s="546">
        <f>G71/I71</f>
        <v/>
      </c>
      <c r="L71" s="546">
        <f>G71/H71</f>
        <v/>
      </c>
      <c r="M71" t="n">
        <v>17</v>
      </c>
      <c r="N71" s="615" t="n">
        <v>0</v>
      </c>
      <c r="O71" s="286">
        <f>N71/M71</f>
        <v/>
      </c>
      <c r="P71" s="529">
        <f>G71/N71</f>
        <v/>
      </c>
      <c r="Q71" s="615" t="n">
        <v>55</v>
      </c>
      <c r="R71" s="546">
        <f>I71/Q71</f>
        <v/>
      </c>
      <c r="S71" s="546">
        <f>(I71/U71)*1000</f>
        <v/>
      </c>
      <c r="T71" s="615" t="n">
        <v>3214</v>
      </c>
      <c r="U71" s="615" t="n">
        <v>5037</v>
      </c>
      <c r="V71" s="286">
        <f>Q71/U71</f>
        <v/>
      </c>
    </row>
    <row r="72" spans="1:23">
      <c r="A72" t="s">
        <v>233</v>
      </c>
      <c r="B72" t="s">
        <v>111</v>
      </c>
      <c r="C72" t="s">
        <v>187</v>
      </c>
      <c r="D72" t="s">
        <v>306</v>
      </c>
      <c r="E72" s="221" t="n">
        <v>42936</v>
      </c>
      <c r="F72" s="222" t="n">
        <v>42938</v>
      </c>
      <c r="G72" s="529" t="n">
        <v>0</v>
      </c>
      <c r="H72" s="636">
        <f>I72+J72</f>
        <v/>
      </c>
      <c r="I72" s="636" t="n">
        <v>97.34</v>
      </c>
      <c r="J72" s="636">
        <f>I72*0.085</f>
        <v/>
      </c>
      <c r="K72" s="546">
        <f>G72/I72</f>
        <v/>
      </c>
      <c r="L72" s="546">
        <f>G72/H72</f>
        <v/>
      </c>
      <c r="M72" t="n">
        <v>19</v>
      </c>
      <c r="N72" s="615" t="n">
        <v>0</v>
      </c>
      <c r="O72" s="286">
        <f>N72/M72</f>
        <v/>
      </c>
      <c r="P72" s="529">
        <f>G72/N72</f>
        <v/>
      </c>
      <c r="Q72" s="615" t="n">
        <v>25</v>
      </c>
      <c r="R72" s="546">
        <f>I72/Q72</f>
        <v/>
      </c>
      <c r="S72" s="546">
        <f>(I72/U72)*1000</f>
        <v/>
      </c>
      <c r="T72" s="615" t="n">
        <v>1737</v>
      </c>
      <c r="U72" s="615" t="n">
        <v>2502</v>
      </c>
      <c r="V72" s="286">
        <f>Q72/U72</f>
        <v/>
      </c>
    </row>
    <row r="73" spans="1:23">
      <c r="A73" t="s">
        <v>233</v>
      </c>
      <c r="B73" t="s">
        <v>111</v>
      </c>
      <c r="C73" t="s">
        <v>187</v>
      </c>
      <c r="D73" t="s">
        <v>307</v>
      </c>
      <c r="E73" s="221" t="n">
        <v>42936</v>
      </c>
      <c r="F73" s="222" t="n">
        <v>42938</v>
      </c>
      <c r="G73" s="529" t="n">
        <v>0</v>
      </c>
      <c r="H73" s="636">
        <f>I73+J73</f>
        <v/>
      </c>
      <c r="I73" s="636" t="n">
        <v>30</v>
      </c>
      <c r="J73" s="636">
        <f>I73*0.085</f>
        <v/>
      </c>
      <c r="K73" s="546">
        <f>G73/I73</f>
        <v/>
      </c>
      <c r="L73" s="546">
        <f>G73/H73</f>
        <v/>
      </c>
      <c r="M73" t="n">
        <v>7</v>
      </c>
      <c r="N73" s="615" t="n">
        <v>0</v>
      </c>
      <c r="O73" s="286">
        <f>N73/M73</f>
        <v/>
      </c>
      <c r="P73" s="529">
        <f>G73/N73</f>
        <v/>
      </c>
      <c r="Q73" s="615" t="n">
        <v>53</v>
      </c>
      <c r="R73" s="546">
        <f>I73/Q73</f>
        <v/>
      </c>
      <c r="S73" s="546">
        <f>(I73/U73)*1000</f>
        <v/>
      </c>
      <c r="T73" s="615" t="n">
        <v>8722</v>
      </c>
      <c r="U73" s="615" t="n">
        <v>9263</v>
      </c>
      <c r="V73" s="286">
        <f>Q73/U73</f>
        <v/>
      </c>
    </row>
    <row r="74" spans="1:23">
      <c r="A74" t="s">
        <v>233</v>
      </c>
      <c r="B74" t="s">
        <v>111</v>
      </c>
      <c r="C74" t="s">
        <v>187</v>
      </c>
      <c r="D74" t="s">
        <v>308</v>
      </c>
      <c r="E74" s="221" t="n">
        <v>42936</v>
      </c>
      <c r="F74" s="222" t="n">
        <v>42938</v>
      </c>
      <c r="G74" s="529" t="n">
        <v>0</v>
      </c>
      <c r="H74" s="636">
        <f>I74+J74</f>
        <v/>
      </c>
      <c r="I74" s="636" t="n">
        <v>29.54</v>
      </c>
      <c r="J74" s="636">
        <f>I74*0.085</f>
        <v/>
      </c>
      <c r="K74" s="546">
        <f>G74/I74</f>
        <v/>
      </c>
      <c r="L74" s="546">
        <f>G74/H74</f>
        <v/>
      </c>
      <c r="M74" t="n">
        <v>10</v>
      </c>
      <c r="N74" s="615" t="n">
        <v>0</v>
      </c>
      <c r="O74" s="286">
        <f>N74/M74</f>
        <v/>
      </c>
      <c r="P74" s="529">
        <f>G74/N74</f>
        <v/>
      </c>
      <c r="Q74" s="615" t="n">
        <v>50</v>
      </c>
      <c r="R74" s="546">
        <f>I74/Q74</f>
        <v/>
      </c>
      <c r="S74" s="546">
        <f>(I74/U74)*1000</f>
        <v/>
      </c>
      <c r="T74" s="615" t="n">
        <v>2488</v>
      </c>
      <c r="U74" s="615" t="n">
        <v>2887</v>
      </c>
      <c r="V74" s="286">
        <f>Q74/U74</f>
        <v/>
      </c>
    </row>
    <row r="75" spans="1:23">
      <c r="A75" t="s">
        <v>49</v>
      </c>
      <c r="B75" s="268" t="s">
        <v>122</v>
      </c>
      <c r="D75" t="s">
        <v>309</v>
      </c>
      <c r="E75" s="221" t="n">
        <v>42993</v>
      </c>
      <c r="F75" s="222" t="n">
        <v>42999</v>
      </c>
      <c r="G75" s="529" t="n">
        <v>0</v>
      </c>
      <c r="H75" s="636">
        <f>I75+J75</f>
        <v/>
      </c>
      <c r="I75" s="636" t="n">
        <v>921.66</v>
      </c>
      <c r="J75" s="636">
        <f>I75*0.085</f>
        <v/>
      </c>
      <c r="K75" s="546">
        <f>G75/I75</f>
        <v/>
      </c>
      <c r="L75" s="546">
        <f>G75/H75</f>
        <v/>
      </c>
      <c r="M75" s="615" t="n">
        <v>0</v>
      </c>
      <c r="N75" s="615" t="n">
        <v>0</v>
      </c>
      <c r="O75" s="286">
        <f>N75/M75</f>
        <v/>
      </c>
      <c r="P75" s="529">
        <f>G75/N75</f>
        <v/>
      </c>
      <c r="Q75" s="615" t="n">
        <v>1639</v>
      </c>
      <c r="R75" s="546">
        <f>I75/Q75</f>
        <v/>
      </c>
      <c r="S75" s="546">
        <f>(I75/U75)*1000</f>
        <v/>
      </c>
      <c r="T75" s="615" t="n">
        <v>80773</v>
      </c>
      <c r="U75" s="615" t="n">
        <v>138482</v>
      </c>
      <c r="V75" s="286">
        <f>Q75/U75</f>
        <v/>
      </c>
    </row>
    <row r="76" spans="1:23">
      <c r="A76" t="s">
        <v>49</v>
      </c>
      <c r="B76" s="268" t="s">
        <v>122</v>
      </c>
      <c r="D76" t="s">
        <v>310</v>
      </c>
      <c r="E76" s="221" t="n">
        <v>42993</v>
      </c>
      <c r="F76" s="222" t="n">
        <v>42999</v>
      </c>
      <c r="G76" s="529" t="n">
        <v>0</v>
      </c>
      <c r="H76" s="636">
        <f>I76+J76</f>
        <v/>
      </c>
      <c r="I76" s="636" t="n">
        <v>921.66</v>
      </c>
      <c r="J76" s="636">
        <f>I76*0.085</f>
        <v/>
      </c>
      <c r="K76" s="546">
        <f>G76/I76</f>
        <v/>
      </c>
      <c r="L76" s="546">
        <f>G76/H76</f>
        <v/>
      </c>
      <c r="M76" s="615" t="n">
        <v>0</v>
      </c>
      <c r="N76" s="615" t="n">
        <v>0</v>
      </c>
      <c r="O76" s="286">
        <f>N76/M76</f>
        <v/>
      </c>
      <c r="P76" s="529">
        <f>G76/N76</f>
        <v/>
      </c>
      <c r="Q76" s="615" t="n">
        <v>1532</v>
      </c>
      <c r="R76" s="546">
        <f>I76/Q76</f>
        <v/>
      </c>
      <c r="S76" s="546">
        <f>(I76/U76)*1000</f>
        <v/>
      </c>
      <c r="T76" s="615" t="n">
        <v>56083</v>
      </c>
      <c r="U76" s="615" t="n">
        <v>105042</v>
      </c>
      <c r="V76" s="286">
        <f>Q76/U76</f>
        <v/>
      </c>
    </row>
    <row r="77" spans="1:23">
      <c r="A77" t="s">
        <v>49</v>
      </c>
      <c r="B77" s="268" t="s">
        <v>122</v>
      </c>
      <c r="D77" t="s">
        <v>311</v>
      </c>
      <c r="E77" s="221" t="n">
        <v>42993</v>
      </c>
      <c r="F77" s="222" t="n">
        <v>42999</v>
      </c>
      <c r="G77" s="529" t="n">
        <v>0</v>
      </c>
      <c r="H77" s="636">
        <f>I77+J77</f>
        <v/>
      </c>
      <c r="I77" s="636" t="n">
        <v>921.6</v>
      </c>
      <c r="J77" s="636">
        <f>I77*0.085</f>
        <v/>
      </c>
      <c r="K77" s="546">
        <f>G77/I77</f>
        <v/>
      </c>
      <c r="L77" s="546">
        <f>G77/H77</f>
        <v/>
      </c>
      <c r="M77" s="615" t="n">
        <v>0</v>
      </c>
      <c r="N77" s="615" t="n">
        <v>0</v>
      </c>
      <c r="O77" s="286">
        <f>N77/M77</f>
        <v/>
      </c>
      <c r="P77" s="529">
        <f>G77/N77</f>
        <v/>
      </c>
      <c r="Q77" s="615" t="n">
        <v>1775</v>
      </c>
      <c r="R77" s="546">
        <f>I77/Q77</f>
        <v/>
      </c>
      <c r="S77" s="546">
        <f>(I77/U77)*1000</f>
        <v/>
      </c>
      <c r="T77" s="615" t="n">
        <v>73250</v>
      </c>
      <c r="U77" s="615" t="n">
        <v>124037</v>
      </c>
      <c r="V77" s="286">
        <f>Q77/U77</f>
        <v/>
      </c>
    </row>
    <row r="78" spans="1:23">
      <c r="A78" t="s">
        <v>49</v>
      </c>
      <c r="B78" s="268" t="s">
        <v>122</v>
      </c>
      <c r="D78" t="s">
        <v>312</v>
      </c>
      <c r="E78" s="221" t="n">
        <v>42993</v>
      </c>
      <c r="F78" s="222" t="n">
        <v>42999</v>
      </c>
      <c r="G78" s="529" t="n">
        <v>0</v>
      </c>
      <c r="H78" s="636">
        <f>I78+J78</f>
        <v/>
      </c>
      <c r="I78" s="636" t="n">
        <v>921.66</v>
      </c>
      <c r="J78" s="636">
        <f>I78*0.085</f>
        <v/>
      </c>
      <c r="K78" s="546">
        <f>G78/I78</f>
        <v/>
      </c>
      <c r="L78" s="546">
        <f>G78/H78</f>
        <v/>
      </c>
      <c r="M78" s="615" t="n">
        <v>0</v>
      </c>
      <c r="N78" s="615" t="n">
        <v>0</v>
      </c>
      <c r="O78" s="286">
        <f>N78/M78</f>
        <v/>
      </c>
      <c r="P78" s="529">
        <f>G78/N78</f>
        <v/>
      </c>
      <c r="Q78" s="615" t="n">
        <v>1620</v>
      </c>
      <c r="R78" s="546">
        <f>I78/Q78</f>
        <v/>
      </c>
      <c r="S78" s="546">
        <f>(I78/U78)*1000</f>
        <v/>
      </c>
      <c r="T78" s="615" t="n">
        <v>43554</v>
      </c>
      <c r="U78" s="615" t="n">
        <v>76412</v>
      </c>
      <c r="V78" s="286">
        <f>Q78/U78</f>
        <v/>
      </c>
    </row>
    <row r="79" spans="1:23">
      <c r="A79" t="s">
        <v>49</v>
      </c>
      <c r="B79" s="268" t="s">
        <v>122</v>
      </c>
      <c r="D79" t="s">
        <v>313</v>
      </c>
      <c r="E79" s="221" t="n">
        <v>42993</v>
      </c>
      <c r="F79" s="222" t="n">
        <v>42999</v>
      </c>
      <c r="G79" s="529" t="n">
        <v>0</v>
      </c>
      <c r="H79" s="636">
        <f>I79+J79</f>
        <v/>
      </c>
      <c r="I79" s="636" t="n">
        <v>921.66</v>
      </c>
      <c r="J79" s="636">
        <f>I79*0.085</f>
        <v/>
      </c>
      <c r="K79" s="546">
        <f>G79/I79</f>
        <v/>
      </c>
      <c r="L79" s="546">
        <f>G79/H79</f>
        <v/>
      </c>
      <c r="M79" s="615" t="n">
        <v>0</v>
      </c>
      <c r="N79" s="615" t="n">
        <v>0</v>
      </c>
      <c r="O79" s="286">
        <f>N79/M79</f>
        <v/>
      </c>
      <c r="P79" s="529">
        <f>G79/N79</f>
        <v/>
      </c>
      <c r="Q79" s="615" t="n">
        <v>1896</v>
      </c>
      <c r="R79" s="546">
        <f>I79/Q79</f>
        <v/>
      </c>
      <c r="S79" s="546">
        <f>(I79/U79)*1000</f>
        <v/>
      </c>
      <c r="T79" s="615" t="n">
        <v>67941</v>
      </c>
      <c r="U79" s="615" t="n">
        <v>115586</v>
      </c>
      <c r="V79" s="286">
        <f>Q79/U79</f>
        <v/>
      </c>
    </row>
    <row r="80" spans="1:23">
      <c r="A80" t="s">
        <v>49</v>
      </c>
      <c r="B80" t="s">
        <v>123</v>
      </c>
      <c r="C80" t="s">
        <v>187</v>
      </c>
      <c r="D80" t="s">
        <v>314</v>
      </c>
      <c r="E80" s="221" t="n">
        <v>43001</v>
      </c>
      <c r="F80" s="222" t="n">
        <v>43002</v>
      </c>
      <c r="G80" s="546" t="n">
        <v>778</v>
      </c>
      <c r="H80" s="636">
        <f>I80+J80</f>
        <v/>
      </c>
      <c r="I80" s="636" t="n">
        <v>338.42</v>
      </c>
      <c r="J80" s="636">
        <f>I80*0.085</f>
        <v/>
      </c>
      <c r="K80" s="546">
        <f>G80/I80</f>
        <v/>
      </c>
      <c r="L80" s="546">
        <f>G80/H80</f>
        <v/>
      </c>
      <c r="M80" t="n">
        <v>244</v>
      </c>
      <c r="N80" s="615" t="n">
        <v>5</v>
      </c>
      <c r="O80" s="286">
        <f>N80/M80</f>
        <v/>
      </c>
      <c r="P80" s="529">
        <f>G80/N80</f>
        <v/>
      </c>
      <c r="Q80" s="615" t="n">
        <v>204</v>
      </c>
      <c r="R80" s="546">
        <f>I80/Q80</f>
        <v/>
      </c>
      <c r="S80" s="546">
        <f>(I80/U80)*1000</f>
        <v/>
      </c>
      <c r="T80" s="615" t="n">
        <v>3827</v>
      </c>
      <c r="U80" s="615" t="n">
        <v>8849</v>
      </c>
      <c r="V80" s="286">
        <f>Q80/U80</f>
        <v/>
      </c>
    </row>
    <row r="81" spans="1:23">
      <c r="A81" t="s">
        <v>49</v>
      </c>
      <c r="B81" t="s">
        <v>123</v>
      </c>
      <c r="C81" t="s">
        <v>187</v>
      </c>
      <c r="D81" t="s">
        <v>270</v>
      </c>
      <c r="E81" s="221" t="n">
        <v>43001</v>
      </c>
      <c r="F81" s="222" t="n">
        <v>43002</v>
      </c>
      <c r="G81" s="546" t="n">
        <v>766</v>
      </c>
      <c r="H81" s="636">
        <f>I81+J81</f>
        <v/>
      </c>
      <c r="I81" s="636" t="n">
        <v>354.48</v>
      </c>
      <c r="J81" s="636">
        <f>I81*0.085</f>
        <v/>
      </c>
      <c r="K81" s="546">
        <f>G81/I81</f>
        <v/>
      </c>
      <c r="L81" s="546">
        <f>G81/H81</f>
        <v/>
      </c>
      <c r="M81" t="n">
        <v>306</v>
      </c>
      <c r="N81" s="615" t="n">
        <v>4</v>
      </c>
      <c r="O81" s="286">
        <f>N81/M81</f>
        <v/>
      </c>
      <c r="P81" s="529">
        <f>G81/N81</f>
        <v/>
      </c>
      <c r="Q81" s="615" t="n">
        <v>269</v>
      </c>
      <c r="R81" s="546">
        <f>I81/Q81</f>
        <v/>
      </c>
      <c r="S81" s="546">
        <f>(I81/U81)*1000</f>
        <v/>
      </c>
      <c r="T81" s="615" t="n">
        <v>4198</v>
      </c>
      <c r="U81" s="615" t="n">
        <v>8869</v>
      </c>
      <c r="V81" s="286">
        <f>Q81/U81</f>
        <v/>
      </c>
    </row>
    <row r="82" spans="1:23">
      <c r="A82" t="s">
        <v>49</v>
      </c>
      <c r="B82" t="s">
        <v>123</v>
      </c>
      <c r="C82" t="s">
        <v>187</v>
      </c>
      <c r="D82" t="s">
        <v>315</v>
      </c>
      <c r="E82" s="221" t="n">
        <v>43001</v>
      </c>
      <c r="F82" s="222" t="n">
        <v>43002</v>
      </c>
      <c r="G82" s="546" t="n">
        <v>429</v>
      </c>
      <c r="H82" s="636">
        <f>I82+J82</f>
        <v/>
      </c>
      <c r="I82" s="636" t="n">
        <v>347.31</v>
      </c>
      <c r="J82" s="636">
        <f>I82*0.085</f>
        <v/>
      </c>
      <c r="K82" s="546">
        <f>G82/I82</f>
        <v/>
      </c>
      <c r="L82" s="546">
        <f>G82/H82</f>
        <v/>
      </c>
      <c r="M82" t="n">
        <v>234</v>
      </c>
      <c r="N82" s="615" t="n">
        <v>3</v>
      </c>
      <c r="O82" s="286">
        <f>N82/M82</f>
        <v/>
      </c>
      <c r="P82" s="529">
        <f>G82/N82</f>
        <v/>
      </c>
      <c r="Q82" s="615" t="n">
        <v>201</v>
      </c>
      <c r="R82" s="546">
        <f>I82/Q82</f>
        <v/>
      </c>
      <c r="S82" s="546">
        <f>(I82/U82)*1000</f>
        <v/>
      </c>
      <c r="T82" s="615" t="n">
        <v>3896</v>
      </c>
      <c r="U82" s="615" t="n">
        <v>8116</v>
      </c>
      <c r="V82" s="286">
        <f>Q82/U82</f>
        <v/>
      </c>
    </row>
    <row r="83" spans="1:23">
      <c r="A83" t="s">
        <v>49</v>
      </c>
      <c r="B83" t="s">
        <v>123</v>
      </c>
      <c r="C83" t="s">
        <v>187</v>
      </c>
      <c r="D83" t="s">
        <v>316</v>
      </c>
      <c r="E83" s="221" t="n">
        <v>43001</v>
      </c>
      <c r="F83" s="222" t="n">
        <v>43002</v>
      </c>
      <c r="G83" s="546" t="n">
        <v>95</v>
      </c>
      <c r="H83" s="636">
        <f>I83+J83</f>
        <v/>
      </c>
      <c r="I83" s="636" t="n">
        <v>354.31</v>
      </c>
      <c r="J83" s="636">
        <f>I83*0.085</f>
        <v/>
      </c>
      <c r="K83" s="546">
        <f>G83/I83</f>
        <v/>
      </c>
      <c r="L83" s="546">
        <f>G83/H83</f>
        <v/>
      </c>
      <c r="M83" t="n">
        <v>165</v>
      </c>
      <c r="N83" s="615" t="n">
        <v>1</v>
      </c>
      <c r="O83" s="286">
        <f>N83/M83</f>
        <v/>
      </c>
      <c r="P83" s="529">
        <f>G83/N83</f>
        <v/>
      </c>
      <c r="Q83" s="615" t="n">
        <v>394</v>
      </c>
      <c r="R83" s="546">
        <f>I83/Q83</f>
        <v/>
      </c>
      <c r="S83" s="546">
        <f>(I83/U83)*1000</f>
        <v/>
      </c>
      <c r="T83" s="615" t="n">
        <v>4937</v>
      </c>
      <c r="U83" s="615" t="n">
        <v>11399</v>
      </c>
      <c r="V83" s="286">
        <f>Q83/U83</f>
        <v/>
      </c>
    </row>
    <row r="84" spans="1:23">
      <c r="A84" t="s">
        <v>49</v>
      </c>
      <c r="B84" t="s">
        <v>123</v>
      </c>
      <c r="C84" t="s">
        <v>187</v>
      </c>
      <c r="D84" t="s">
        <v>317</v>
      </c>
      <c r="E84" s="221" t="n">
        <v>43001</v>
      </c>
      <c r="F84" s="222" t="n">
        <v>43002</v>
      </c>
      <c r="G84" s="546" t="n">
        <v>199</v>
      </c>
      <c r="H84" s="636">
        <f>I84+J84</f>
        <v/>
      </c>
      <c r="I84" s="636" t="n">
        <v>350.68</v>
      </c>
      <c r="J84" s="636">
        <f>I84*0.085</f>
        <v/>
      </c>
      <c r="K84" s="546">
        <f>G84/I84</f>
        <v/>
      </c>
      <c r="L84" s="546">
        <f>G84/H84</f>
        <v/>
      </c>
      <c r="M84" t="n">
        <v>106</v>
      </c>
      <c r="N84" s="615" t="n">
        <v>1</v>
      </c>
      <c r="O84" s="286">
        <f>N84/M84</f>
        <v/>
      </c>
      <c r="P84" s="529">
        <f>G84/N84</f>
        <v/>
      </c>
      <c r="Q84" s="615" t="n">
        <v>276</v>
      </c>
      <c r="R84" s="546">
        <f>I84/Q84</f>
        <v/>
      </c>
      <c r="S84" s="546">
        <f>(I84/U84)*1000</f>
        <v/>
      </c>
      <c r="T84" s="615" t="n">
        <v>4445</v>
      </c>
      <c r="U84" s="615" t="n">
        <v>9928</v>
      </c>
      <c r="V84" s="286">
        <f>Q84/U84</f>
        <v/>
      </c>
    </row>
    <row r="85" spans="1:23">
      <c r="A85" t="s">
        <v>49</v>
      </c>
      <c r="B85" t="s">
        <v>123</v>
      </c>
      <c r="C85" t="s">
        <v>187</v>
      </c>
      <c r="D85" t="s">
        <v>318</v>
      </c>
      <c r="E85" s="221" t="n">
        <v>43001</v>
      </c>
      <c r="F85" s="222" t="n">
        <v>43002</v>
      </c>
      <c r="G85" s="546" t="n">
        <v>29</v>
      </c>
      <c r="H85" s="636">
        <f>I85+J85</f>
        <v/>
      </c>
      <c r="I85" s="636" t="n">
        <v>354.48</v>
      </c>
      <c r="J85" s="636">
        <f>I85*0.085</f>
        <v/>
      </c>
      <c r="K85" s="546">
        <f>G85/I85</f>
        <v/>
      </c>
      <c r="L85" s="546">
        <f>G85/H85</f>
        <v/>
      </c>
      <c r="M85" t="n">
        <v>395</v>
      </c>
      <c r="N85" s="615" t="n">
        <v>1</v>
      </c>
      <c r="O85" s="286">
        <f>N85/M85</f>
        <v/>
      </c>
      <c r="P85" s="529">
        <f>G85/N85</f>
        <v/>
      </c>
      <c r="Q85" s="615" t="n">
        <v>1847</v>
      </c>
      <c r="R85" s="546">
        <f>I85/Q85</f>
        <v/>
      </c>
      <c r="S85" s="546">
        <f>(I85/U85)*1000</f>
        <v/>
      </c>
      <c r="T85" s="615" t="n">
        <v>50283</v>
      </c>
      <c r="U85" s="615" t="n">
        <v>58221</v>
      </c>
      <c r="V85" s="286">
        <f>Q85/U85</f>
        <v/>
      </c>
    </row>
    <row r="86" spans="1:23">
      <c r="A86" t="s">
        <v>49</v>
      </c>
      <c r="B86" t="s">
        <v>123</v>
      </c>
      <c r="C86" t="s">
        <v>187</v>
      </c>
      <c r="D86" t="s">
        <v>319</v>
      </c>
      <c r="E86" s="221" t="n">
        <v>43001</v>
      </c>
      <c r="F86" s="222" t="n">
        <v>43002</v>
      </c>
      <c r="G86" s="546" t="n">
        <v>0</v>
      </c>
      <c r="H86" s="636">
        <f>I86+J86</f>
        <v/>
      </c>
      <c r="I86" s="636" t="n">
        <v>354.48</v>
      </c>
      <c r="J86" s="636">
        <f>I86*0.085</f>
        <v/>
      </c>
      <c r="K86" s="546">
        <f>G86/I86</f>
        <v/>
      </c>
      <c r="L86" s="546">
        <f>G86/H86</f>
        <v/>
      </c>
      <c r="M86" t="n">
        <v>200</v>
      </c>
      <c r="N86" s="615" t="n">
        <v>0</v>
      </c>
      <c r="O86" s="286">
        <f>N86/M86</f>
        <v/>
      </c>
      <c r="P86" s="529">
        <f>G86/N86</f>
        <v/>
      </c>
      <c r="Q86" s="615" t="n">
        <v>1237</v>
      </c>
      <c r="R86" s="546">
        <f>I86/Q86</f>
        <v/>
      </c>
      <c r="S86" s="546">
        <f>(I86/U86)*1000</f>
        <v/>
      </c>
      <c r="T86" s="615" t="n">
        <v>39812</v>
      </c>
      <c r="U86" s="615" t="n">
        <v>49066</v>
      </c>
      <c r="V86" s="286">
        <f>Q86/U86</f>
        <v/>
      </c>
    </row>
    <row r="87" spans="1:23">
      <c r="A87" t="s">
        <v>49</v>
      </c>
      <c r="B87" t="s">
        <v>123</v>
      </c>
      <c r="C87" t="s">
        <v>187</v>
      </c>
      <c r="D87" t="s">
        <v>320</v>
      </c>
      <c r="E87" s="221" t="n">
        <v>43001</v>
      </c>
      <c r="F87" s="222" t="n">
        <v>43002</v>
      </c>
      <c r="G87" s="546" t="n">
        <v>46</v>
      </c>
      <c r="H87" s="636">
        <f>I87+J87</f>
        <v/>
      </c>
      <c r="I87" s="636" t="n">
        <v>354.48</v>
      </c>
      <c r="J87" s="636">
        <f>I87*0.085</f>
        <v/>
      </c>
      <c r="K87" s="546">
        <f>G87/I87</f>
        <v/>
      </c>
      <c r="L87" s="546">
        <f>G87/H87</f>
        <v/>
      </c>
      <c r="M87" t="n">
        <v>302</v>
      </c>
      <c r="N87" s="615" t="n">
        <v>1</v>
      </c>
      <c r="O87" s="286">
        <f>N87/M87</f>
        <v/>
      </c>
      <c r="P87" s="529">
        <f>G87/N87</f>
        <v/>
      </c>
      <c r="Q87" s="615" t="n">
        <v>1474</v>
      </c>
      <c r="R87" s="546">
        <f>I87/Q87</f>
        <v/>
      </c>
      <c r="S87" s="546">
        <f>(I87/U87)*1000</f>
        <v/>
      </c>
      <c r="T87" s="615" t="n">
        <v>46243</v>
      </c>
      <c r="U87" s="615" t="n">
        <v>53160</v>
      </c>
      <c r="V87" s="286">
        <f>Q87/U87</f>
        <v/>
      </c>
    </row>
    <row r="88" spans="1:23">
      <c r="A88" t="s">
        <v>49</v>
      </c>
      <c r="B88" t="s">
        <v>123</v>
      </c>
      <c r="C88" t="s">
        <v>187</v>
      </c>
      <c r="D88" t="s">
        <v>321</v>
      </c>
      <c r="E88" s="221" t="n">
        <v>43001</v>
      </c>
      <c r="F88" s="222" t="n">
        <v>43002</v>
      </c>
      <c r="G88" s="546" t="n">
        <v>0</v>
      </c>
      <c r="H88" s="636">
        <f>I88+J88</f>
        <v/>
      </c>
      <c r="I88" s="636" t="n">
        <v>354.48</v>
      </c>
      <c r="J88" s="636">
        <f>I88*0.085</f>
        <v/>
      </c>
      <c r="K88" s="546">
        <f>G88/I88</f>
        <v/>
      </c>
      <c r="L88" s="546">
        <f>G88/H88</f>
        <v/>
      </c>
      <c r="M88" t="n">
        <v>195</v>
      </c>
      <c r="N88" s="615" t="n">
        <v>0</v>
      </c>
      <c r="O88" s="286">
        <f>N88/M88</f>
        <v/>
      </c>
      <c r="P88" s="529">
        <f>G88/N88</f>
        <v/>
      </c>
      <c r="Q88" s="615" t="n">
        <v>1224</v>
      </c>
      <c r="R88" s="546">
        <f>I88/Q88</f>
        <v/>
      </c>
      <c r="S88" s="546">
        <f>(I88/U88)*1000</f>
        <v/>
      </c>
      <c r="T88" s="615" t="n">
        <v>35331</v>
      </c>
      <c r="U88" s="615" t="n">
        <v>45511</v>
      </c>
      <c r="V88" s="286">
        <f>Q88/U88</f>
        <v/>
      </c>
    </row>
    <row r="89" spans="1:23">
      <c r="A89" t="s">
        <v>49</v>
      </c>
      <c r="B89" t="s">
        <v>123</v>
      </c>
      <c r="C89" t="s">
        <v>187</v>
      </c>
      <c r="D89" t="s">
        <v>322</v>
      </c>
      <c r="E89" s="221" t="n">
        <v>43001</v>
      </c>
      <c r="F89" s="222" t="n">
        <v>43002</v>
      </c>
      <c r="G89" s="546" t="n">
        <v>395</v>
      </c>
      <c r="H89" s="636">
        <f>I89+J89</f>
        <v/>
      </c>
      <c r="I89" s="636" t="n">
        <v>354.48</v>
      </c>
      <c r="J89" s="636">
        <f>I89*0.085</f>
        <v/>
      </c>
      <c r="K89" s="546">
        <f>G89/I89</f>
        <v/>
      </c>
      <c r="L89" s="546">
        <f>G89/H89</f>
        <v/>
      </c>
      <c r="M89" t="n">
        <v>442</v>
      </c>
      <c r="N89" s="615" t="n">
        <v>3</v>
      </c>
      <c r="O89" s="286">
        <f>N89/M89</f>
        <v/>
      </c>
      <c r="P89" s="529">
        <f>G89/N89</f>
        <v/>
      </c>
      <c r="Q89" s="615" t="n">
        <v>1304</v>
      </c>
      <c r="R89" s="546">
        <f>I89/Q89</f>
        <v/>
      </c>
      <c r="S89" s="546">
        <f>(I89/U89)*1000</f>
        <v/>
      </c>
      <c r="T89" s="615" t="n">
        <v>30070</v>
      </c>
      <c r="U89" s="615" t="n">
        <v>38495</v>
      </c>
      <c r="V89" s="286">
        <f>Q89/U89</f>
        <v/>
      </c>
    </row>
    <row r="90" spans="1:23">
      <c r="A90" t="s">
        <v>49</v>
      </c>
      <c r="B90" t="s">
        <v>123</v>
      </c>
      <c r="C90" t="s">
        <v>187</v>
      </c>
      <c r="D90" t="s">
        <v>323</v>
      </c>
      <c r="E90" s="221" t="n">
        <v>43001</v>
      </c>
      <c r="F90" s="222" t="n">
        <v>43002</v>
      </c>
      <c r="G90" s="546" t="n">
        <v>94</v>
      </c>
      <c r="H90" s="636">
        <f>I90+J90</f>
        <v/>
      </c>
      <c r="I90" s="636" t="n">
        <v>354.48</v>
      </c>
      <c r="J90" s="636">
        <f>I90*0.085</f>
        <v/>
      </c>
      <c r="K90" s="546">
        <f>G90/I90</f>
        <v/>
      </c>
      <c r="L90" s="546">
        <f>G90/H90</f>
        <v/>
      </c>
      <c r="M90" t="n">
        <v>248</v>
      </c>
      <c r="N90" s="615" t="n">
        <v>1</v>
      </c>
      <c r="O90" s="286">
        <f>N90/M90</f>
        <v/>
      </c>
      <c r="P90" s="529">
        <f>G90/N90</f>
        <v/>
      </c>
      <c r="Q90" s="615" t="n">
        <v>940</v>
      </c>
      <c r="R90" s="546">
        <f>I90/Q90</f>
        <v/>
      </c>
      <c r="S90" s="546">
        <f>(I90/U90)*1000</f>
        <v/>
      </c>
      <c r="T90" s="615" t="n">
        <v>27214</v>
      </c>
      <c r="U90" s="615" t="n">
        <v>34449</v>
      </c>
      <c r="V90" s="286">
        <f>Q90/U90</f>
        <v/>
      </c>
    </row>
    <row r="91" spans="1:23">
      <c r="A91" t="s">
        <v>49</v>
      </c>
      <c r="B91" t="s">
        <v>123</v>
      </c>
      <c r="C91" t="s">
        <v>187</v>
      </c>
      <c r="D91" t="s">
        <v>324</v>
      </c>
      <c r="E91" s="221" t="n">
        <v>43001</v>
      </c>
      <c r="F91" s="222" t="n">
        <v>43002</v>
      </c>
      <c r="G91" s="546" t="n">
        <v>206</v>
      </c>
      <c r="H91" s="636">
        <f>I91+J91</f>
        <v/>
      </c>
      <c r="I91" s="636" t="n">
        <v>354.48</v>
      </c>
      <c r="J91" s="636">
        <f>I91*0.085</f>
        <v/>
      </c>
      <c r="K91" s="546">
        <f>G91/I91</f>
        <v/>
      </c>
      <c r="L91" s="546">
        <f>G91/H91</f>
        <v/>
      </c>
      <c r="M91" t="n">
        <v>1017</v>
      </c>
      <c r="N91" s="615" t="n">
        <v>2</v>
      </c>
      <c r="O91" s="286">
        <f>N91/M91</f>
        <v/>
      </c>
      <c r="P91" s="529">
        <f>G91/N91</f>
        <v/>
      </c>
      <c r="Q91" s="615" t="n">
        <v>1156</v>
      </c>
      <c r="R91" s="546">
        <f>I91/Q91</f>
        <v/>
      </c>
      <c r="S91" s="546">
        <f>(I91/U91)*1000</f>
        <v/>
      </c>
      <c r="T91" s="615" t="n">
        <v>37878</v>
      </c>
      <c r="U91" s="615" t="n">
        <v>46771</v>
      </c>
      <c r="V91" s="286">
        <f>Q91/U91</f>
        <v/>
      </c>
    </row>
    <row r="92" spans="1:23">
      <c r="A92" t="s">
        <v>49</v>
      </c>
      <c r="B92" t="s">
        <v>123</v>
      </c>
      <c r="C92" t="s">
        <v>187</v>
      </c>
      <c r="D92" t="s">
        <v>325</v>
      </c>
      <c r="E92" s="221" t="n">
        <v>43001</v>
      </c>
      <c r="F92" s="222" t="n">
        <v>43002</v>
      </c>
      <c r="G92" s="546" t="n">
        <v>183</v>
      </c>
      <c r="H92" s="636">
        <f>I92+J92</f>
        <v/>
      </c>
      <c r="I92" s="636" t="n">
        <v>354.48</v>
      </c>
      <c r="J92" s="636">
        <f>I92*0.085</f>
        <v/>
      </c>
      <c r="K92" s="546">
        <f>G92/I92</f>
        <v/>
      </c>
      <c r="L92" s="546">
        <f>G92/H92</f>
        <v/>
      </c>
      <c r="M92" t="n">
        <v>796</v>
      </c>
      <c r="N92" s="615" t="n">
        <v>1</v>
      </c>
      <c r="O92" s="286">
        <f>N92/M92</f>
        <v/>
      </c>
      <c r="P92" s="529">
        <f>G92/N92</f>
        <v/>
      </c>
      <c r="Q92" s="615" t="n">
        <v>916</v>
      </c>
      <c r="R92" s="546">
        <f>I92/Q92</f>
        <v/>
      </c>
      <c r="S92" s="546">
        <f>(I92/U92)*1000</f>
        <v/>
      </c>
      <c r="T92" s="615" t="n">
        <v>21744</v>
      </c>
      <c r="U92" s="615" t="n">
        <v>31710</v>
      </c>
      <c r="V92" s="286">
        <f>Q92/U92</f>
        <v/>
      </c>
    </row>
    <row r="93" spans="1:23">
      <c r="H93" s="636" t="n"/>
      <c r="J93" s="636" t="n"/>
      <c r="K93" s="546" t="n"/>
      <c r="O93" s="286" t="n"/>
      <c r="R93" s="546" t="n"/>
      <c r="V93" s="286" t="n"/>
    </row>
    <row r="94" spans="1:23">
      <c r="G94" s="529" t="n"/>
      <c r="H94" s="636" t="n"/>
      <c r="I94" s="636" t="n"/>
      <c r="J94" s="636" t="n"/>
      <c r="K94" s="546" t="n"/>
      <c r="O94" s="286" t="n"/>
      <c r="Q94" s="210" t="n"/>
      <c r="R94" s="546" t="n"/>
      <c r="T94" s="615" t="n"/>
      <c r="U94" s="615" t="n"/>
      <c r="V94" s="286" t="n"/>
    </row>
    <row r="95" spans="1:23">
      <c r="J95" s="637" t="n"/>
    </row>
  </sheetData>
  <autoFilter ref="A1:W94"/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tabColor theme="9"/>
    <outlinePr summaryBelow="1" summaryRight="1"/>
    <pageSetUpPr/>
  </sheetPr>
  <dimension ref="A1:AH170"/>
  <sheetViews>
    <sheetView topLeftCell="I1" workbookViewId="0" zoomScale="82" zoomScaleNormal="82">
      <pane activePane="bottomLeft" state="frozen" topLeftCell="A69" ySplit="2"/>
      <selection activeCell="Z121" pane="bottomLeft" sqref="Z121"/>
    </sheetView>
  </sheetViews>
  <sheetFormatPr baseColWidth="8" defaultColWidth="8.625" defaultRowHeight="18.75" outlineLevelCol="1" outlineLevelRow="1"/>
  <cols>
    <col customWidth="1" max="1" min="1" style="358" width="30.875"/>
    <col customWidth="1" max="2" min="2" style="483" width="14.625"/>
    <col customWidth="1" max="3" min="3" outlineLevel="1" style="483" width="13.875"/>
    <col bestFit="1" customWidth="1" max="4" min="4" style="483" width="11.375"/>
    <col bestFit="1" customWidth="1" max="5" min="5" style="483" width="14"/>
    <col customWidth="1" max="6" min="6" outlineLevel="1" style="483" width="14.5"/>
    <col customWidth="1" max="7" min="7" style="483" width="8.5"/>
    <col customWidth="1" max="8" min="8" style="484" width="12"/>
    <col customWidth="1" max="9" min="9" outlineLevel="1" style="484" width="9.125"/>
    <col customWidth="1" max="10" min="10" style="483" width="8.5"/>
    <col bestFit="1" customWidth="1" max="11" min="11" style="484" width="14.375"/>
    <col customWidth="1" max="12" min="12" outlineLevel="1" style="485" width="12.375"/>
    <col customWidth="1" max="13" min="13" style="485" width="8.5"/>
    <col customWidth="1" max="14" min="14" style="485" width="11.375"/>
    <col customWidth="1" max="15" min="15" outlineLevel="1" style="485" width="12"/>
    <col customWidth="1" max="16" min="16" style="485" width="9.875"/>
    <col customWidth="1" max="17" min="17" style="485" width="10"/>
    <col customWidth="1" max="18" min="18" outlineLevel="1" style="485" width="12"/>
    <col customWidth="1" max="19" min="19" style="485" width="9.875"/>
    <col customWidth="1" max="20" min="20" style="483" width="9.375"/>
    <col customWidth="1" max="21" min="21" outlineLevel="1" style="483" width="8.875"/>
    <col customWidth="1" max="22" min="22" style="485" width="8.5"/>
    <col customWidth="1" max="23" min="23" style="483" width="9.375"/>
    <col customWidth="1" max="24" min="24" outlineLevel="1" style="483" width="8.875"/>
    <col customWidth="1" max="25" min="25" style="485" width="9.875"/>
    <col customWidth="1" max="26" min="26" style="486" width="12.5"/>
    <col customWidth="1" max="27" min="27" outlineLevel="1" style="485" width="13.875"/>
    <col customWidth="1" max="28" min="28" style="485" width="8.5"/>
    <col customWidth="1" max="29" min="29" style="486" width="14.875"/>
    <col customWidth="1" max="30" min="30" outlineLevel="1" style="485" width="15.5"/>
    <col bestFit="1" customWidth="1" max="31" min="31" style="485" width="8.5"/>
    <col bestFit="1" customWidth="1" max="32" min="32" style="487" width="8.875"/>
    <col customWidth="1" max="33" min="33" outlineLevel="1" style="487" width="8.875"/>
    <col customWidth="1" max="34" min="34" style="485" width="10"/>
    <col customWidth="1" max="16384" min="35" style="358" width="8.625"/>
  </cols>
  <sheetData>
    <row customHeight="1" ht="29.1" r="1" s="452" spans="1:34">
      <c r="A1" s="456" t="s">
        <v>31</v>
      </c>
    </row>
    <row r="2" spans="1:34">
      <c r="A2" s="359" t="s">
        <v>32</v>
      </c>
      <c r="B2" s="488" t="s">
        <v>1</v>
      </c>
      <c r="C2" s="488" t="s">
        <v>2</v>
      </c>
      <c r="D2" s="489" t="s">
        <v>3</v>
      </c>
      <c r="E2" s="488" t="s">
        <v>4</v>
      </c>
      <c r="F2" s="488" t="s">
        <v>5</v>
      </c>
      <c r="G2" s="489" t="s">
        <v>3</v>
      </c>
      <c r="H2" s="490" t="s">
        <v>6</v>
      </c>
      <c r="I2" s="490" t="s">
        <v>7</v>
      </c>
      <c r="J2" s="489" t="s">
        <v>3</v>
      </c>
      <c r="K2" s="490" t="s">
        <v>8</v>
      </c>
      <c r="L2" s="491" t="s">
        <v>9</v>
      </c>
      <c r="M2" s="489" t="s">
        <v>3</v>
      </c>
      <c r="N2" s="491" t="s">
        <v>10</v>
      </c>
      <c r="O2" s="491" t="s">
        <v>11</v>
      </c>
      <c r="P2" s="489" t="s">
        <v>3</v>
      </c>
      <c r="Q2" s="491" t="s">
        <v>12</v>
      </c>
      <c r="R2" s="491" t="s">
        <v>13</v>
      </c>
      <c r="S2" s="489" t="s">
        <v>3</v>
      </c>
      <c r="T2" s="492" t="s">
        <v>14</v>
      </c>
      <c r="U2" s="492" t="s">
        <v>15</v>
      </c>
      <c r="V2" s="489" t="s">
        <v>3</v>
      </c>
      <c r="W2" s="492" t="s">
        <v>16</v>
      </c>
      <c r="X2" s="492" t="s">
        <v>17</v>
      </c>
      <c r="Y2" s="489" t="s">
        <v>3</v>
      </c>
      <c r="Z2" s="493" t="s">
        <v>18</v>
      </c>
      <c r="AA2" s="491" t="s">
        <v>19</v>
      </c>
      <c r="AB2" s="489" t="s">
        <v>3</v>
      </c>
      <c r="AC2" s="494" t="s">
        <v>33</v>
      </c>
      <c r="AD2" s="495" t="s">
        <v>34</v>
      </c>
      <c r="AE2" s="489" t="s">
        <v>3</v>
      </c>
      <c r="AF2" s="496" t="s">
        <v>22</v>
      </c>
      <c r="AG2" s="496" t="s">
        <v>23</v>
      </c>
      <c r="AH2" s="489" t="s">
        <v>3</v>
      </c>
    </row>
    <row customFormat="1" customHeight="1" ht="20.1" r="3" s="367" spans="1:34">
      <c r="A3" s="367" t="s">
        <v>24</v>
      </c>
      <c r="B3" s="497">
        <f>SUM(B4:B6)</f>
        <v/>
      </c>
      <c r="C3" s="497">
        <f>SUM(C4:C6)</f>
        <v/>
      </c>
      <c r="D3" s="369">
        <f>(B3-C3)/C3</f>
        <v/>
      </c>
      <c r="E3" s="497">
        <f>SUM(E4:E6)</f>
        <v/>
      </c>
      <c r="F3" s="497">
        <f>SUM(F4:F6)</f>
        <v/>
      </c>
      <c r="G3" s="369">
        <f>(E3-F3)/F3</f>
        <v/>
      </c>
      <c r="H3" s="498">
        <f>B3/E3</f>
        <v/>
      </c>
      <c r="I3" s="498">
        <f>C3/F3</f>
        <v/>
      </c>
      <c r="J3" s="369">
        <f>(H3-I3)/I3</f>
        <v/>
      </c>
      <c r="K3" s="499">
        <f>SUM(K4:K6)</f>
        <v/>
      </c>
      <c r="L3" s="499">
        <f>SUM(L4:L6)</f>
        <v/>
      </c>
      <c r="M3" s="369">
        <f>(K3-L3)/L3</f>
        <v/>
      </c>
      <c r="N3" s="499">
        <f>SUM(N4:N6)</f>
        <v/>
      </c>
      <c r="O3" s="499">
        <f>SUM(O4:O6)</f>
        <v/>
      </c>
      <c r="P3" s="369">
        <f>(N3-O3)/O3</f>
        <v/>
      </c>
      <c r="Q3" s="500">
        <f>N3/K3</f>
        <v/>
      </c>
      <c r="R3" s="500">
        <f>O3/L3</f>
        <v/>
      </c>
      <c r="S3" s="369">
        <f>(Q3-R3)/R3</f>
        <v/>
      </c>
      <c r="T3" s="497">
        <f>E3/N3</f>
        <v/>
      </c>
      <c r="U3" s="497">
        <f>F3/O3</f>
        <v/>
      </c>
      <c r="V3" s="369">
        <f>(T3-U3)/U3</f>
        <v/>
      </c>
      <c r="W3" s="497">
        <f>B3/N3</f>
        <v/>
      </c>
      <c r="X3" s="497">
        <f>C3/O3</f>
        <v/>
      </c>
      <c r="Y3" s="369">
        <f>(W3-X3)/X3</f>
        <v/>
      </c>
      <c r="Z3" s="501">
        <f>SUM(Z4:Z6)</f>
        <v/>
      </c>
      <c r="AA3" s="499">
        <f>SUM(AA4:AA6)</f>
        <v/>
      </c>
      <c r="AB3" s="369">
        <f>(Z3-AA3)/AA3</f>
        <v/>
      </c>
      <c r="AC3" s="501">
        <f>SUM(AC4:AC6)</f>
        <v/>
      </c>
      <c r="AD3" s="499">
        <f>SUM(AD4:AD6)</f>
        <v/>
      </c>
      <c r="AE3" s="369">
        <f>(AC3-AD3)/AD3</f>
        <v/>
      </c>
      <c r="AF3" s="500">
        <f>Z3/AC3</f>
        <v/>
      </c>
      <c r="AG3" s="500">
        <f>AA3/AD3</f>
        <v/>
      </c>
      <c r="AH3" s="369">
        <f>(AF3-AG3)/AG3</f>
        <v/>
      </c>
    </row>
    <row outlineLevel="1" r="4" s="452" spans="1:34">
      <c r="A4" s="373" t="s">
        <v>35</v>
      </c>
      <c r="B4" s="502">
        <f>SUMIFS(Search!$E:$E,Search!$A:$A,"P1",Search!$D:$D,"Brand")</f>
        <v/>
      </c>
      <c r="C4" s="502">
        <f>SUMIFS(Search!$F:$F,Search!$A:$A,"P1",Search!$D:$D,"Brand")</f>
        <v/>
      </c>
      <c r="D4" s="369">
        <f>(B4-C4)/C4</f>
        <v/>
      </c>
      <c r="E4" s="502">
        <f>SUMIFS(Search!$I:$I,Search!$A:$A,"P1",Search!$D:$D,"Brand")</f>
        <v/>
      </c>
      <c r="F4" s="502">
        <f>SUMIFS(Search!$J:$J,Search!$A:$A,"P1",Search!$D:$D,"Brand")</f>
        <v/>
      </c>
      <c r="G4" s="375">
        <f>(E4-F4)/F4</f>
        <v/>
      </c>
      <c r="H4" s="503">
        <f>B4/E4</f>
        <v/>
      </c>
      <c r="I4" s="503">
        <f>C4/F4</f>
        <v/>
      </c>
      <c r="J4" s="375">
        <f>(H4-I4)/I4</f>
        <v/>
      </c>
      <c r="K4" s="504">
        <f>SUMIFS(Search!$Q:$Q,Search!$A:$A,"P1",Search!$D:$D,"Brand")</f>
        <v/>
      </c>
      <c r="L4" s="504">
        <f>SUMIFS(Search!$R:$R,Search!$A:$A,"P1",Search!$D:$D,"Brand")</f>
        <v/>
      </c>
      <c r="M4" s="375">
        <f>(K4-L4)/L4</f>
        <v/>
      </c>
      <c r="N4" s="504">
        <f>SUMIFS(Search!$U:$U,Search!$A:$A,"P1",Search!$D:$D,"Brand")</f>
        <v/>
      </c>
      <c r="O4" s="504">
        <f>SUMIFS(Search!$V:$V,Search!$A:$A,"P1",Search!$D:$D,"Brand")</f>
        <v/>
      </c>
      <c r="P4" s="378">
        <f>(N4-O4)/O4</f>
        <v/>
      </c>
      <c r="Q4" s="505">
        <f>N4/K4</f>
        <v/>
      </c>
      <c r="R4" s="505">
        <f>O4/L4</f>
        <v/>
      </c>
      <c r="S4" s="378">
        <f>(Q4-R4)/R4</f>
        <v/>
      </c>
      <c r="T4" s="502">
        <f>E4/N4</f>
        <v/>
      </c>
      <c r="U4" s="502">
        <f>F4/O4</f>
        <v/>
      </c>
      <c r="V4" s="375">
        <f>(T4-U4)/U4</f>
        <v/>
      </c>
      <c r="W4" s="502">
        <f>B4/N4</f>
        <v/>
      </c>
      <c r="X4" s="502">
        <f>C4/O4</f>
        <v/>
      </c>
      <c r="Y4" s="378">
        <f>(W4-X4)/X4</f>
        <v/>
      </c>
      <c r="Z4" s="506">
        <f>SUMIFS(Search!$AG:$AG,Search!$A:$A,"P1",Search!$D:$D,"Brand")</f>
        <v/>
      </c>
      <c r="AA4" s="504">
        <f>SUMIFS(Search!$AH:$AH,Search!$A:$A,"P1",Search!$D:$D,"Brand")</f>
        <v/>
      </c>
      <c r="AB4" s="378">
        <f>(Z4-AA4)/AA4</f>
        <v/>
      </c>
      <c r="AC4" s="506">
        <f>SUMIFS(Search!$AK:$AK,Search!$A:$A,"P1",Search!$D:$D,"Brand")</f>
        <v/>
      </c>
      <c r="AD4" s="504">
        <f>SUMIFS(Search!$AL:$AL,Search!$A:$A,"P1",Search!$D:$D,"Brand")</f>
        <v/>
      </c>
      <c r="AE4" s="378">
        <f>(AC4-AD4)/AD4</f>
        <v/>
      </c>
      <c r="AF4" s="505">
        <f>Z4/AC4</f>
        <v/>
      </c>
      <c r="AG4" s="505">
        <f>AA4/AD4</f>
        <v/>
      </c>
      <c r="AH4" s="378">
        <f>(AF4-AG4)/AG4</f>
        <v/>
      </c>
    </row>
    <row outlineLevel="1" r="5" s="452" spans="1:34">
      <c r="A5" s="373" t="s">
        <v>36</v>
      </c>
      <c r="B5" s="502">
        <f>SUMIFS(Search!$E:$E,Search!$A:$A,"P1",Search!$D:$D,"Non-Brand")</f>
        <v/>
      </c>
      <c r="C5" s="502">
        <f>SUMIFS(Search!$F:$F,Search!$A:$A,"P1",Search!$D:$D,"Non-Brand")</f>
        <v/>
      </c>
      <c r="D5" s="369">
        <f>(B5-C5)/C5</f>
        <v/>
      </c>
      <c r="E5" s="502">
        <f>SUMIFS(Search!$I:$I,Search!$A:$A,"P1",Search!$D:$D,"Non-Brand")</f>
        <v/>
      </c>
      <c r="F5" s="502">
        <f>SUMIFS(Search!$J:$J,Search!$A:$A,"P1",Search!$D:$D,"Non-Brand")</f>
        <v/>
      </c>
      <c r="G5" s="375">
        <f>(E5-F5)/F5</f>
        <v/>
      </c>
      <c r="H5" s="503">
        <f>B5/E5</f>
        <v/>
      </c>
      <c r="I5" s="503">
        <f>C5/F5</f>
        <v/>
      </c>
      <c r="J5" s="375">
        <f>(H5-I5)/I5</f>
        <v/>
      </c>
      <c r="K5" s="504">
        <f>SUMIFS(Search!$Q:$Q,Search!$A:$A,"P1",Search!$D:$D,"Non-Brand")</f>
        <v/>
      </c>
      <c r="L5" s="504">
        <f>SUMIFS(Search!$R:$R,Search!$A:$A,"P1",Search!$D:$D,"Non-Brand")</f>
        <v/>
      </c>
      <c r="M5" s="375">
        <f>(K5-L5)/L5</f>
        <v/>
      </c>
      <c r="N5" s="504">
        <f>SUMIFS(Search!$U:$U,Search!$A:$A,"P1",Search!$D:$D,"Non-Brand")</f>
        <v/>
      </c>
      <c r="O5" s="504">
        <f>SUMIFS(Search!$V:$V,Search!$A:$A,"P1",Search!$D:$D,"Non-Brand")</f>
        <v/>
      </c>
      <c r="P5" s="378">
        <f>(N5-O5)/O5</f>
        <v/>
      </c>
      <c r="Q5" s="505">
        <f>N5/K5</f>
        <v/>
      </c>
      <c r="R5" s="505">
        <f>O5/L5</f>
        <v/>
      </c>
      <c r="S5" s="378">
        <f>(Q5-R5)/R5</f>
        <v/>
      </c>
      <c r="T5" s="502">
        <f>E5/N5</f>
        <v/>
      </c>
      <c r="U5" s="502">
        <f>F5/O5</f>
        <v/>
      </c>
      <c r="V5" s="375">
        <f>(T5-U5)/U5</f>
        <v/>
      </c>
      <c r="W5" s="502">
        <f>B5/N5</f>
        <v/>
      </c>
      <c r="X5" s="502">
        <f>C5/O5</f>
        <v/>
      </c>
      <c r="Y5" s="378">
        <f>(W5-X5)/X5</f>
        <v/>
      </c>
      <c r="Z5" s="506">
        <f>SUMIFS(Search!$AG:$AG,Search!$A:$A,"P1",Search!$D:$D,"Non-Brand")</f>
        <v/>
      </c>
      <c r="AA5" s="504">
        <f>SUMIFS(Search!$AH:$AH,Search!$A:$A,"P1",Search!$D:$D,"Non-Brand")</f>
        <v/>
      </c>
      <c r="AB5" s="378">
        <f>(Z5-AA5)/AA5</f>
        <v/>
      </c>
      <c r="AC5" s="506">
        <f>SUMIFS(Search!$AK:$AK,Search!$A:$A,"P1",Search!$D:$D,"Non-Brand")</f>
        <v/>
      </c>
      <c r="AD5" s="504">
        <f>SUMIFS(Search!$AL:$AL,Search!$A:$A,"P1",Search!$D:$D,"Non-Brand")</f>
        <v/>
      </c>
      <c r="AE5" s="378">
        <f>(AC5-AD5)/AD5</f>
        <v/>
      </c>
      <c r="AF5" s="505">
        <f>Z5/AC5</f>
        <v/>
      </c>
      <c r="AG5" s="505">
        <f>AA5/AD5</f>
        <v/>
      </c>
      <c r="AH5" s="378">
        <f>(AF5-AG5)/AG5</f>
        <v/>
      </c>
    </row>
    <row outlineLevel="1" r="6" s="452" spans="1:34">
      <c r="A6" s="373" t="s">
        <v>37</v>
      </c>
      <c r="B6" s="502">
        <f>SUMIFS(Search!$E:$E,Search!$A:$A,"P1",Search!$D:$D,"Shopping Campaigns")</f>
        <v/>
      </c>
      <c r="C6" s="502">
        <f>SUMIFS(Search!$F:$F,Search!$A:$A,"P1",Search!$D:$D,"Shopping Campaigns")</f>
        <v/>
      </c>
      <c r="D6" s="369">
        <f>(B6-C6)/C6</f>
        <v/>
      </c>
      <c r="E6" s="502">
        <f>SUMIFS(Search!$I:$I,Search!$A:$A,"P1",Search!$D:$D,"Shopping Campaigns")</f>
        <v/>
      </c>
      <c r="F6" s="502">
        <f>SUMIFS(Search!$J:$J,Search!$A:$A,"P1",Search!$D:$D,"Shopping Campaigns")</f>
        <v/>
      </c>
      <c r="G6" s="375">
        <f>(E6-F6)/F6</f>
        <v/>
      </c>
      <c r="H6" s="503">
        <f>B6/E6</f>
        <v/>
      </c>
      <c r="I6" s="503">
        <f>C6/F6</f>
        <v/>
      </c>
      <c r="J6" s="375">
        <f>(H6-I6)/I6</f>
        <v/>
      </c>
      <c r="K6" s="504">
        <f>SUMIFS(Search!$Q:$Q,Search!$A:$A,"P1",Search!$D:$D,"Shopping Campaigns")</f>
        <v/>
      </c>
      <c r="L6" s="504">
        <f>SUMIFS(Search!$R:$R,Search!$A:$A,"P1",Search!$D:$D,"Shopping Campaigns")</f>
        <v/>
      </c>
      <c r="M6" s="375">
        <f>(K6-L6)/L6</f>
        <v/>
      </c>
      <c r="N6" s="504">
        <f>SUMIFS(Search!$U:$U,Search!$A:$A,"P1",Search!$D:$D,"Shopping Campaigns")</f>
        <v/>
      </c>
      <c r="O6" s="504">
        <f>SUMIFS(Search!$V:$V,Search!$A:$A,"P1",Search!$D:$D,"Shopping Campaigns")</f>
        <v/>
      </c>
      <c r="P6" s="378">
        <f>(N6-O6)/O6</f>
        <v/>
      </c>
      <c r="Q6" s="505">
        <f>N6/K6</f>
        <v/>
      </c>
      <c r="R6" s="505">
        <f>O6/L6</f>
        <v/>
      </c>
      <c r="S6" s="378">
        <f>(Q6-R6)/R6</f>
        <v/>
      </c>
      <c r="T6" s="502">
        <f>E6/N6</f>
        <v/>
      </c>
      <c r="U6" s="502">
        <f>F6/O6</f>
        <v/>
      </c>
      <c r="V6" s="375">
        <f>(T6-U6)/U6</f>
        <v/>
      </c>
      <c r="W6" s="502">
        <f>B6/N6</f>
        <v/>
      </c>
      <c r="X6" s="502">
        <f>C6/O6</f>
        <v/>
      </c>
      <c r="Y6" s="378">
        <f>(W6-X6)/X6</f>
        <v/>
      </c>
      <c r="Z6" s="506">
        <f>SUMIFS(Search!$AG:$AG,Search!$A:$A,"P1",Search!$D:$D,"Shopping Campaigns")</f>
        <v/>
      </c>
      <c r="AA6" s="504">
        <f>SUMIFS(Search!$AH:$AH,Search!$A:$A,"P1",Search!$D:$D,"Shopping Campaigns")</f>
        <v/>
      </c>
      <c r="AB6" s="378">
        <f>(Z6-AA6)/AA6</f>
        <v/>
      </c>
      <c r="AC6" s="506">
        <f>SUMIFS(Search!$AK:$AK,Search!$A:$A,"P1",Search!$D:$D,"Shopping Campaigns")</f>
        <v/>
      </c>
      <c r="AD6" s="504">
        <f>SUMIFS(Search!$AL:$AL,Search!$A:$A,"P1",Search!$D:$D,"Shopping Campaigns")</f>
        <v/>
      </c>
      <c r="AE6" s="378">
        <f>(AC6-AD6)/AD6</f>
        <v/>
      </c>
      <c r="AF6" s="505">
        <f>Z6/AC6</f>
        <v/>
      </c>
      <c r="AG6" s="505">
        <f>AA6/AD6</f>
        <v/>
      </c>
      <c r="AH6" s="378">
        <f>(AF6-AG6)/AG6</f>
        <v/>
      </c>
    </row>
    <row customFormat="1" customHeight="1" ht="21" r="7" s="367" spans="1:34">
      <c r="A7" s="380" t="s">
        <v>27</v>
      </c>
      <c r="B7" s="497">
        <f>SUMIFS(Affiliate!$D:$D,Affiliate!$A:$A,"P1")</f>
        <v/>
      </c>
      <c r="C7" s="497">
        <f>SUMIFS(Affiliate!$E:$E,Affiliate!$A:$A,"P1")</f>
        <v/>
      </c>
      <c r="D7" s="369">
        <f>(B7-C7)/C7</f>
        <v/>
      </c>
      <c r="E7" s="497">
        <f>SUMIFS(Affiliate!H:H,Affiliate!$A:$A,"P1")</f>
        <v/>
      </c>
      <c r="F7" s="497">
        <f>SUMIFS(Affiliate!I:I,Affiliate!$A:$A,"P1")</f>
        <v/>
      </c>
      <c r="G7" s="369">
        <f>(E7-F7)/F7</f>
        <v/>
      </c>
      <c r="H7" s="498">
        <f>B7/E7</f>
        <v/>
      </c>
      <c r="I7" s="498">
        <f>C7/F7</f>
        <v/>
      </c>
      <c r="J7" s="369">
        <f>(H7-I7)/I7</f>
        <v/>
      </c>
      <c r="K7" s="499">
        <f>SUMIFS(Affiliate!$AF:$AF,Affiliate!$A:$A,"P1")</f>
        <v/>
      </c>
      <c r="L7" s="499">
        <f>SUMIFS(Affiliate!$AG:$AG,Affiliate!$A:$A,"P1")</f>
        <v/>
      </c>
      <c r="M7" s="369">
        <f>(K7-L7)/L7</f>
        <v/>
      </c>
      <c r="N7" s="499">
        <f>SUMIFS(Affiliate!$AJ:$AJ,Affiliate!$A:$A,"P1")</f>
        <v/>
      </c>
      <c r="O7" s="499">
        <f>SUMIFS(Affiliate!$AK:$AK,Affiliate!$A:$A,"P1")</f>
        <v/>
      </c>
      <c r="P7" s="381">
        <f>(N7-O7)/O7</f>
        <v/>
      </c>
      <c r="Q7" s="507">
        <f>N7/K7</f>
        <v/>
      </c>
      <c r="R7" s="507">
        <f>O7/L7</f>
        <v/>
      </c>
      <c r="S7" s="381">
        <f>(Q7-R7)/R7</f>
        <v/>
      </c>
      <c r="T7" s="508">
        <f>E7/N7</f>
        <v/>
      </c>
      <c r="U7" s="508">
        <f>F7/O7</f>
        <v/>
      </c>
      <c r="V7" s="369">
        <f>(T7-U7)/U7</f>
        <v/>
      </c>
      <c r="W7" s="508">
        <f>B7/N7</f>
        <v/>
      </c>
      <c r="X7" s="508">
        <f>C7/O7</f>
        <v/>
      </c>
      <c r="Y7" s="381">
        <f>(W7-X7)/X7</f>
        <v/>
      </c>
      <c r="Z7" s="509" t="n"/>
      <c r="AA7" s="384" t="n"/>
      <c r="AB7" s="381">
        <f>(Z7-AA7)/AA7</f>
        <v/>
      </c>
      <c r="AC7" s="509" t="n"/>
      <c r="AD7" s="384" t="n"/>
      <c r="AE7" s="381">
        <f>(AC7-AD7)/AD7</f>
        <v/>
      </c>
      <c r="AF7" s="510" t="n"/>
      <c r="AG7" s="510" t="n"/>
      <c r="AH7" s="381">
        <f>(AF7-AG7)/AG7</f>
        <v/>
      </c>
    </row>
    <row customFormat="1" customHeight="1" ht="20.1" r="8" s="367" spans="1:34">
      <c r="A8" s="367" t="s">
        <v>28</v>
      </c>
      <c r="B8" s="497">
        <f>SUM(B9:B10)</f>
        <v/>
      </c>
      <c r="C8" s="497">
        <f>SUM(C9:C10)</f>
        <v/>
      </c>
      <c r="D8" s="369">
        <f>(B8-C8)/C8</f>
        <v/>
      </c>
      <c r="E8" s="497">
        <f>SUM(E9:E10)</f>
        <v/>
      </c>
      <c r="F8" s="497">
        <f>SUM(F9:F10)</f>
        <v/>
      </c>
      <c r="G8" s="369">
        <f>(E8-F8)/F8</f>
        <v/>
      </c>
      <c r="H8" s="498">
        <f>B8/E8</f>
        <v/>
      </c>
      <c r="I8" s="498">
        <f>C8/F8</f>
        <v/>
      </c>
      <c r="J8" s="369">
        <f>(H8-I8)/I8</f>
        <v/>
      </c>
      <c r="K8" s="499">
        <f>SUM(K9:K10)</f>
        <v/>
      </c>
      <c r="L8" s="499">
        <f>SUM(L9:L10)</f>
        <v/>
      </c>
      <c r="M8" s="369">
        <f>(K8-L8)/L8</f>
        <v/>
      </c>
      <c r="N8" s="499">
        <f>SUM(N9:N10)</f>
        <v/>
      </c>
      <c r="O8" s="499">
        <f>SUM(O9:O10)</f>
        <v/>
      </c>
      <c r="P8" s="381">
        <f>(N8-O8)/O8</f>
        <v/>
      </c>
      <c r="Q8" s="507">
        <f>N8/K8</f>
        <v/>
      </c>
      <c r="R8" s="507">
        <f>O8/L8</f>
        <v/>
      </c>
      <c r="S8" s="381">
        <f>(Q8-R8)/R8</f>
        <v/>
      </c>
      <c r="T8" s="508">
        <f>E8/N8</f>
        <v/>
      </c>
      <c r="U8" s="508">
        <f>F8/O8</f>
        <v/>
      </c>
      <c r="V8" s="369">
        <f>(T8-U8)/U8</f>
        <v/>
      </c>
      <c r="W8" s="508">
        <f>B8/N8</f>
        <v/>
      </c>
      <c r="X8" s="508">
        <f>C8/O8</f>
        <v/>
      </c>
      <c r="Y8" s="381">
        <f>(W8-X8)/X8</f>
        <v/>
      </c>
      <c r="Z8" s="501">
        <f>SUM(Z9:Z10)</f>
        <v/>
      </c>
      <c r="AA8" s="499">
        <f>SUM(AA9:AA10)</f>
        <v/>
      </c>
      <c r="AB8" s="381">
        <f>(Z8-AA8)/AA8</f>
        <v/>
      </c>
      <c r="AC8" s="501">
        <f>SUM(AC9:AC10)</f>
        <v/>
      </c>
      <c r="AD8" s="499">
        <f>SUM(AD9:AD10)</f>
        <v/>
      </c>
      <c r="AE8" s="381">
        <f>(AC8-AD8)/AD8</f>
        <v/>
      </c>
      <c r="AF8" s="507">
        <f>Z8/AC8</f>
        <v/>
      </c>
      <c r="AG8" s="507">
        <f>AA8/AD8</f>
        <v/>
      </c>
      <c r="AH8" s="381">
        <f>(AF8-AG8)/AG8</f>
        <v/>
      </c>
    </row>
    <row outlineLevel="1" r="9" s="452" spans="1:34">
      <c r="A9" s="373" t="s">
        <v>38</v>
      </c>
      <c r="B9" s="502">
        <f>SUMIFS('Social - Promos'!$E:$E,'Social - Promos'!$A:$A,"p1")</f>
        <v/>
      </c>
      <c r="C9" s="502">
        <f>SUMIFS('Social - Promos'!$F:$F,'Social - Promos'!$A:$A,"p1")</f>
        <v/>
      </c>
      <c r="D9" s="369">
        <f>(B9-C9)/C9</f>
        <v/>
      </c>
      <c r="E9" s="502">
        <f>SUMIFS('Social - Promos'!$K:$K,'Social - Promos'!$A:$A,"p1")</f>
        <v/>
      </c>
      <c r="F9" s="502">
        <f>SUMIFS('Social - Promos'!$L:$L,'Social - Promos'!$A:$A,"p1")</f>
        <v/>
      </c>
      <c r="G9" s="375">
        <f>(E9-F9)/F9</f>
        <v/>
      </c>
      <c r="H9" s="484">
        <f>B9/E9</f>
        <v/>
      </c>
      <c r="I9" s="484">
        <f>C9/F9</f>
        <v/>
      </c>
      <c r="J9" s="375">
        <f>(H9-I9)/I9</f>
        <v/>
      </c>
      <c r="K9" s="504">
        <f>SUMIFS('Social - Promos'!$T:$T,'Social - Promos'!$A:$A,"p1")</f>
        <v/>
      </c>
      <c r="L9" s="504">
        <f>SUMIFS('Social - Promos'!$U:$U,'Social - Promos'!$A:$A,"p1")</f>
        <v/>
      </c>
      <c r="M9" s="375">
        <f>(K9-L9)/L9</f>
        <v/>
      </c>
      <c r="N9" s="504">
        <f>SUMIFS('Social - Promos'!$W:$W,'Social - Promos'!$A:$A,"p1")</f>
        <v/>
      </c>
      <c r="O9" s="504">
        <f>SUMIFS('Social - Promos'!$X:$X,'Social - Promos'!$A:$A,"p1")</f>
        <v/>
      </c>
      <c r="P9" s="378">
        <f>(N9-O9)/O9</f>
        <v/>
      </c>
      <c r="Q9" s="505">
        <f>N9/K9</f>
        <v/>
      </c>
      <c r="R9" s="505">
        <f>O9/L9</f>
        <v/>
      </c>
      <c r="S9" s="378">
        <f>(Q9-R9)/R9</f>
        <v/>
      </c>
      <c r="T9" s="502">
        <f>E9/N9</f>
        <v/>
      </c>
      <c r="U9" s="502">
        <f>F9/O9</f>
        <v/>
      </c>
      <c r="V9" s="375">
        <f>(T9-U9)/U9</f>
        <v/>
      </c>
      <c r="W9" s="502">
        <f>B9/N9</f>
        <v/>
      </c>
      <c r="X9" s="502">
        <f>C9/O9</f>
        <v/>
      </c>
      <c r="Y9" s="378">
        <f>(W9-X9)/X9</f>
        <v/>
      </c>
      <c r="Z9" s="506">
        <f>SUMIFS('Social - Promos'!$AF:$AF,'Social - Promos'!$A:$A,"p1")</f>
        <v/>
      </c>
      <c r="AA9" s="504">
        <f>SUMIFS('Social - Promos'!$AG:$AG,'Social - Promos'!$A:$A,"p1")</f>
        <v/>
      </c>
      <c r="AB9" s="378">
        <f>(Z9-AA9)/AA9</f>
        <v/>
      </c>
      <c r="AC9" s="506">
        <f>SUMIFS('Social - Promos'!$AI:$AI,'Social - Promos'!$A:$A,"p1")</f>
        <v/>
      </c>
      <c r="AD9" s="504">
        <f>SUMIFS('Social - Promos'!$AJ:$AJ,'Social - Promos'!$A:$A,"p1")</f>
        <v/>
      </c>
      <c r="AE9" s="378">
        <f>(AC9-AD9)/AD9</f>
        <v/>
      </c>
      <c r="AF9" s="505">
        <f>Z9/AC9</f>
        <v/>
      </c>
      <c r="AG9" s="505">
        <f>AA9/AD9</f>
        <v/>
      </c>
      <c r="AH9" s="378">
        <f>(AF9-AG9)/AG9</f>
        <v/>
      </c>
    </row>
    <row outlineLevel="1" r="10" s="452" spans="1:34">
      <c r="A10" s="373" t="s">
        <v>39</v>
      </c>
      <c r="B10" s="502">
        <f>SUMIFS('Social - Remarketing'!$D:$D,'Social - Remarketing'!$A:$A,"P1")</f>
        <v/>
      </c>
      <c r="C10" s="502">
        <f>SUMIFS('Social - Remarketing'!$E:$E,'Social - Remarketing'!$A:$A,"P1")</f>
        <v/>
      </c>
      <c r="D10" s="369">
        <f>(B10-C10)/C10</f>
        <v/>
      </c>
      <c r="E10" s="502">
        <f>SUMIFS('Social - Remarketing'!$H:$H,'Social - Remarketing'!$A:$A,"P1")</f>
        <v/>
      </c>
      <c r="F10" s="502">
        <f>SUMIFS('Social - Remarketing'!$I:$I,'Social - Remarketing'!$A:$A,"P1")</f>
        <v/>
      </c>
      <c r="G10" s="369">
        <f>(E10-F10)/F10</f>
        <v/>
      </c>
      <c r="H10" s="484">
        <f>B10/E10</f>
        <v/>
      </c>
      <c r="I10" s="484">
        <f>C10/F10</f>
        <v/>
      </c>
      <c r="J10" s="369">
        <f>(H10-I10)/I10</f>
        <v/>
      </c>
      <c r="K10" s="504">
        <f>SUMIFS('Social - Remarketing'!$X:$X,'Social - Remarketing'!$A:$A,"P1")</f>
        <v/>
      </c>
      <c r="L10" s="504">
        <f>SUMIFS('Social - Remarketing'!$Y:$Y,'Social - Remarketing'!$A:$A,"P1")</f>
        <v/>
      </c>
      <c r="M10" s="375">
        <f>(K10-L10)/L10</f>
        <v/>
      </c>
      <c r="N10" s="504">
        <f>SUMIFS('Social - Remarketing'!$AB:$AB,'Social - Remarketing'!$A:$A,"P1")</f>
        <v/>
      </c>
      <c r="O10" s="504">
        <f>SUMIFS('Social - Remarketing'!$AC:$AC,'Social - Remarketing'!$A:$A,"P1")</f>
        <v/>
      </c>
      <c r="P10" s="378">
        <f>(N10-O10)/O10</f>
        <v/>
      </c>
      <c r="Q10" s="505">
        <f>N10/K10</f>
        <v/>
      </c>
      <c r="R10" s="505">
        <f>O10/L10</f>
        <v/>
      </c>
      <c r="S10" s="378">
        <f>(Q10-R10)/R10</f>
        <v/>
      </c>
      <c r="T10" s="502">
        <f>E10/N10</f>
        <v/>
      </c>
      <c r="U10" s="502">
        <f>F10/O10</f>
        <v/>
      </c>
      <c r="V10" s="375">
        <f>(T10-U10)/U10</f>
        <v/>
      </c>
      <c r="W10" s="502">
        <f>B10/N10</f>
        <v/>
      </c>
      <c r="X10" s="502">
        <f>C10/O10</f>
        <v/>
      </c>
      <c r="Y10" s="378">
        <f>(W10-X10)/X10</f>
        <v/>
      </c>
      <c r="Z10" s="506">
        <f>SUMIFS('Social - Remarketing'!$AN:$AN,'Social - Remarketing'!$A:$A,"P1")</f>
        <v/>
      </c>
      <c r="AA10" s="504">
        <f>SUMIFS('Social - Remarketing'!$AO:$AO,'Social - Remarketing'!$A:$A,"P1")</f>
        <v/>
      </c>
      <c r="AB10" s="378">
        <f>(Z10-AA10)/AA10</f>
        <v/>
      </c>
      <c r="AC10" s="506">
        <f>SUMIFS('Social - Remarketing'!$AR:$AR,'Social - Remarketing'!$A:$A,"P1")</f>
        <v/>
      </c>
      <c r="AD10" s="504">
        <f>SUMIFS('Social - Remarketing'!$AS:$AS,'Social - Remarketing'!$A:$A,"P1")</f>
        <v/>
      </c>
      <c r="AE10" s="378">
        <f>(AC10-AD10)/AD10</f>
        <v/>
      </c>
      <c r="AF10" s="505">
        <f>Z10/AC10</f>
        <v/>
      </c>
      <c r="AG10" s="505">
        <f>AA10/AD10</f>
        <v/>
      </c>
      <c r="AH10" s="378">
        <f>(AF10-AG10)/AG10</f>
        <v/>
      </c>
    </row>
    <row customFormat="1" customHeight="1" ht="21" r="11" s="367" spans="1:34">
      <c r="A11" s="367" t="s">
        <v>29</v>
      </c>
      <c r="B11" s="497">
        <f>SUM(B12:B13)</f>
        <v/>
      </c>
      <c r="C11" s="497">
        <f>SUM(C12:C13)</f>
        <v/>
      </c>
      <c r="D11" s="369">
        <f>(B11-C11)/C11</f>
        <v/>
      </c>
      <c r="E11" s="497">
        <f>SUM(E12:E13)</f>
        <v/>
      </c>
      <c r="F11" s="497">
        <f>SUM(F12:F13)</f>
        <v/>
      </c>
      <c r="G11" s="369">
        <f>(E11-F11)/F11</f>
        <v/>
      </c>
      <c r="H11" s="498">
        <f>B11/E11</f>
        <v/>
      </c>
      <c r="I11" s="498">
        <f>C11/F11</f>
        <v/>
      </c>
      <c r="J11" s="369">
        <f>(H11-I11)/I11</f>
        <v/>
      </c>
      <c r="K11" s="499">
        <f>SUM(K12:K13)</f>
        <v/>
      </c>
      <c r="L11" s="499">
        <f>SUM(L12:L13)</f>
        <v/>
      </c>
      <c r="M11" s="369">
        <f>(K11-L11)/L11</f>
        <v/>
      </c>
      <c r="N11" s="499">
        <f>SUM(N12:N13)</f>
        <v/>
      </c>
      <c r="O11" s="499">
        <f>SUM(O12:O13)</f>
        <v/>
      </c>
      <c r="P11" s="381">
        <f>(N11-O11)/O11</f>
        <v/>
      </c>
      <c r="Q11" s="507">
        <f>N11/K11</f>
        <v/>
      </c>
      <c r="R11" s="507">
        <f>O11/L11</f>
        <v/>
      </c>
      <c r="S11" s="381">
        <f>(Q11-R11)/R11</f>
        <v/>
      </c>
      <c r="T11" s="508">
        <f>E11/N11</f>
        <v/>
      </c>
      <c r="U11" s="508">
        <f>F11/O11</f>
        <v/>
      </c>
      <c r="V11" s="369">
        <f>(T11-U11)/U11</f>
        <v/>
      </c>
      <c r="W11" s="508">
        <f>B11/N11</f>
        <v/>
      </c>
      <c r="X11" s="508">
        <f>C11/O11</f>
        <v/>
      </c>
      <c r="Y11" s="381">
        <f>(W11-X11)/X11</f>
        <v/>
      </c>
      <c r="Z11" s="501">
        <f>SUM(Z12:Z13)</f>
        <v/>
      </c>
      <c r="AA11" s="499">
        <f>SUM(AA12:AA13)</f>
        <v/>
      </c>
      <c r="AB11" s="381">
        <f>(Z11-AA11)/AA11</f>
        <v/>
      </c>
      <c r="AC11" s="501">
        <f>SUM(AC12:AC13)</f>
        <v/>
      </c>
      <c r="AD11" s="499">
        <f>SUM(AD12:AD13)</f>
        <v/>
      </c>
      <c r="AE11" s="381">
        <f>(AC11-AD11)/AD11</f>
        <v/>
      </c>
      <c r="AF11" s="507">
        <f>Z11/AC11</f>
        <v/>
      </c>
      <c r="AG11" s="507">
        <f>AA11/AD11</f>
        <v/>
      </c>
      <c r="AH11" s="381">
        <f>(AF11-AG11)/AG11</f>
        <v/>
      </c>
    </row>
    <row outlineLevel="1" r="12" s="452" spans="1:34">
      <c r="A12" s="373" t="s">
        <v>38</v>
      </c>
      <c r="B12" s="502">
        <f>SUMIFS('Display - Promos'!$E:$E,'Display - Promos'!$A:$A,"p1")</f>
        <v/>
      </c>
      <c r="C12" s="502">
        <f>SUMIFS('Display - Promos'!$F:$F,'Display - Promos'!$A:$A,"p1")</f>
        <v/>
      </c>
      <c r="D12" s="375">
        <f>(B12-C12)/C12</f>
        <v/>
      </c>
      <c r="E12" s="502">
        <f>SUMIFS('Display - Promos'!$H:$H,'Display - Promos'!$A:$A,"p1")</f>
        <v/>
      </c>
      <c r="F12" s="502">
        <f>SUMIFS('Display - Promos'!$I:$I,'Display - Promos'!$A:$A,"p1")</f>
        <v/>
      </c>
      <c r="G12" s="375">
        <f>(E12-F12)/F12</f>
        <v/>
      </c>
      <c r="H12" s="484">
        <f>B12/E12</f>
        <v/>
      </c>
      <c r="I12" s="484">
        <f>C12/F12</f>
        <v/>
      </c>
      <c r="J12" s="369">
        <f>(H12-I12)/I12</f>
        <v/>
      </c>
      <c r="K12" s="504">
        <f>SUMIFS('Display - Promos'!$N:$N,'Display - Promos'!$A:$A,"p1")</f>
        <v/>
      </c>
      <c r="L12" s="504">
        <f>SUMIFS('Display - Promos'!$O:$O,'Display - Promos'!$A:$A,"p1")</f>
        <v/>
      </c>
      <c r="M12" s="375">
        <f>(K12-L12)/L12</f>
        <v/>
      </c>
      <c r="N12" s="504">
        <f>SUMIFS('Display - Promos'!$Q:$Q,'Display - Promos'!$A:$A,"p1")</f>
        <v/>
      </c>
      <c r="O12" s="504">
        <f>SUMIFS('Display - Promos'!$R:$R,'Display - Promos'!$A:$A,"p1")</f>
        <v/>
      </c>
      <c r="P12" s="378">
        <f>(N12-O12)/O12</f>
        <v/>
      </c>
      <c r="Q12" s="505">
        <f>N12/K12</f>
        <v/>
      </c>
      <c r="R12" s="505">
        <f>O12/L12</f>
        <v/>
      </c>
      <c r="S12" s="378">
        <f>(Q12-R12)/R12</f>
        <v/>
      </c>
      <c r="T12" s="502">
        <f>E12/N12</f>
        <v/>
      </c>
      <c r="U12" s="502">
        <f>F12/O12</f>
        <v/>
      </c>
      <c r="V12" s="375">
        <f>(T12-U12)/U12</f>
        <v/>
      </c>
      <c r="W12" s="502">
        <f>B12/N12</f>
        <v/>
      </c>
      <c r="X12" s="502">
        <f>C12/O12</f>
        <v/>
      </c>
      <c r="Y12" s="378">
        <f>(W12-X12)/X12</f>
        <v/>
      </c>
      <c r="Z12" s="506">
        <f>SUMIFS('Display - Promos'!$W:$W,'Display - Promos'!$A:$A,"p1")</f>
        <v/>
      </c>
      <c r="AA12" s="504">
        <f>SUMIFS('Display - Promos'!$X:$X,'Display - Promos'!$A:$A,"p1")</f>
        <v/>
      </c>
      <c r="AB12" s="378">
        <f>(Z12-AA12)/AA12</f>
        <v/>
      </c>
      <c r="AC12" s="506">
        <f>SUMIFS('Display - Promos'!$Z:$Z,'Display - Promos'!$A:$A,"p1")</f>
        <v/>
      </c>
      <c r="AD12" s="504">
        <f>SUMIFS('Display - Promos'!$AA:$AA,'Display - Promos'!$A:$A,"p1")</f>
        <v/>
      </c>
      <c r="AE12" s="378">
        <f>(AC12-AD12)/AD12</f>
        <v/>
      </c>
      <c r="AF12" s="505">
        <f>Z12/AC12</f>
        <v/>
      </c>
      <c r="AG12" s="505">
        <f>AA12/AD12</f>
        <v/>
      </c>
      <c r="AH12" s="378">
        <f>(AF12-AG12)/AG12</f>
        <v/>
      </c>
    </row>
    <row customHeight="1" ht="19.5" outlineLevel="1" r="13" s="452" spans="1:34" thickBot="1">
      <c r="A13" s="373" t="s">
        <v>39</v>
      </c>
      <c r="B13" s="502">
        <f>SUMIFS('Display - Remarketing'!$D:$D,'Display - Remarketing'!$A:$A,"P1")</f>
        <v/>
      </c>
      <c r="C13" s="502">
        <f>SUMIFS('Display - Remarketing'!$E:$E,'Display - Remarketing'!$A:$A,"P1")</f>
        <v/>
      </c>
      <c r="D13" s="369">
        <f>(B13-C13)/C13</f>
        <v/>
      </c>
      <c r="E13" s="502">
        <f>SUMIFS('Display - Remarketing'!$H:$H,'Display - Remarketing'!$A:$A,"P1")</f>
        <v/>
      </c>
      <c r="F13" s="502">
        <f>SUMIFS('Display - Remarketing'!$I:$I,'Display - Remarketing'!$A:$A,"P1")</f>
        <v/>
      </c>
      <c r="G13" s="369">
        <f>(E13-F13)/F13</f>
        <v/>
      </c>
      <c r="H13" s="484">
        <f>B13/E13</f>
        <v/>
      </c>
      <c r="I13" s="484">
        <f>C13/F13</f>
        <v/>
      </c>
      <c r="J13" s="369">
        <f>(H13-I13)/I13</f>
        <v/>
      </c>
      <c r="K13" s="504">
        <f>SUMIFS('Display - Remarketing'!$P:$P,'Display - Remarketing'!$A:$A,"P1")</f>
        <v/>
      </c>
      <c r="L13" s="504">
        <f>SUMIFS('Display - Remarketing'!$Q:$Q,'Display - Remarketing'!$A:$A,"P1")</f>
        <v/>
      </c>
      <c r="M13" s="375">
        <f>(K13-L13)/L13</f>
        <v/>
      </c>
      <c r="N13" s="504">
        <f>SUMIFS('Display - Remarketing'!$T:$T,'Display - Remarketing'!$A:$A,"P1")</f>
        <v/>
      </c>
      <c r="O13" s="504">
        <f>SUMIFS('Display - Remarketing'!$U:$U,'Display - Remarketing'!$A:$A,"P1")</f>
        <v/>
      </c>
      <c r="P13" s="378">
        <f>(N13-O13)/O13</f>
        <v/>
      </c>
      <c r="Q13" s="505">
        <f>N13/K13</f>
        <v/>
      </c>
      <c r="R13" s="505">
        <f>O13/L13</f>
        <v/>
      </c>
      <c r="S13" s="378">
        <f>(Q13-R13)/R13</f>
        <v/>
      </c>
      <c r="T13" s="502">
        <f>E13/N13</f>
        <v/>
      </c>
      <c r="U13" s="502">
        <f>F13/O13</f>
        <v/>
      </c>
      <c r="V13" s="375">
        <f>(T13-U13)/U13</f>
        <v/>
      </c>
      <c r="W13" s="502">
        <f>B13/N13</f>
        <v/>
      </c>
      <c r="X13" s="502">
        <f>C13/O13</f>
        <v/>
      </c>
      <c r="Y13" s="378">
        <f>(W13-X13)/X13</f>
        <v/>
      </c>
      <c r="Z13" s="506">
        <f>SUMIFS('Display - Remarketing'!$AB:$AB,'Display - Remarketing'!$A:$A,"P1")</f>
        <v/>
      </c>
      <c r="AA13" s="504">
        <f>SUMIFS('Display - Remarketing'!$AC:$AC,'Display - Remarketing'!$A:$A,"P1")</f>
        <v/>
      </c>
      <c r="AB13" s="378">
        <f>(Z13-AA13)/AA13</f>
        <v/>
      </c>
      <c r="AC13" s="506">
        <f>SUMIFS('Display - Remarketing'!$AF:$AF,'Display - Remarketing'!$A:$A,"P1")</f>
        <v/>
      </c>
      <c r="AD13" s="504">
        <f>SUMIFS('Display - Remarketing'!$AG:$AG,'Display - Remarketing'!$A:$A,"P1")</f>
        <v/>
      </c>
      <c r="AE13" s="378">
        <f>(AC13-AD13)/AD13</f>
        <v/>
      </c>
      <c r="AF13" s="505">
        <f>Z13/AC13</f>
        <v/>
      </c>
      <c r="AG13" s="505">
        <f>AA13/AD13</f>
        <v/>
      </c>
      <c r="AH13" s="378">
        <f>(AF13-AG13)/AG13</f>
        <v/>
      </c>
    </row>
    <row customFormat="1" customHeight="1" ht="22.5" r="14" s="395" spans="1:34" thickBot="1" thickTop="1">
      <c r="A14" s="387" t="s">
        <v>40</v>
      </c>
      <c r="B14" s="511">
        <f>B3+B7+B8+B11</f>
        <v/>
      </c>
      <c r="C14" s="511">
        <f>C3+C7+C8+C11</f>
        <v/>
      </c>
      <c r="D14" s="389">
        <f>(B14-C14)/C14</f>
        <v/>
      </c>
      <c r="E14" s="511">
        <f>E3+E7+E8+E11</f>
        <v/>
      </c>
      <c r="F14" s="511">
        <f>F3+F7+F8+F11</f>
        <v/>
      </c>
      <c r="G14" s="390">
        <f>(E14-F14)/F14</f>
        <v/>
      </c>
      <c r="H14" s="512">
        <f>B14/E14</f>
        <v/>
      </c>
      <c r="I14" s="512">
        <f>C14/F14</f>
        <v/>
      </c>
      <c r="J14" s="390">
        <f>(H14-I14)/I14</f>
        <v/>
      </c>
      <c r="K14" s="513">
        <f>K3+K7+K8+K11</f>
        <v/>
      </c>
      <c r="L14" s="513">
        <f>L3+L7+L8+L11</f>
        <v/>
      </c>
      <c r="M14" s="390">
        <f>(K14-L14)/L14</f>
        <v/>
      </c>
      <c r="N14" s="513">
        <f>N3+N7+N8+N11</f>
        <v/>
      </c>
      <c r="O14" s="513">
        <f>O3+O7+O8+O11</f>
        <v/>
      </c>
      <c r="P14" s="389">
        <f>(N14-O14)/O14</f>
        <v/>
      </c>
      <c r="Q14" s="514">
        <f>N14/K14</f>
        <v/>
      </c>
      <c r="R14" s="514">
        <f>O14/L14</f>
        <v/>
      </c>
      <c r="S14" s="389">
        <f>(Q14-R14)/R14</f>
        <v/>
      </c>
      <c r="T14" s="511">
        <f>E14/N14</f>
        <v/>
      </c>
      <c r="U14" s="511">
        <f>F14/O14</f>
        <v/>
      </c>
      <c r="V14" s="390">
        <f>(T14-U14)/U14</f>
        <v/>
      </c>
      <c r="W14" s="511">
        <f>B14/N14</f>
        <v/>
      </c>
      <c r="X14" s="511">
        <f>C14/O14</f>
        <v/>
      </c>
      <c r="Y14" s="389">
        <f>(W14-X14)/X14</f>
        <v/>
      </c>
      <c r="Z14" s="515">
        <f>Z3+Z7+Z8+Z11</f>
        <v/>
      </c>
      <c r="AA14" s="516">
        <f>AA3+AA7+AA8+AA11</f>
        <v/>
      </c>
      <c r="AB14" s="389">
        <f>(Z14-AA14)/AA14</f>
        <v/>
      </c>
      <c r="AC14" s="515">
        <f>AC3+AC7+AC8+AC11</f>
        <v/>
      </c>
      <c r="AD14" s="513">
        <f>AD3+AD7+AD8+AD11</f>
        <v/>
      </c>
      <c r="AE14" s="389">
        <f>(AC14-AD14)/AD14</f>
        <v/>
      </c>
      <c r="AF14" s="514">
        <f>Z14/AC14</f>
        <v/>
      </c>
      <c r="AG14" s="514">
        <f>AA14/AD14</f>
        <v/>
      </c>
      <c r="AH14" s="389">
        <f>(AF14-AG14)/AG14</f>
        <v/>
      </c>
    </row>
    <row r="15" spans="1:34">
      <c r="A15" s="359" t="s">
        <v>41</v>
      </c>
      <c r="B15" s="488" t="s">
        <v>1</v>
      </c>
      <c r="C15" s="488" t="s">
        <v>2</v>
      </c>
      <c r="D15" s="489" t="s">
        <v>3</v>
      </c>
      <c r="E15" s="488" t="s">
        <v>4</v>
      </c>
      <c r="F15" s="488" t="s">
        <v>5</v>
      </c>
      <c r="G15" s="489" t="s">
        <v>3</v>
      </c>
      <c r="H15" s="490" t="s">
        <v>6</v>
      </c>
      <c r="I15" s="490" t="s">
        <v>7</v>
      </c>
      <c r="J15" s="489" t="s">
        <v>3</v>
      </c>
      <c r="K15" s="490" t="s">
        <v>8</v>
      </c>
      <c r="L15" s="491" t="s">
        <v>9</v>
      </c>
      <c r="M15" s="489" t="s">
        <v>3</v>
      </c>
      <c r="N15" s="491" t="s">
        <v>10</v>
      </c>
      <c r="O15" s="491" t="s">
        <v>11</v>
      </c>
      <c r="P15" s="489" t="s">
        <v>3</v>
      </c>
      <c r="Q15" s="491" t="s">
        <v>12</v>
      </c>
      <c r="R15" s="491" t="s">
        <v>13</v>
      </c>
      <c r="S15" s="489" t="s">
        <v>3</v>
      </c>
      <c r="T15" s="492" t="s">
        <v>14</v>
      </c>
      <c r="U15" s="492" t="s">
        <v>15</v>
      </c>
      <c r="V15" s="489" t="s">
        <v>3</v>
      </c>
      <c r="W15" s="492" t="s">
        <v>16</v>
      </c>
      <c r="X15" s="492" t="s">
        <v>17</v>
      </c>
      <c r="Y15" s="489" t="s">
        <v>3</v>
      </c>
      <c r="Z15" s="493" t="s">
        <v>18</v>
      </c>
      <c r="AA15" s="491" t="s">
        <v>19</v>
      </c>
      <c r="AB15" s="489" t="s">
        <v>3</v>
      </c>
      <c r="AC15" s="494" t="s">
        <v>33</v>
      </c>
      <c r="AD15" s="495" t="s">
        <v>34</v>
      </c>
      <c r="AE15" s="489" t="s">
        <v>3</v>
      </c>
      <c r="AF15" s="496" t="s">
        <v>22</v>
      </c>
      <c r="AG15" s="496" t="s">
        <v>23</v>
      </c>
      <c r="AH15" s="489" t="s">
        <v>3</v>
      </c>
    </row>
    <row customFormat="1" customHeight="1" ht="20.1" r="16" s="367" spans="1:34">
      <c r="A16" s="367" t="s">
        <v>24</v>
      </c>
      <c r="B16" s="497">
        <f>SUM(B17:B19)</f>
        <v/>
      </c>
      <c r="C16" s="497">
        <f>SUM(C17:C19)</f>
        <v/>
      </c>
      <c r="D16" s="369">
        <f>(B16-C16)/C16</f>
        <v/>
      </c>
      <c r="E16" s="497">
        <f>SUM(E17:E19)</f>
        <v/>
      </c>
      <c r="F16" s="497">
        <f>SUM(F17:F19)</f>
        <v/>
      </c>
      <c r="G16" s="369">
        <f>(E16-F16)/F16</f>
        <v/>
      </c>
      <c r="H16" s="498">
        <f>B16/E16</f>
        <v/>
      </c>
      <c r="I16" s="498">
        <f>C16/F16</f>
        <v/>
      </c>
      <c r="J16" s="369">
        <f>(H16-I16)/I16</f>
        <v/>
      </c>
      <c r="K16" s="499">
        <f>SUM(K17:K19)</f>
        <v/>
      </c>
      <c r="L16" s="499">
        <f>SUM(L17:L19)</f>
        <v/>
      </c>
      <c r="M16" s="369">
        <f>(K16-L16)/L16</f>
        <v/>
      </c>
      <c r="N16" s="499">
        <f>SUM(N17:N19)</f>
        <v/>
      </c>
      <c r="O16" s="499">
        <f>SUM(O17:O19)</f>
        <v/>
      </c>
      <c r="P16" s="369">
        <f>(N16-O16)/O16</f>
        <v/>
      </c>
      <c r="Q16" s="500">
        <f>N16/K16</f>
        <v/>
      </c>
      <c r="R16" s="500">
        <f>O16/L16</f>
        <v/>
      </c>
      <c r="S16" s="369">
        <f>(Q16-R16)/R16</f>
        <v/>
      </c>
      <c r="T16" s="497">
        <f>E16/N16</f>
        <v/>
      </c>
      <c r="U16" s="497">
        <f>F16/O16</f>
        <v/>
      </c>
      <c r="V16" s="369">
        <f>(T16-U16)/U16</f>
        <v/>
      </c>
      <c r="W16" s="497">
        <f>B16/N16</f>
        <v/>
      </c>
      <c r="X16" s="497">
        <f>C16/O16</f>
        <v/>
      </c>
      <c r="Y16" s="369">
        <f>(W16-X16)/X16</f>
        <v/>
      </c>
      <c r="Z16" s="501">
        <f>SUM(Z17:Z19)</f>
        <v/>
      </c>
      <c r="AA16" s="499">
        <f>SUM(AA17:AA19)</f>
        <v/>
      </c>
      <c r="AB16" s="369">
        <f>(Z16-AA16)/AA16</f>
        <v/>
      </c>
      <c r="AC16" s="501">
        <f>SUM(AC17:AC19)</f>
        <v/>
      </c>
      <c r="AD16" s="499">
        <f>SUM(AD17:AD19)</f>
        <v/>
      </c>
      <c r="AE16" s="369">
        <f>(AC16-AD16)/AD16</f>
        <v/>
      </c>
      <c r="AF16" s="500">
        <f>Z16/AC16</f>
        <v/>
      </c>
      <c r="AG16" s="500">
        <f>AA16/AD16</f>
        <v/>
      </c>
      <c r="AH16" s="369">
        <f>(AF16-AG16)/AG16</f>
        <v/>
      </c>
    </row>
    <row outlineLevel="1" r="17" s="452" spans="1:34">
      <c r="A17" s="373" t="s">
        <v>35</v>
      </c>
      <c r="B17" s="502">
        <f>SUMIFS(Search!$E:$E,Search!$A:$A,"P2",Search!$D:$D,"Brand")</f>
        <v/>
      </c>
      <c r="C17" s="502">
        <f>SUMIFS(Search!$F:$F,Search!$A:$A,"P2",Search!$D:$D,"Brand")</f>
        <v/>
      </c>
      <c r="D17" s="369">
        <f>(B17-C17)/C17</f>
        <v/>
      </c>
      <c r="E17" s="502">
        <f>SUMIFS(Search!$I:$I,Search!$A:$A,"P2",Search!$D:$D,"Brand")</f>
        <v/>
      </c>
      <c r="F17" s="502">
        <f>SUMIFS(Search!$J:$J,Search!$A:$A,"P2",Search!$D:$D,"Brand")</f>
        <v/>
      </c>
      <c r="G17" s="375">
        <f>(E17-F17)/F17</f>
        <v/>
      </c>
      <c r="H17" s="503">
        <f>B17/E17</f>
        <v/>
      </c>
      <c r="I17" s="503">
        <f>C17/F17</f>
        <v/>
      </c>
      <c r="J17" s="375">
        <f>(H17-I17)/I17</f>
        <v/>
      </c>
      <c r="K17" s="504">
        <f>SUMIFS(Search!$Q:$Q,Search!$A:$A,"P2",Search!$D:$D,"Brand")</f>
        <v/>
      </c>
      <c r="L17" s="504">
        <f>SUMIFS(Search!$R:$R,Search!$A:$A,"P2",Search!$D:$D,"Brand")</f>
        <v/>
      </c>
      <c r="M17" s="375">
        <f>(K17-L17)/L17</f>
        <v/>
      </c>
      <c r="N17" s="504">
        <f>SUMIFS(Search!$U:$U,Search!$A:$A,"P2",Search!$D:$D,"Brand")</f>
        <v/>
      </c>
      <c r="O17" s="504">
        <f>SUMIFS(Search!$V:$V,Search!$A:$A,"P2",Search!$D:$D,"Brand")</f>
        <v/>
      </c>
      <c r="P17" s="378">
        <f>(N17-O17)/O17</f>
        <v/>
      </c>
      <c r="Q17" s="505">
        <f>N17/K17</f>
        <v/>
      </c>
      <c r="R17" s="505">
        <f>O17/L17</f>
        <v/>
      </c>
      <c r="S17" s="378">
        <f>(Q17-R17)/R17</f>
        <v/>
      </c>
      <c r="T17" s="502">
        <f>E17/N17</f>
        <v/>
      </c>
      <c r="U17" s="502">
        <f>F17/O17</f>
        <v/>
      </c>
      <c r="V17" s="375">
        <f>(T17-U17)/U17</f>
        <v/>
      </c>
      <c r="W17" s="502">
        <f>B17/N17</f>
        <v/>
      </c>
      <c r="X17" s="502">
        <f>C17/O17</f>
        <v/>
      </c>
      <c r="Y17" s="378">
        <f>(W17-X17)/X17</f>
        <v/>
      </c>
      <c r="Z17" s="506">
        <f>SUMIFS(Search!$AG:$AG,Search!$A:$A,"P2",Search!$D:$D,"Brand")</f>
        <v/>
      </c>
      <c r="AA17" s="504">
        <f>SUMIFS(Search!$AH:$AH,Search!$A:$A,"P2",Search!$D:$D,"Brand")</f>
        <v/>
      </c>
      <c r="AB17" s="378">
        <f>(Z17-AA17)/AA17</f>
        <v/>
      </c>
      <c r="AC17" s="506">
        <f>SUMIFS(Search!$AK:$AK,Search!$A:$A,"P2",Search!$D:$D,"Brand")</f>
        <v/>
      </c>
      <c r="AD17" s="504">
        <f>SUMIFS(Search!$AL:$AL,Search!$A:$A,"P2",Search!$D:$D,"Brand")</f>
        <v/>
      </c>
      <c r="AE17" s="378">
        <f>(AC17-AD17)/AD17</f>
        <v/>
      </c>
      <c r="AF17" s="505">
        <f>Z17/AC17</f>
        <v/>
      </c>
      <c r="AG17" s="505">
        <f>AA17/AD17</f>
        <v/>
      </c>
      <c r="AH17" s="378">
        <f>(AF17-AG17)/AG17</f>
        <v/>
      </c>
    </row>
    <row outlineLevel="1" r="18" s="452" spans="1:34">
      <c r="A18" s="373" t="s">
        <v>36</v>
      </c>
      <c r="B18" s="502">
        <f>SUMIFS(Search!$E:$E,Search!$A:$A,"P2",Search!$D:$D,"Non-Brand")</f>
        <v/>
      </c>
      <c r="C18" s="502">
        <f>SUMIFS(Search!$F:$F,Search!$A:$A,"P2",Search!$D:$D,"Non-Brand")</f>
        <v/>
      </c>
      <c r="D18" s="369">
        <f>(B18-C18)/C18</f>
        <v/>
      </c>
      <c r="E18" s="502">
        <f>SUMIFS(Search!$I:$I,Search!$A:$A,"P2",Search!$D:$D,"Non-Brand")</f>
        <v/>
      </c>
      <c r="F18" s="502">
        <f>SUMIFS(Search!$J:$J,Search!$A:$A,"P2",Search!$D:$D,"Non-Brand")</f>
        <v/>
      </c>
      <c r="G18" s="375">
        <f>(E18-F18)/F18</f>
        <v/>
      </c>
      <c r="H18" s="503">
        <f>B18/E18</f>
        <v/>
      </c>
      <c r="I18" s="503">
        <f>C18/F18</f>
        <v/>
      </c>
      <c r="J18" s="375">
        <f>(H18-I18)/I18</f>
        <v/>
      </c>
      <c r="K18" s="504">
        <f>SUMIFS(Search!$Q:$Q,Search!$A:$A,"P2",Search!$D:$D,"Non-Brand")</f>
        <v/>
      </c>
      <c r="L18" s="504">
        <f>SUMIFS(Search!$R:$R,Search!$A:$A,"P2",Search!$D:$D,"Non-Brand")</f>
        <v/>
      </c>
      <c r="M18" s="375">
        <f>(K18-L18)/L18</f>
        <v/>
      </c>
      <c r="N18" s="504">
        <f>SUMIFS(Search!$U:$U,Search!$A:$A,"P2",Search!$D:$D,"Non-Brand")</f>
        <v/>
      </c>
      <c r="O18" s="504">
        <f>SUMIFS(Search!$V:$V,Search!$A:$A,"P2",Search!$D:$D,"Non-Brand")</f>
        <v/>
      </c>
      <c r="P18" s="378">
        <f>(N18-O18)/O18</f>
        <v/>
      </c>
      <c r="Q18" s="505">
        <f>N18/K18</f>
        <v/>
      </c>
      <c r="R18" s="505">
        <f>O18/L18</f>
        <v/>
      </c>
      <c r="S18" s="378">
        <f>(Q18-R18)/R18</f>
        <v/>
      </c>
      <c r="T18" s="502">
        <f>E18/N18</f>
        <v/>
      </c>
      <c r="U18" s="502">
        <f>F18/O18</f>
        <v/>
      </c>
      <c r="V18" s="375">
        <f>(T18-U18)/U18</f>
        <v/>
      </c>
      <c r="W18" s="502">
        <f>B18/N18</f>
        <v/>
      </c>
      <c r="X18" s="502">
        <f>C18/O18</f>
        <v/>
      </c>
      <c r="Y18" s="378">
        <f>(W18-X18)/X18</f>
        <v/>
      </c>
      <c r="Z18" s="506">
        <f>SUMIFS(Search!$AG:$AG,Search!$A:$A,"P2",Search!$D:$D,"Non-Brand")</f>
        <v/>
      </c>
      <c r="AA18" s="504">
        <f>SUMIFS(Search!$AH:$AH,Search!$A:$A,"P2",Search!$D:$D,"Non-Brand")</f>
        <v/>
      </c>
      <c r="AB18" s="378">
        <f>(Z18-AA18)/AA18</f>
        <v/>
      </c>
      <c r="AC18" s="506">
        <f>SUMIFS(Search!$AK:$AK,Search!$A:$A,"P2",Search!$D:$D,"Non-Brand")</f>
        <v/>
      </c>
      <c r="AD18" s="504">
        <f>SUMIFS(Search!$AL:$AL,Search!$A:$A,"P2",Search!$D:$D,"Non-Brand")</f>
        <v/>
      </c>
      <c r="AE18" s="378">
        <f>(AC18-AD18)/AD18</f>
        <v/>
      </c>
      <c r="AF18" s="505">
        <f>Z18/AC18</f>
        <v/>
      </c>
      <c r="AG18" s="505">
        <f>AA18/AD18</f>
        <v/>
      </c>
      <c r="AH18" s="378">
        <f>(AF18-AG18)/AG18</f>
        <v/>
      </c>
    </row>
    <row outlineLevel="1" r="19" s="452" spans="1:34">
      <c r="A19" s="373" t="s">
        <v>37</v>
      </c>
      <c r="B19" s="502">
        <f>SUMIFS(Search!$E:$E,Search!$A:$A,"P2",Search!$D:$D,"Shopping Campaigns")</f>
        <v/>
      </c>
      <c r="C19" s="502">
        <f>SUMIFS(Search!$F:$F,Search!$A:$A,"P2",Search!$D:$D,"Shopping Campaigns")</f>
        <v/>
      </c>
      <c r="D19" s="369">
        <f>(B19-C19)/C19</f>
        <v/>
      </c>
      <c r="E19" s="502">
        <f>SUMIFS(Search!$I:$I,Search!$A:$A,"P2",Search!$D:$D,"Shopping Campaigns")</f>
        <v/>
      </c>
      <c r="F19" s="502">
        <f>SUMIFS(Search!$J:$J,Search!$A:$A,"P2",Search!$D:$D,"Shopping Campaigns")</f>
        <v/>
      </c>
      <c r="G19" s="375">
        <f>(E19-F19)/F19</f>
        <v/>
      </c>
      <c r="H19" s="503">
        <f>B19/E19</f>
        <v/>
      </c>
      <c r="I19" s="503">
        <f>C19/F19</f>
        <v/>
      </c>
      <c r="J19" s="375">
        <f>(H19-I19)/I19</f>
        <v/>
      </c>
      <c r="K19" s="504">
        <f>SUMIFS(Search!$Q:$Q,Search!$A:$A,"P2",Search!$D:$D,"Shopping Campaigns")</f>
        <v/>
      </c>
      <c r="L19" s="504">
        <f>SUMIFS(Search!$R:$R,Search!$A:$A,"P2",Search!$D:$D,"Shopping Campaigns")</f>
        <v/>
      </c>
      <c r="M19" s="375">
        <f>(K19-L19)/L19</f>
        <v/>
      </c>
      <c r="N19" s="504">
        <f>SUMIFS(Search!$U:$U,Search!$A:$A,"P2",Search!$D:$D,"Shopping Campaigns")</f>
        <v/>
      </c>
      <c r="O19" s="504">
        <f>SUMIFS(Search!$V:$V,Search!$A:$A,"P2",Search!$D:$D,"Shopping Campaigns")</f>
        <v/>
      </c>
      <c r="P19" s="378">
        <f>(N19-O19)/O19</f>
        <v/>
      </c>
      <c r="Q19" s="505">
        <f>N19/K19</f>
        <v/>
      </c>
      <c r="R19" s="505">
        <f>O19/L19</f>
        <v/>
      </c>
      <c r="S19" s="378">
        <f>(Q19-R19)/R19</f>
        <v/>
      </c>
      <c r="T19" s="502">
        <f>E19/N19</f>
        <v/>
      </c>
      <c r="U19" s="502">
        <f>F19/O19</f>
        <v/>
      </c>
      <c r="V19" s="375">
        <f>(T19-U19)/U19</f>
        <v/>
      </c>
      <c r="W19" s="502">
        <f>B19/N19</f>
        <v/>
      </c>
      <c r="X19" s="502">
        <f>C19/O19</f>
        <v/>
      </c>
      <c r="Y19" s="378">
        <f>(W19-X19)/X19</f>
        <v/>
      </c>
      <c r="Z19" s="506">
        <f>SUMIFS(Search!$AG:$AG,Search!$A:$A,"P2",Search!$D:$D,"Shopping Campaigns")</f>
        <v/>
      </c>
      <c r="AA19" s="504">
        <f>SUMIFS(Search!$AH:$AH,Search!$A:$A,"P2",Search!$D:$D,"Shopping Campaigns")</f>
        <v/>
      </c>
      <c r="AB19" s="378">
        <f>(Z19-AA19)/AA19</f>
        <v/>
      </c>
      <c r="AC19" s="506">
        <f>SUMIFS(Search!$AK:$AK,Search!$A:$A,"P2",Search!$D:$D,"Shopping Campaigns")</f>
        <v/>
      </c>
      <c r="AD19" s="504">
        <f>SUMIFS(Search!$AL:$AL,Search!$A:$A,"P2",Search!$D:$D,"Shopping Campaigns")</f>
        <v/>
      </c>
      <c r="AE19" s="378">
        <f>(AC19-AD19)/AD19</f>
        <v/>
      </c>
      <c r="AF19" s="505">
        <f>Z19/AC19</f>
        <v/>
      </c>
      <c r="AG19" s="505">
        <f>AA19/AD19</f>
        <v/>
      </c>
      <c r="AH19" s="378">
        <f>(AF19-AG19)/AG19</f>
        <v/>
      </c>
    </row>
    <row customFormat="1" customHeight="1" ht="21" r="20" s="367" spans="1:34">
      <c r="A20" s="380" t="s">
        <v>27</v>
      </c>
      <c r="B20" s="497">
        <f>SUMIFS(Affiliate!D:D,Affiliate!$A:$A,"P2")</f>
        <v/>
      </c>
      <c r="C20" s="497">
        <f>SUMIFS(Affiliate!E:E,Affiliate!$A:$A,"P2")</f>
        <v/>
      </c>
      <c r="D20" s="369">
        <f>(B20-C20)/C20</f>
        <v/>
      </c>
      <c r="E20" s="497">
        <f>SUMIFS(Affiliate!H:H,Affiliate!$A:$A,"P2")</f>
        <v/>
      </c>
      <c r="F20" s="497">
        <f>SUMIFS(Affiliate!I:I,Affiliate!$A:$A,"P2")</f>
        <v/>
      </c>
      <c r="G20" s="369">
        <f>(E20-F20)/F20</f>
        <v/>
      </c>
      <c r="H20" s="498">
        <f>B20/E20</f>
        <v/>
      </c>
      <c r="I20" s="498">
        <f>C20/F20</f>
        <v/>
      </c>
      <c r="J20" s="369">
        <f>(H20-I20)/I20</f>
        <v/>
      </c>
      <c r="K20" s="499">
        <f>SUMIFS(Affiliate!$AF:$AF,Affiliate!$A:$A,"P2")</f>
        <v/>
      </c>
      <c r="L20" s="499">
        <f>SUMIFS(Affiliate!$AG:$AG,Affiliate!$A:$A,"P2")</f>
        <v/>
      </c>
      <c r="M20" s="369">
        <f>(K20-L20)/L20</f>
        <v/>
      </c>
      <c r="N20" s="499">
        <f>SUMIFS(Affiliate!$AJ:$AJ,Affiliate!$A:$A,"P2")</f>
        <v/>
      </c>
      <c r="O20" s="499">
        <f>SUMIFS(Affiliate!$AK:$AK,Affiliate!$A:$A,"P2")</f>
        <v/>
      </c>
      <c r="P20" s="381">
        <f>(N20-O20)/O20</f>
        <v/>
      </c>
      <c r="Q20" s="507">
        <f>N20/K20</f>
        <v/>
      </c>
      <c r="R20" s="507">
        <f>O20/L20</f>
        <v/>
      </c>
      <c r="S20" s="381">
        <f>(Q20-R20)/R20</f>
        <v/>
      </c>
      <c r="T20" s="508">
        <f>E20/N20</f>
        <v/>
      </c>
      <c r="U20" s="508">
        <f>F20/O20</f>
        <v/>
      </c>
      <c r="V20" s="369">
        <f>(T20-U20)/U20</f>
        <v/>
      </c>
      <c r="W20" s="508">
        <f>B20/N20</f>
        <v/>
      </c>
      <c r="X20" s="508">
        <f>C20/O20</f>
        <v/>
      </c>
      <c r="Y20" s="381">
        <f>(W20-X20)/X20</f>
        <v/>
      </c>
      <c r="Z20" s="509" t="n"/>
      <c r="AA20" s="384" t="n"/>
      <c r="AB20" s="381">
        <f>(Z20-AA20)/AA20</f>
        <v/>
      </c>
      <c r="AC20" s="509" t="n"/>
      <c r="AD20" s="384" t="n"/>
      <c r="AE20" s="381">
        <f>(AC20-AD20)/AD20</f>
        <v/>
      </c>
      <c r="AF20" s="510" t="n"/>
      <c r="AG20" s="510" t="n"/>
      <c r="AH20" s="381">
        <f>(AF20-AG20)/AG20</f>
        <v/>
      </c>
    </row>
    <row customFormat="1" customHeight="1" ht="20.1" r="21" s="367" spans="1:34">
      <c r="A21" s="367" t="s">
        <v>28</v>
      </c>
      <c r="B21" s="497">
        <f>SUM(B22:B23)</f>
        <v/>
      </c>
      <c r="C21" s="497">
        <f>SUM(C22:C23)</f>
        <v/>
      </c>
      <c r="D21" s="369">
        <f>(B21-C21)/C21</f>
        <v/>
      </c>
      <c r="E21" s="497">
        <f>SUM(E22:E23)</f>
        <v/>
      </c>
      <c r="F21" s="497">
        <f>SUM(F22:F23)</f>
        <v/>
      </c>
      <c r="G21" s="369">
        <f>(E21-F21)/F21</f>
        <v/>
      </c>
      <c r="H21" s="498">
        <f>B21/E21</f>
        <v/>
      </c>
      <c r="I21" s="498">
        <f>C21/F21</f>
        <v/>
      </c>
      <c r="J21" s="369">
        <f>(H21-I21)/I21</f>
        <v/>
      </c>
      <c r="K21" s="499">
        <f>SUM(K22:K23)</f>
        <v/>
      </c>
      <c r="L21" s="499">
        <f>SUM(L22:L23)</f>
        <v/>
      </c>
      <c r="M21" s="369">
        <f>(K21-L21)/L21</f>
        <v/>
      </c>
      <c r="N21" s="499">
        <f>SUM(N22:N23)</f>
        <v/>
      </c>
      <c r="O21" s="499">
        <f>SUM(O22:O23)</f>
        <v/>
      </c>
      <c r="P21" s="381">
        <f>(N21-O21)/O21</f>
        <v/>
      </c>
      <c r="Q21" s="507">
        <f>N21/K21</f>
        <v/>
      </c>
      <c r="R21" s="507">
        <f>O21/L21</f>
        <v/>
      </c>
      <c r="S21" s="381">
        <f>(Q21-R21)/R21</f>
        <v/>
      </c>
      <c r="T21" s="508">
        <f>E21/N21</f>
        <v/>
      </c>
      <c r="U21" s="508">
        <f>F21/O21</f>
        <v/>
      </c>
      <c r="V21" s="369">
        <f>(T21-U21)/U21</f>
        <v/>
      </c>
      <c r="W21" s="508">
        <f>B21/N21</f>
        <v/>
      </c>
      <c r="X21" s="508">
        <f>C21/O21</f>
        <v/>
      </c>
      <c r="Y21" s="381">
        <f>(W21-X21)/X21</f>
        <v/>
      </c>
      <c r="Z21" s="501">
        <f>SUM(Z22:Z23)</f>
        <v/>
      </c>
      <c r="AA21" s="499">
        <f>SUM(AA22:AA23)</f>
        <v/>
      </c>
      <c r="AB21" s="381">
        <f>(Z21-AA21)/AA21</f>
        <v/>
      </c>
      <c r="AC21" s="501">
        <f>SUM(AC22:AC23)</f>
        <v/>
      </c>
      <c r="AD21" s="499">
        <f>SUM(AD22:AD23)</f>
        <v/>
      </c>
      <c r="AE21" s="381">
        <f>(AC21-AD21)/AD21</f>
        <v/>
      </c>
      <c r="AF21" s="507">
        <f>Z21/AC21</f>
        <v/>
      </c>
      <c r="AG21" s="507">
        <f>AA21/AD21</f>
        <v/>
      </c>
      <c r="AH21" s="381">
        <f>(AF21-AG21)/AG21</f>
        <v/>
      </c>
    </row>
    <row outlineLevel="1" r="22" s="452" spans="1:34">
      <c r="A22" s="373" t="s">
        <v>38</v>
      </c>
      <c r="B22" s="502">
        <f>SUMIFS('Social - Promos'!$E:$E,'Social - Promos'!$A:$A,"P2")</f>
        <v/>
      </c>
      <c r="C22" s="502">
        <f>SUMIFS('Social - Promos'!$F:$F,'Social - Promos'!$A:$A,"P2")</f>
        <v/>
      </c>
      <c r="D22" s="369">
        <f>(B22-C22)/C22</f>
        <v/>
      </c>
      <c r="E22" s="502">
        <f>SUMIFS('Social - Promos'!$K:$K,'Social - Promos'!$A:$A,"p2")</f>
        <v/>
      </c>
      <c r="F22" s="502">
        <f>SUMIFS('Social - Promos'!$L:$L,'Social - Promos'!$A:$A,"p2")</f>
        <v/>
      </c>
      <c r="G22" s="375">
        <f>(E22-F22)/F22</f>
        <v/>
      </c>
      <c r="H22" s="484">
        <f>B22/E22</f>
        <v/>
      </c>
      <c r="I22" s="484">
        <f>C22/F22</f>
        <v/>
      </c>
      <c r="J22" s="375">
        <f>(H22-I22)/I22</f>
        <v/>
      </c>
      <c r="K22" s="504">
        <f>SUMIFS('Social - Promos'!$T:$T,'Social - Promos'!$A:$A,"p2")</f>
        <v/>
      </c>
      <c r="L22" s="504">
        <f>SUMIFS('Social - Promos'!$U:$U,'Social - Promos'!$A:$A,"p2")</f>
        <v/>
      </c>
      <c r="M22" s="375">
        <f>(K22-L22)/L22</f>
        <v/>
      </c>
      <c r="N22" s="504">
        <f>SUMIFS('Social - Promos'!$W:$W,'Social - Promos'!$A:$A,"p2")</f>
        <v/>
      </c>
      <c r="O22" s="504">
        <f>SUMIFS('Social - Promos'!$X:$X,'Social - Promos'!$A:$A,"p2")</f>
        <v/>
      </c>
      <c r="P22" s="378">
        <f>(N22-O22)/O22</f>
        <v/>
      </c>
      <c r="Q22" s="505">
        <f>N22/K22</f>
        <v/>
      </c>
      <c r="R22" s="505">
        <f>O22/L22</f>
        <v/>
      </c>
      <c r="S22" s="378">
        <f>(Q22-R22)/R22</f>
        <v/>
      </c>
      <c r="T22" s="502">
        <f>E22/N22</f>
        <v/>
      </c>
      <c r="U22" s="502">
        <f>F22/O22</f>
        <v/>
      </c>
      <c r="V22" s="375">
        <f>(T22-U22)/U22</f>
        <v/>
      </c>
      <c r="W22" s="502">
        <f>B22/N22</f>
        <v/>
      </c>
      <c r="X22" s="502">
        <f>C22/O22</f>
        <v/>
      </c>
      <c r="Y22" s="378">
        <f>(W22-X22)/X22</f>
        <v/>
      </c>
      <c r="Z22" s="506">
        <f>SUMIFS('Social - Promos'!$AF:$AF,'Social - Promos'!$A:$A,"p2")</f>
        <v/>
      </c>
      <c r="AA22" s="504">
        <f>SUMIFS('Social - Promos'!$AG:$AG,'Social - Promos'!$A:$A,"p2")</f>
        <v/>
      </c>
      <c r="AB22" s="378">
        <f>(Z22-AA22)/AA22</f>
        <v/>
      </c>
      <c r="AC22" s="506">
        <f>SUMIFS('Social - Promos'!$AI:$AI,'Social - Promos'!$A:$A,"p2")</f>
        <v/>
      </c>
      <c r="AD22" s="504">
        <f>SUMIFS('Social - Promos'!$AJ:$AJ,'Social - Promos'!$A:$A,"p2")</f>
        <v/>
      </c>
      <c r="AE22" s="378">
        <f>(AC22-AD22)/AD22</f>
        <v/>
      </c>
      <c r="AF22" s="505">
        <f>Z22/AC22</f>
        <v/>
      </c>
      <c r="AG22" s="505">
        <f>AA22/AD22</f>
        <v/>
      </c>
      <c r="AH22" s="378">
        <f>(AF22-AG22)/AG22</f>
        <v/>
      </c>
    </row>
    <row outlineLevel="1" r="23" s="452" spans="1:34">
      <c r="A23" s="373" t="s">
        <v>39</v>
      </c>
      <c r="B23" s="502">
        <f>SUMIFS('Social - Remarketing'!$D:$D,'Social - Remarketing'!A:A,"P2")</f>
        <v/>
      </c>
      <c r="C23" s="502">
        <f>SUMIFS('Social - Remarketing'!$E:$E,'Social - Remarketing'!$A:$A,"P2")</f>
        <v/>
      </c>
      <c r="D23" s="369">
        <f>(B23-C23)/C23</f>
        <v/>
      </c>
      <c r="E23" s="502">
        <f>SUMIFS('Social - Remarketing'!$H:$H,'Social - Remarketing'!$A:$A,"P2")</f>
        <v/>
      </c>
      <c r="F23" s="502">
        <f>SUMIFS('Social - Remarketing'!$I:$I,'Social - Remarketing'!$A:$A,"P2")</f>
        <v/>
      </c>
      <c r="G23" s="369">
        <f>(E23-F23)/F23</f>
        <v/>
      </c>
      <c r="H23" s="484">
        <f>B23/E23</f>
        <v/>
      </c>
      <c r="I23" s="484">
        <f>C23/F23</f>
        <v/>
      </c>
      <c r="J23" s="369">
        <f>(H23-I23)/I23</f>
        <v/>
      </c>
      <c r="K23" s="504">
        <f>SUMIFS('Social - Remarketing'!$X:$X,'Social - Remarketing'!$A:$A,"P2")</f>
        <v/>
      </c>
      <c r="L23" s="504">
        <f>SUMIFS('Social - Remarketing'!$Y:$Y,'Social - Remarketing'!$A:$A,"P2")</f>
        <v/>
      </c>
      <c r="M23" s="375">
        <f>(K23-L23)/L23</f>
        <v/>
      </c>
      <c r="N23" s="504">
        <f>SUMIFS('Social - Remarketing'!$AB:$AB,'Social - Remarketing'!$A:$A,"P2")</f>
        <v/>
      </c>
      <c r="O23" s="504">
        <f>SUMIFS('Social - Remarketing'!$AC:$AC,'Social - Remarketing'!$A:$A,"P2")</f>
        <v/>
      </c>
      <c r="P23" s="378">
        <f>(N23-O23)/O23</f>
        <v/>
      </c>
      <c r="Q23" s="505">
        <f>N23/K23</f>
        <v/>
      </c>
      <c r="R23" s="505">
        <f>O23/L23</f>
        <v/>
      </c>
      <c r="S23" s="378">
        <f>(Q23-R23)/R23</f>
        <v/>
      </c>
      <c r="T23" s="502">
        <f>E23/N23</f>
        <v/>
      </c>
      <c r="U23" s="502">
        <f>F23/O23</f>
        <v/>
      </c>
      <c r="V23" s="375">
        <f>(T23-U23)/U23</f>
        <v/>
      </c>
      <c r="W23" s="502">
        <f>B23/N23</f>
        <v/>
      </c>
      <c r="X23" s="502">
        <f>C23/O23</f>
        <v/>
      </c>
      <c r="Y23" s="378">
        <f>(W23-X23)/X23</f>
        <v/>
      </c>
      <c r="Z23" s="506">
        <f>SUMIFS('Social - Remarketing'!$AN:$AN,'Social - Remarketing'!$A:$A,"P2")</f>
        <v/>
      </c>
      <c r="AA23" s="504">
        <f>SUMIFS('Social - Remarketing'!$AO:$AO,'Social - Remarketing'!$A:$A,"P2")</f>
        <v/>
      </c>
      <c r="AB23" s="378">
        <f>(Z23-AA23)/AA23</f>
        <v/>
      </c>
      <c r="AC23" s="506">
        <f>SUMIFS('Social - Remarketing'!$AR:$AR,'Social - Remarketing'!$A:$A,"P2")</f>
        <v/>
      </c>
      <c r="AD23" s="504">
        <f>SUMIFS('Social - Remarketing'!$AS:$AS,'Social - Remarketing'!$A:$A,"P2")</f>
        <v/>
      </c>
      <c r="AE23" s="378">
        <f>(AC23-AD23)/AD23</f>
        <v/>
      </c>
      <c r="AF23" s="505">
        <f>Z23/AC23</f>
        <v/>
      </c>
      <c r="AG23" s="505">
        <f>AA23/AD23</f>
        <v/>
      </c>
      <c r="AH23" s="378">
        <f>(AF23-AG23)/AG23</f>
        <v/>
      </c>
    </row>
    <row customFormat="1" customHeight="1" ht="21" r="24" s="367" spans="1:34">
      <c r="A24" s="367" t="s">
        <v>29</v>
      </c>
      <c r="B24" s="497">
        <f>SUM(B25:B26)</f>
        <v/>
      </c>
      <c r="C24" s="497">
        <f>SUM(C25:C26)</f>
        <v/>
      </c>
      <c r="D24" s="369">
        <f>(B24-C24)/C24</f>
        <v/>
      </c>
      <c r="E24" s="497">
        <f>SUM(E25:E26)</f>
        <v/>
      </c>
      <c r="F24" s="497">
        <f>SUM(F25:F26)</f>
        <v/>
      </c>
      <c r="G24" s="369">
        <f>(E24-F24)/F24</f>
        <v/>
      </c>
      <c r="H24" s="498">
        <f>B24/E24</f>
        <v/>
      </c>
      <c r="I24" s="498">
        <f>C24/F24</f>
        <v/>
      </c>
      <c r="J24" s="369">
        <f>(H24-I24)/I24</f>
        <v/>
      </c>
      <c r="K24" s="499">
        <f>SUM(K25:K26)</f>
        <v/>
      </c>
      <c r="L24" s="499">
        <f>SUM(L25:L26)</f>
        <v/>
      </c>
      <c r="M24" s="369">
        <f>(K24-L24)/L24</f>
        <v/>
      </c>
      <c r="N24" s="499">
        <f>SUM(N25:N26)</f>
        <v/>
      </c>
      <c r="O24" s="499">
        <f>SUM(O25:O26)</f>
        <v/>
      </c>
      <c r="P24" s="381">
        <f>(N24-O24)/O24</f>
        <v/>
      </c>
      <c r="Q24" s="507">
        <f>N24/K24</f>
        <v/>
      </c>
      <c r="R24" s="507">
        <f>O24/L24</f>
        <v/>
      </c>
      <c r="S24" s="381">
        <f>(Q24-R24)/R24</f>
        <v/>
      </c>
      <c r="T24" s="508">
        <f>E24/N24</f>
        <v/>
      </c>
      <c r="U24" s="508">
        <f>F24/O24</f>
        <v/>
      </c>
      <c r="V24" s="369">
        <f>(T24-U24)/U24</f>
        <v/>
      </c>
      <c r="W24" s="508">
        <f>B24/N24</f>
        <v/>
      </c>
      <c r="X24" s="508">
        <f>C24/O24</f>
        <v/>
      </c>
      <c r="Y24" s="381">
        <f>(W24-X24)/X24</f>
        <v/>
      </c>
      <c r="Z24" s="501">
        <f>SUM(Z25:Z26)</f>
        <v/>
      </c>
      <c r="AA24" s="371">
        <f>SUM(AA25:AA26)</f>
        <v/>
      </c>
      <c r="AB24" s="381">
        <f>(Z24-AA24)/AA24</f>
        <v/>
      </c>
      <c r="AC24" s="501">
        <f>SUM(AC25:AC26)</f>
        <v/>
      </c>
      <c r="AD24" s="371">
        <f>SUM(AD25:AD26)</f>
        <v/>
      </c>
      <c r="AE24" s="381">
        <f>(AC24-AD24)/AD24</f>
        <v/>
      </c>
      <c r="AF24" s="507">
        <f>Z24/AC24</f>
        <v/>
      </c>
      <c r="AG24" s="507">
        <f>AA24/AD24</f>
        <v/>
      </c>
      <c r="AH24" s="381">
        <f>(AF24-AG24)/AG24</f>
        <v/>
      </c>
    </row>
    <row outlineLevel="1" r="25" s="452" spans="1:34">
      <c r="A25" s="373" t="s">
        <v>38</v>
      </c>
      <c r="B25" s="502">
        <f>SUMIFS('Display - Promos'!$E:$E,'Display - Promos'!$A:$A,"p2")</f>
        <v/>
      </c>
      <c r="C25" s="502">
        <f>SUMIFS('Display - Promos'!$F:$F,'Display - Promos'!$A:$A,"p2")</f>
        <v/>
      </c>
      <c r="D25" s="375">
        <f>(B25-C25)/C25</f>
        <v/>
      </c>
      <c r="E25" s="502">
        <f>SUMIFS('Display - Promos'!$H:$H,'Display - Promos'!$A:$A,"p2")</f>
        <v/>
      </c>
      <c r="F25" s="502">
        <f>SUMIFS('Display - Promos'!$I:$I,'Display - Promos'!$A:$A,"p2")</f>
        <v/>
      </c>
      <c r="G25" s="375">
        <f>(E25-F25)/F25</f>
        <v/>
      </c>
      <c r="H25" s="484">
        <f>B25/E25</f>
        <v/>
      </c>
      <c r="I25" s="484">
        <f>C25/F25</f>
        <v/>
      </c>
      <c r="J25" s="369">
        <f>(H25-I25)/I25</f>
        <v/>
      </c>
      <c r="K25" s="504">
        <f>SUMIFS('Display - Promos'!$N:$N,'Display - Promos'!$A:$A,"p2")</f>
        <v/>
      </c>
      <c r="L25" s="504">
        <f>SUMIFS('Display - Promos'!$O:$O,'Display - Promos'!$A:$A,"p2")</f>
        <v/>
      </c>
      <c r="M25" s="375">
        <f>(K25-L25)/L25</f>
        <v/>
      </c>
      <c r="N25" s="504">
        <f>SUMIFS('Display - Promos'!$Q:$Q,'Display - Promos'!$A:$A,"p2")</f>
        <v/>
      </c>
      <c r="O25" s="504">
        <f>SUMIFS('Display - Promos'!$R:$R,'Display - Promos'!$A:$A,"p2")</f>
        <v/>
      </c>
      <c r="P25" s="378">
        <f>(N25-O25)/O25</f>
        <v/>
      </c>
      <c r="Q25" s="505">
        <f>N25/K25</f>
        <v/>
      </c>
      <c r="R25" s="505">
        <f>O25/L25</f>
        <v/>
      </c>
      <c r="S25" s="378">
        <f>(Q25-R25)/R25</f>
        <v/>
      </c>
      <c r="T25" s="502">
        <f>E25/N25</f>
        <v/>
      </c>
      <c r="U25" s="502">
        <f>F25/O25</f>
        <v/>
      </c>
      <c r="V25" s="375">
        <f>(T25-U25)/U25</f>
        <v/>
      </c>
      <c r="W25" s="502">
        <f>B25/N25</f>
        <v/>
      </c>
      <c r="X25" s="502">
        <f>C25/O25</f>
        <v/>
      </c>
      <c r="Y25" s="378">
        <f>(W25-X25)/X25</f>
        <v/>
      </c>
      <c r="Z25" s="506">
        <f>SUMIFS('Display - Promos'!$W:$W,'Display - Promos'!$A:$A,"p2")</f>
        <v/>
      </c>
      <c r="AA25" s="504">
        <f>SUMIFS('Display - Promos'!$X:$X,'Display - Promos'!$A:$A,"p2")</f>
        <v/>
      </c>
      <c r="AB25" s="378">
        <f>(Z25-AA25)/AA25</f>
        <v/>
      </c>
      <c r="AC25" s="506">
        <f>SUMIFS('Display - Promos'!$Z:$Z,'Display - Promos'!$A:$A,"p2")</f>
        <v/>
      </c>
      <c r="AD25" s="504">
        <f>SUMIFS('Display - Promos'!$AA:$AA,'Display - Promos'!$A:$A,"p2")</f>
        <v/>
      </c>
      <c r="AE25" s="378">
        <f>(AC25-AD25)/AD25</f>
        <v/>
      </c>
      <c r="AF25" s="505">
        <f>Z25/AC25</f>
        <v/>
      </c>
      <c r="AG25" s="505">
        <f>AA25/AD25</f>
        <v/>
      </c>
      <c r="AH25" s="378">
        <f>(AF25-AG25)/AG25</f>
        <v/>
      </c>
    </row>
    <row customHeight="1" ht="19.5" outlineLevel="1" r="26" s="452" spans="1:34" thickBot="1">
      <c r="A26" s="373" t="s">
        <v>39</v>
      </c>
      <c r="B26" s="502">
        <f>SUMIFS('Display - Remarketing'!$D:$D,'Display - Remarketing'!$A:$A,"P2")</f>
        <v/>
      </c>
      <c r="C26" s="502">
        <f>SUMIFS('Display - Remarketing'!$E:$E,'Display - Remarketing'!$A:$A,"P2")</f>
        <v/>
      </c>
      <c r="D26" s="369">
        <f>(B26-C26)/C26</f>
        <v/>
      </c>
      <c r="E26" s="502">
        <f>SUMIFS('Display - Remarketing'!$H:$H,'Display - Remarketing'!$A:$A,"P2")</f>
        <v/>
      </c>
      <c r="F26" s="502">
        <f>SUMIFS('Display - Remarketing'!$I:$I,'Display - Remarketing'!$A:$A,"P2")</f>
        <v/>
      </c>
      <c r="G26" s="369">
        <f>(E26-F26)/F26</f>
        <v/>
      </c>
      <c r="H26" s="484">
        <f>B26/E26</f>
        <v/>
      </c>
      <c r="I26" s="484">
        <f>C26/F26</f>
        <v/>
      </c>
      <c r="J26" s="369">
        <f>(H26-I26)/I26</f>
        <v/>
      </c>
      <c r="K26" s="504">
        <f>SUMIFS('Display - Remarketing'!$P:$P,'Display - Remarketing'!$A:$A,"P2")</f>
        <v/>
      </c>
      <c r="L26" s="504">
        <f>SUMIFS('Display - Remarketing'!$Q:$Q,'Display - Remarketing'!$A:$A,"P2")</f>
        <v/>
      </c>
      <c r="M26" s="375">
        <f>(K26-L26)/L26</f>
        <v/>
      </c>
      <c r="N26" s="504">
        <f>SUMIFS('Display - Remarketing'!$T:$T,'Display - Remarketing'!$A:$A,"P2")</f>
        <v/>
      </c>
      <c r="O26" s="504">
        <f>SUMIFS('Display - Remarketing'!$U:$U,'Display - Remarketing'!$A:$A,"P2")</f>
        <v/>
      </c>
      <c r="P26" s="378">
        <f>(N26-O26)/O26</f>
        <v/>
      </c>
      <c r="Q26" s="505">
        <f>N26/K26</f>
        <v/>
      </c>
      <c r="R26" s="505">
        <f>O26/L26</f>
        <v/>
      </c>
      <c r="S26" s="378">
        <f>(Q26-R26)/R26</f>
        <v/>
      </c>
      <c r="T26" s="502">
        <f>E26/N26</f>
        <v/>
      </c>
      <c r="U26" s="502">
        <f>F26/O26</f>
        <v/>
      </c>
      <c r="V26" s="375">
        <f>(T26-U26)/U26</f>
        <v/>
      </c>
      <c r="W26" s="502">
        <f>B26/N26</f>
        <v/>
      </c>
      <c r="X26" s="502">
        <f>C26/O26</f>
        <v/>
      </c>
      <c r="Y26" s="378">
        <f>(W26-X26)/X26</f>
        <v/>
      </c>
      <c r="Z26" s="506">
        <f>SUMIFS('Display - Remarketing'!$AB:$AB,'Display - Remarketing'!$A:$A,"p2")</f>
        <v/>
      </c>
      <c r="AA26" s="504">
        <f>SUMIFS('Display - Remarketing'!$AC:$AC,'Display - Remarketing'!$A:$A,"P2")</f>
        <v/>
      </c>
      <c r="AB26" s="378">
        <f>(Z26-AA26)/AA26</f>
        <v/>
      </c>
      <c r="AC26" s="506">
        <f>SUMIFS('Display - Remarketing'!$AF:$AF,'Display - Remarketing'!$A:$A,"P2")</f>
        <v/>
      </c>
      <c r="AD26" s="504">
        <f>SUMIFS('Display - Remarketing'!$AG:$AG,'Display - Remarketing'!$A:$A,"P2")</f>
        <v/>
      </c>
      <c r="AE26" s="378">
        <f>(AC26-AD26)/AD26</f>
        <v/>
      </c>
      <c r="AF26" s="505">
        <f>Z26/AC26</f>
        <v/>
      </c>
      <c r="AG26" s="505">
        <f>AA26/AD26</f>
        <v/>
      </c>
      <c r="AH26" s="378">
        <f>(AF26-AG26)/AG26</f>
        <v/>
      </c>
    </row>
    <row customFormat="1" customHeight="1" ht="22.5" r="27" s="395" spans="1:34" thickBot="1" thickTop="1">
      <c r="A27" s="387" t="s">
        <v>40</v>
      </c>
      <c r="B27" s="511">
        <f>B16+B20+B21+B24</f>
        <v/>
      </c>
      <c r="C27" s="511">
        <f>C16+C20+C21+C24</f>
        <v/>
      </c>
      <c r="D27" s="389">
        <f>(B27-C27)/C27</f>
        <v/>
      </c>
      <c r="E27" s="511">
        <f>E16+E20+E21+E24</f>
        <v/>
      </c>
      <c r="F27" s="511">
        <f>F16+F20+F21+F24</f>
        <v/>
      </c>
      <c r="G27" s="390">
        <f>(E27-F27)/F27</f>
        <v/>
      </c>
      <c r="H27" s="512">
        <f>B27/E27</f>
        <v/>
      </c>
      <c r="I27" s="512">
        <f>C27/F27</f>
        <v/>
      </c>
      <c r="J27" s="390">
        <f>(H27-I27)/I27</f>
        <v/>
      </c>
      <c r="K27" s="513">
        <f>K16+K20+K21+K24</f>
        <v/>
      </c>
      <c r="L27" s="513">
        <f>L16+L20+L21+L24</f>
        <v/>
      </c>
      <c r="M27" s="390">
        <f>(K27-L27)/L27</f>
        <v/>
      </c>
      <c r="N27" s="513">
        <f>N16+N20+N21+N24</f>
        <v/>
      </c>
      <c r="O27" s="513">
        <f>O16+O20+O21+O24</f>
        <v/>
      </c>
      <c r="P27" s="389">
        <f>(N27-O27)/O27</f>
        <v/>
      </c>
      <c r="Q27" s="514">
        <f>N27/K27</f>
        <v/>
      </c>
      <c r="R27" s="514">
        <f>O27/L27</f>
        <v/>
      </c>
      <c r="S27" s="389">
        <f>(Q27-R27)/R27</f>
        <v/>
      </c>
      <c r="T27" s="511">
        <f>E27/N27</f>
        <v/>
      </c>
      <c r="U27" s="511">
        <f>F27/O27</f>
        <v/>
      </c>
      <c r="V27" s="390">
        <f>(T27-U27)/U27</f>
        <v/>
      </c>
      <c r="W27" s="511">
        <f>B27/N27</f>
        <v/>
      </c>
      <c r="X27" s="511">
        <f>C27/O27</f>
        <v/>
      </c>
      <c r="Y27" s="389">
        <f>(W27-X27)/X27</f>
        <v/>
      </c>
      <c r="Z27" s="515">
        <f>Z16+Z20+Z21+Z24</f>
        <v/>
      </c>
      <c r="AA27" s="516">
        <f>AA16+AA20+AA21+AA24</f>
        <v/>
      </c>
      <c r="AB27" s="389">
        <f>(Z27-AA27)/AA27</f>
        <v/>
      </c>
      <c r="AC27" s="515">
        <f>AC16+AC20+AC21+AC24</f>
        <v/>
      </c>
      <c r="AD27" s="513">
        <f>AD16+AD20+AD21+AD24</f>
        <v/>
      </c>
      <c r="AE27" s="389">
        <f>(AC27-AD27)/AD27</f>
        <v/>
      </c>
      <c r="AF27" s="514">
        <f>Z27/AC27</f>
        <v/>
      </c>
      <c r="AG27" s="514">
        <f>AA27/AD27</f>
        <v/>
      </c>
      <c r="AH27" s="389">
        <f>(AF27-AG27)/AG27</f>
        <v/>
      </c>
    </row>
    <row r="28" spans="1:34">
      <c r="A28" s="359" t="s">
        <v>42</v>
      </c>
      <c r="B28" s="488" t="s">
        <v>1</v>
      </c>
      <c r="C28" s="488" t="s">
        <v>2</v>
      </c>
      <c r="D28" s="489" t="s">
        <v>3</v>
      </c>
      <c r="E28" s="488" t="s">
        <v>4</v>
      </c>
      <c r="F28" s="488" t="s">
        <v>5</v>
      </c>
      <c r="G28" s="489" t="s">
        <v>3</v>
      </c>
      <c r="H28" s="490" t="s">
        <v>6</v>
      </c>
      <c r="I28" s="490" t="s">
        <v>7</v>
      </c>
      <c r="J28" s="489" t="s">
        <v>3</v>
      </c>
      <c r="K28" s="490" t="s">
        <v>8</v>
      </c>
      <c r="L28" s="491" t="s">
        <v>9</v>
      </c>
      <c r="M28" s="489" t="s">
        <v>3</v>
      </c>
      <c r="N28" s="491" t="s">
        <v>10</v>
      </c>
      <c r="O28" s="491" t="s">
        <v>11</v>
      </c>
      <c r="P28" s="489" t="s">
        <v>3</v>
      </c>
      <c r="Q28" s="491" t="s">
        <v>12</v>
      </c>
      <c r="R28" s="491" t="s">
        <v>13</v>
      </c>
      <c r="S28" s="489" t="s">
        <v>3</v>
      </c>
      <c r="T28" s="492" t="s">
        <v>14</v>
      </c>
      <c r="U28" s="492" t="s">
        <v>15</v>
      </c>
      <c r="V28" s="489" t="s">
        <v>3</v>
      </c>
      <c r="W28" s="492" t="s">
        <v>16</v>
      </c>
      <c r="X28" s="492" t="s">
        <v>17</v>
      </c>
      <c r="Y28" s="489" t="s">
        <v>3</v>
      </c>
      <c r="Z28" s="493" t="s">
        <v>18</v>
      </c>
      <c r="AA28" s="491" t="s">
        <v>19</v>
      </c>
      <c r="AB28" s="489" t="s">
        <v>3</v>
      </c>
      <c r="AC28" s="494" t="s">
        <v>33</v>
      </c>
      <c r="AD28" s="495" t="s">
        <v>34</v>
      </c>
      <c r="AE28" s="489" t="s">
        <v>3</v>
      </c>
      <c r="AF28" s="496" t="s">
        <v>22</v>
      </c>
      <c r="AG28" s="496" t="s">
        <v>23</v>
      </c>
      <c r="AH28" s="489" t="s">
        <v>3</v>
      </c>
    </row>
    <row customFormat="1" customHeight="1" ht="20.1" r="29" s="367" spans="1:34">
      <c r="A29" s="367" t="s">
        <v>24</v>
      </c>
      <c r="B29" s="497">
        <f>SUM(B30:B32)</f>
        <v/>
      </c>
      <c r="C29" s="497">
        <f>SUM(C30:C32)</f>
        <v/>
      </c>
      <c r="D29" s="369">
        <f>(B29-C29)/C29</f>
        <v/>
      </c>
      <c r="E29" s="497">
        <f>SUM(E30:E32)</f>
        <v/>
      </c>
      <c r="F29" s="497">
        <f>SUM(F30:F32)</f>
        <v/>
      </c>
      <c r="G29" s="369">
        <f>(E29-F29)/F29</f>
        <v/>
      </c>
      <c r="H29" s="498">
        <f>B29/E29</f>
        <v/>
      </c>
      <c r="I29" s="498">
        <f>C29/F29</f>
        <v/>
      </c>
      <c r="J29" s="369">
        <f>(H29-I29)/I29</f>
        <v/>
      </c>
      <c r="K29" s="499">
        <f>SUM(K30:K32)</f>
        <v/>
      </c>
      <c r="L29" s="499">
        <f>SUM(L30:L32)</f>
        <v/>
      </c>
      <c r="M29" s="369">
        <f>(K29-L29)/L29</f>
        <v/>
      </c>
      <c r="N29" s="499">
        <f>SUM(N30:N32)</f>
        <v/>
      </c>
      <c r="O29" s="499">
        <f>SUM(O30:O32)</f>
        <v/>
      </c>
      <c r="P29" s="369">
        <f>(N29-O29)/O29</f>
        <v/>
      </c>
      <c r="Q29" s="500">
        <f>N29/K29</f>
        <v/>
      </c>
      <c r="R29" s="500">
        <f>O29/L29</f>
        <v/>
      </c>
      <c r="S29" s="369">
        <f>(Q29-R29)/R29</f>
        <v/>
      </c>
      <c r="T29" s="497">
        <f>E29/N29</f>
        <v/>
      </c>
      <c r="U29" s="497">
        <f>F29/O29</f>
        <v/>
      </c>
      <c r="V29" s="369">
        <f>(T29-U29)/U29</f>
        <v/>
      </c>
      <c r="W29" s="497">
        <f>B29/N29</f>
        <v/>
      </c>
      <c r="X29" s="497">
        <f>C29/O29</f>
        <v/>
      </c>
      <c r="Y29" s="369">
        <f>(W29-X29)/X29</f>
        <v/>
      </c>
      <c r="Z29" s="501">
        <f>SUM(Z30:Z32)</f>
        <v/>
      </c>
      <c r="AA29" s="499">
        <f>SUM(AA30:AA32)</f>
        <v/>
      </c>
      <c r="AB29" s="369">
        <f>(Z29-AA29)/AA29</f>
        <v/>
      </c>
      <c r="AC29" s="501">
        <f>SUM(AC30:AC32)</f>
        <v/>
      </c>
      <c r="AD29" s="499">
        <f>SUM(AD30:AD32)</f>
        <v/>
      </c>
      <c r="AE29" s="369">
        <f>(AC29-AD29)/AD29</f>
        <v/>
      </c>
      <c r="AF29" s="500">
        <f>Z29/AC29</f>
        <v/>
      </c>
      <c r="AG29" s="500">
        <f>AA29/AD29</f>
        <v/>
      </c>
      <c r="AH29" s="369">
        <f>(AF29-AG29)/AG29</f>
        <v/>
      </c>
    </row>
    <row outlineLevel="1" r="30" s="452" spans="1:34">
      <c r="A30" s="373" t="s">
        <v>35</v>
      </c>
      <c r="B30" s="502">
        <f>SUMIFS(Search!$E:$E,Search!$A:$A,"P3",Search!$D:$D,"Brand")</f>
        <v/>
      </c>
      <c r="C30" s="502">
        <f>SUMIFS(Search!$F:$F,Search!$A:$A,"P3",Search!$D:$D,"Brand")</f>
        <v/>
      </c>
      <c r="D30" s="369">
        <f>(B30-C30)/C30</f>
        <v/>
      </c>
      <c r="E30" s="502">
        <f>SUMIFS(Search!$I:$I,Search!$A:$A,"P3",Search!$D:$D,"Brand")</f>
        <v/>
      </c>
      <c r="F30" s="502">
        <f>SUMIFS(Search!$J:$J,Search!$A:$A,"P3",Search!$D:$D,"Brand")</f>
        <v/>
      </c>
      <c r="G30" s="375">
        <f>(E30-F30)/F30</f>
        <v/>
      </c>
      <c r="H30" s="503">
        <f>B30/E30</f>
        <v/>
      </c>
      <c r="I30" s="503">
        <f>C30/F30</f>
        <v/>
      </c>
      <c r="J30" s="375">
        <f>(H30-I30)/I30</f>
        <v/>
      </c>
      <c r="K30" s="504">
        <f>SUMIFS(Search!$Q:$Q,Search!$A:$A,"P3",Search!$D:$D,"Brand")</f>
        <v/>
      </c>
      <c r="L30" s="504">
        <f>SUMIFS(Search!$R:$R,Search!$A:$A,"P3",Search!$D:$D,"Brand")</f>
        <v/>
      </c>
      <c r="M30" s="375">
        <f>(K30-L30)/L30</f>
        <v/>
      </c>
      <c r="N30" s="504">
        <f>SUMIFS(Search!$U:$U,Search!$A:$A,"P3",Search!$D:$D,"Brand")</f>
        <v/>
      </c>
      <c r="O30" s="504">
        <f>SUMIFS(Search!$V:$V,Search!$A:$A,"P3",Search!$D:$D,"Brand")</f>
        <v/>
      </c>
      <c r="P30" s="378">
        <f>(N30-O30)/O30</f>
        <v/>
      </c>
      <c r="Q30" s="505">
        <f>N30/K30</f>
        <v/>
      </c>
      <c r="R30" s="505">
        <f>O30/L30</f>
        <v/>
      </c>
      <c r="S30" s="378">
        <f>(Q30-R30)/R30</f>
        <v/>
      </c>
      <c r="T30" s="502">
        <f>E30/N30</f>
        <v/>
      </c>
      <c r="U30" s="502">
        <f>F30/O30</f>
        <v/>
      </c>
      <c r="V30" s="375">
        <f>(T30-U30)/U30</f>
        <v/>
      </c>
      <c r="W30" s="502">
        <f>B30/N30</f>
        <v/>
      </c>
      <c r="X30" s="502">
        <f>C30/O30</f>
        <v/>
      </c>
      <c r="Y30" s="378">
        <f>(W30-X30)/X30</f>
        <v/>
      </c>
      <c r="Z30" s="506">
        <f>SUMIFS(Search!$AG:$AG,Search!$A:$A,"P3",Search!$D:$D,"Brand")</f>
        <v/>
      </c>
      <c r="AA30" s="504">
        <f>SUMIFS(Search!$AH:$AH,Search!$A:$A,"P3",Search!$D:$D,"Brand")</f>
        <v/>
      </c>
      <c r="AB30" s="378">
        <f>(Z30-AA30)/AA30</f>
        <v/>
      </c>
      <c r="AC30" s="506">
        <f>SUMIFS(Search!$AK:$AK,Search!$A:$A,"P3",Search!$D:$D,"Brand")</f>
        <v/>
      </c>
      <c r="AD30" s="504">
        <f>SUMIFS(Search!$AL:$AL,Search!$A:$A,"P3",Search!$D:$D,"Brand")</f>
        <v/>
      </c>
      <c r="AE30" s="378">
        <f>(AC30-AD30)/AD30</f>
        <v/>
      </c>
      <c r="AF30" s="505">
        <f>Z30/AC30</f>
        <v/>
      </c>
      <c r="AG30" s="505">
        <f>AA30/AD30</f>
        <v/>
      </c>
      <c r="AH30" s="378">
        <f>(AF30-AG30)/AG30</f>
        <v/>
      </c>
    </row>
    <row outlineLevel="1" r="31" s="452" spans="1:34">
      <c r="A31" s="373" t="s">
        <v>36</v>
      </c>
      <c r="B31" s="502">
        <f>SUMIFS(Search!$E:$E,Search!$A:$A,"P3",Search!$D:$D,"Non-Brand")</f>
        <v/>
      </c>
      <c r="C31" s="502">
        <f>SUMIFS(Search!$F:$F,Search!$A:$A,"P3",Search!$D:$D,"Non-Brand")</f>
        <v/>
      </c>
      <c r="D31" s="369">
        <f>(B31-C31)/C31</f>
        <v/>
      </c>
      <c r="E31" s="502">
        <f>SUMIFS(Search!$I:$I,Search!$A:$A,"P3",Search!$D:$D,"Non-Brand")</f>
        <v/>
      </c>
      <c r="F31" s="502">
        <f>SUMIFS(Search!$J:$J,Search!$A:$A,"P3",Search!$D:$D,"Non-Brand")</f>
        <v/>
      </c>
      <c r="G31" s="375">
        <f>(E31-F31)/F31</f>
        <v/>
      </c>
      <c r="H31" s="503">
        <f>B31/E31</f>
        <v/>
      </c>
      <c r="I31" s="503">
        <f>C31/F31</f>
        <v/>
      </c>
      <c r="J31" s="375">
        <f>(H31-I31)/I31</f>
        <v/>
      </c>
      <c r="K31" s="504">
        <f>SUMIFS(Search!$Q:$Q,Search!$A:$A,"P3",Search!$D:$D,"Non-Brand")</f>
        <v/>
      </c>
      <c r="L31" s="504">
        <f>SUMIFS(Search!$R:$R,Search!$A:$A,"P3",Search!$D:$D,"Non-Brand")</f>
        <v/>
      </c>
      <c r="M31" s="375">
        <f>(K31-L31)/L31</f>
        <v/>
      </c>
      <c r="N31" s="504">
        <f>SUMIFS(Search!$U:$U,Search!$A:$A,"P3",Search!$D:$D,"Non-Brand")</f>
        <v/>
      </c>
      <c r="O31" s="504">
        <f>SUMIFS(Search!$V:$V,Search!$A:$A,"P3",Search!$D:$D,"Non-Brand")</f>
        <v/>
      </c>
      <c r="P31" s="378">
        <f>(N31-O31)/O31</f>
        <v/>
      </c>
      <c r="Q31" s="505">
        <f>N31/K31</f>
        <v/>
      </c>
      <c r="R31" s="505">
        <f>O31/L31</f>
        <v/>
      </c>
      <c r="S31" s="378">
        <f>(Q31-R31)/R31</f>
        <v/>
      </c>
      <c r="T31" s="502">
        <f>E31/N31</f>
        <v/>
      </c>
      <c r="U31" s="502">
        <f>F31/O31</f>
        <v/>
      </c>
      <c r="V31" s="375">
        <f>(T31-U31)/U31</f>
        <v/>
      </c>
      <c r="W31" s="502">
        <f>B31/N31</f>
        <v/>
      </c>
      <c r="X31" s="502">
        <f>C31/O31</f>
        <v/>
      </c>
      <c r="Y31" s="378">
        <f>(W31-X31)/X31</f>
        <v/>
      </c>
      <c r="Z31" s="506">
        <f>SUMIFS(Search!$AG:$AG,Search!$A:$A,"P3",Search!$D:$D,"Non-Brand")</f>
        <v/>
      </c>
      <c r="AA31" s="504">
        <f>SUMIFS(Search!$AH:$AH,Search!$A:$A,"P3",Search!$D:$D,"Non-Brand")</f>
        <v/>
      </c>
      <c r="AB31" s="378">
        <f>(Z31-AA31)/AA31</f>
        <v/>
      </c>
      <c r="AC31" s="506">
        <f>SUMIFS(Search!$AK:$AK,Search!$A:$A,"P3",Search!$D:$D,"Non-Brand")</f>
        <v/>
      </c>
      <c r="AD31" s="504">
        <f>SUMIFS(Search!$AL:$AL,Search!$A:$A,"P3",Search!$D:$D,"Non-Brand")</f>
        <v/>
      </c>
      <c r="AE31" s="378">
        <f>(AC31-AD31)/AD31</f>
        <v/>
      </c>
      <c r="AF31" s="505">
        <f>Z31/AC31</f>
        <v/>
      </c>
      <c r="AG31" s="505">
        <f>AA31/AD31</f>
        <v/>
      </c>
      <c r="AH31" s="378">
        <f>(AF31-AG31)/AG31</f>
        <v/>
      </c>
    </row>
    <row outlineLevel="1" r="32" s="452" spans="1:34">
      <c r="A32" s="373" t="s">
        <v>37</v>
      </c>
      <c r="B32" s="502">
        <f>SUMIFS(Search!$E:$E,Search!$A:$A,"P3",Search!$D:$D,"Shopping Campaigns")</f>
        <v/>
      </c>
      <c r="C32" s="502">
        <f>SUMIFS(Search!$F:$F,Search!$A:$A,"P3",Search!$D:$D,"Shopping Campaigns")</f>
        <v/>
      </c>
      <c r="D32" s="369">
        <f>(B32-C32)/C32</f>
        <v/>
      </c>
      <c r="E32" s="502">
        <f>SUMIFS(Search!$I:$I,Search!$A:$A,"P3",Search!$D:$D,"Shopping Campaigns")</f>
        <v/>
      </c>
      <c r="F32" s="502">
        <f>SUMIFS(Search!$J:$J,Search!$A:$A,"P3",Search!$D:$D,"Shopping Campaigns")</f>
        <v/>
      </c>
      <c r="G32" s="375">
        <f>(E32-F32)/F32</f>
        <v/>
      </c>
      <c r="H32" s="503">
        <f>B32/E32</f>
        <v/>
      </c>
      <c r="I32" s="503">
        <f>C32/F32</f>
        <v/>
      </c>
      <c r="J32" s="375">
        <f>(H32-I32)/I32</f>
        <v/>
      </c>
      <c r="K32" s="504">
        <f>SUMIFS(Search!$Q:$Q,Search!$A:$A,"P3",Search!$D:$D,"Shopping Campaigns")</f>
        <v/>
      </c>
      <c r="L32" s="504">
        <f>SUMIFS(Search!$R:$R,Search!$A:$A,"P3",Search!$D:$D,"Shopping Campaigns")</f>
        <v/>
      </c>
      <c r="M32" s="375">
        <f>(K32-L32)/L32</f>
        <v/>
      </c>
      <c r="N32" s="504">
        <f>SUMIFS(Search!$U:$U,Search!$A:$A,"P3",Search!$D:$D,"Shopping Campaigns")</f>
        <v/>
      </c>
      <c r="O32" s="504">
        <f>SUMIFS(Search!$V:$V,Search!$A:$A,"P3",Search!$D:$D,"Shopping Campaigns")</f>
        <v/>
      </c>
      <c r="P32" s="378">
        <f>(N32-O32)/O32</f>
        <v/>
      </c>
      <c r="Q32" s="505">
        <f>N32/K32</f>
        <v/>
      </c>
      <c r="R32" s="505">
        <f>O32/L32</f>
        <v/>
      </c>
      <c r="S32" s="378">
        <f>(Q32-R32)/R32</f>
        <v/>
      </c>
      <c r="T32" s="502">
        <f>E32/N32</f>
        <v/>
      </c>
      <c r="U32" s="502">
        <f>F32/O32</f>
        <v/>
      </c>
      <c r="V32" s="375">
        <f>(T32-U32)/U32</f>
        <v/>
      </c>
      <c r="W32" s="502">
        <f>B32/N32</f>
        <v/>
      </c>
      <c r="X32" s="502">
        <f>C32/O32</f>
        <v/>
      </c>
      <c r="Y32" s="378">
        <f>(W32-X32)/X32</f>
        <v/>
      </c>
      <c r="Z32" s="506">
        <f>SUMIFS(Search!$AG:$AG,Search!$A:$A,"P3",Search!$D:$D,"Shopping Campaigns")</f>
        <v/>
      </c>
      <c r="AA32" s="504">
        <f>SUMIFS(Search!$AH:$AH,Search!$A:$A,"P3",Search!$D:$D,"Shopping Campaigns")</f>
        <v/>
      </c>
      <c r="AB32" s="378">
        <f>(Z32-AA32)/AA32</f>
        <v/>
      </c>
      <c r="AC32" s="506">
        <f>SUMIFS(Search!$AK:$AK,Search!$A:$A,"P3",Search!$D:$D,"Shopping Campaigns")</f>
        <v/>
      </c>
      <c r="AD32" s="504">
        <f>SUMIFS(Search!$AL:$AL,Search!$A:$A,"P3",Search!$D:$D,"Shopping Campaigns")</f>
        <v/>
      </c>
      <c r="AE32" s="378">
        <f>(AC32-AD32)/AD32</f>
        <v/>
      </c>
      <c r="AF32" s="505">
        <f>Z32/AC32</f>
        <v/>
      </c>
      <c r="AG32" s="505">
        <f>AA32/AD32</f>
        <v/>
      </c>
      <c r="AH32" s="378">
        <f>(AF32-AG32)/AG32</f>
        <v/>
      </c>
    </row>
    <row customFormat="1" customHeight="1" ht="21" r="33" s="367" spans="1:34">
      <c r="A33" s="380" t="s">
        <v>27</v>
      </c>
      <c r="B33" s="497">
        <f>SUMIFS(Affiliate!D:D,Affiliate!$A:$A,"P3")</f>
        <v/>
      </c>
      <c r="C33" s="497">
        <f>SUMIFS(Affiliate!E:E,Affiliate!$A:$A,"P3")</f>
        <v/>
      </c>
      <c r="D33" s="369">
        <f>(B33-C33)/C33</f>
        <v/>
      </c>
      <c r="E33" s="497">
        <f>SUMIFS(Affiliate!H:H,Affiliate!$A:$A,"P3")</f>
        <v/>
      </c>
      <c r="F33" s="497">
        <f>SUMIFS(Affiliate!I:I,Affiliate!$A:$A,"P3")</f>
        <v/>
      </c>
      <c r="G33" s="369">
        <f>(E33-F33)/F33</f>
        <v/>
      </c>
      <c r="H33" s="498">
        <f>B33/E33</f>
        <v/>
      </c>
      <c r="I33" s="498">
        <f>C33/F33</f>
        <v/>
      </c>
      <c r="J33" s="369">
        <f>(H33-I33)/I33</f>
        <v/>
      </c>
      <c r="K33" s="499">
        <f>SUMIFS(Affiliate!$AF:$AF,Affiliate!$A:$A,"P3")</f>
        <v/>
      </c>
      <c r="L33" s="499">
        <f>SUMIFS(Affiliate!$AG:$AG,Affiliate!$A:$A,"P3")</f>
        <v/>
      </c>
      <c r="M33" s="369">
        <f>(K33-L33)/L33</f>
        <v/>
      </c>
      <c r="N33" s="499">
        <f>SUMIFS(Affiliate!$AJ:$AJ,Affiliate!$A:$A,"P3")</f>
        <v/>
      </c>
      <c r="O33" s="499">
        <f>SUMIFS(Affiliate!$AK:$AK,Affiliate!$A:$A,"P3")</f>
        <v/>
      </c>
      <c r="P33" s="381">
        <f>(N33-O33)/O33</f>
        <v/>
      </c>
      <c r="Q33" s="507">
        <f>N33/K33</f>
        <v/>
      </c>
      <c r="R33" s="507">
        <f>O33/L33</f>
        <v/>
      </c>
      <c r="S33" s="381">
        <f>(Q33-R33)/R33</f>
        <v/>
      </c>
      <c r="T33" s="508">
        <f>E33/N33</f>
        <v/>
      </c>
      <c r="U33" s="508">
        <f>F33/O33</f>
        <v/>
      </c>
      <c r="V33" s="369">
        <f>(T33-U33)/U33</f>
        <v/>
      </c>
      <c r="W33" s="508">
        <f>B33/N33</f>
        <v/>
      </c>
      <c r="X33" s="508">
        <f>C33/O33</f>
        <v/>
      </c>
      <c r="Y33" s="381">
        <f>(W33-X33)/X33</f>
        <v/>
      </c>
      <c r="Z33" s="509" t="n"/>
      <c r="AA33" s="384" t="n"/>
      <c r="AB33" s="381">
        <f>(Z33-AA33)/AA33</f>
        <v/>
      </c>
      <c r="AC33" s="509" t="n"/>
      <c r="AD33" s="384" t="n"/>
      <c r="AE33" s="381">
        <f>(AC33-AD33)/AD33</f>
        <v/>
      </c>
      <c r="AF33" s="510" t="n"/>
      <c r="AG33" s="510" t="n"/>
      <c r="AH33" s="381">
        <f>(AF33-AG33)/AG33</f>
        <v/>
      </c>
    </row>
    <row customFormat="1" customHeight="1" ht="20.1" r="34" s="367" spans="1:34">
      <c r="A34" s="367" t="s">
        <v>28</v>
      </c>
      <c r="B34" s="497">
        <f>SUM(B35:B36)</f>
        <v/>
      </c>
      <c r="C34" s="497">
        <f>SUM(C35:C36)</f>
        <v/>
      </c>
      <c r="D34" s="369">
        <f>(B34-C34)/C34</f>
        <v/>
      </c>
      <c r="E34" s="497">
        <f>SUM(E35:E36)</f>
        <v/>
      </c>
      <c r="F34" s="497">
        <f>SUM(F35:F36)</f>
        <v/>
      </c>
      <c r="G34" s="369">
        <f>(E34-F34)/F34</f>
        <v/>
      </c>
      <c r="H34" s="498">
        <f>B34/E34</f>
        <v/>
      </c>
      <c r="I34" s="498">
        <f>C34/F34</f>
        <v/>
      </c>
      <c r="J34" s="369">
        <f>(H34-I34)/I34</f>
        <v/>
      </c>
      <c r="K34" s="499">
        <f>SUM(K35:K36)</f>
        <v/>
      </c>
      <c r="L34" s="499">
        <f>SUM(L35:L36)</f>
        <v/>
      </c>
      <c r="M34" s="369">
        <f>(K34-L34)/L34</f>
        <v/>
      </c>
      <c r="N34" s="499">
        <f>SUM(N35:N36)</f>
        <v/>
      </c>
      <c r="O34" s="499">
        <f>SUM(O35:O36)</f>
        <v/>
      </c>
      <c r="P34" s="381">
        <f>(N34-O34)/O34</f>
        <v/>
      </c>
      <c r="Q34" s="507">
        <f>N34/K34</f>
        <v/>
      </c>
      <c r="R34" s="507">
        <f>O34/L34</f>
        <v/>
      </c>
      <c r="S34" s="381">
        <f>(Q34-R34)/R34</f>
        <v/>
      </c>
      <c r="T34" s="508">
        <f>E34/N34</f>
        <v/>
      </c>
      <c r="U34" s="508">
        <f>F34/O34</f>
        <v/>
      </c>
      <c r="V34" s="369">
        <f>(T34-U34)/U34</f>
        <v/>
      </c>
      <c r="W34" s="508">
        <f>B34/N34</f>
        <v/>
      </c>
      <c r="X34" s="508">
        <f>C34/O34</f>
        <v/>
      </c>
      <c r="Y34" s="381">
        <f>(W34-X34)/X34</f>
        <v/>
      </c>
      <c r="Z34" s="501">
        <f>SUM(Z35:Z36)</f>
        <v/>
      </c>
      <c r="AA34" s="499">
        <f>SUM(AA35:AA36)</f>
        <v/>
      </c>
      <c r="AB34" s="381">
        <f>(Z34-AA34)/AA34</f>
        <v/>
      </c>
      <c r="AC34" s="501">
        <f>SUM(AC35:AC36)</f>
        <v/>
      </c>
      <c r="AD34" s="499">
        <f>SUM(AD35:AD36)</f>
        <v/>
      </c>
      <c r="AE34" s="381">
        <f>(AC34-AD34)/AD34</f>
        <v/>
      </c>
      <c r="AF34" s="507">
        <f>Z34/AC34</f>
        <v/>
      </c>
      <c r="AG34" s="507">
        <f>AA34/AD34</f>
        <v/>
      </c>
      <c r="AH34" s="381">
        <f>(AF34-AG34)/AG34</f>
        <v/>
      </c>
    </row>
    <row outlineLevel="1" r="35" s="452" spans="1:34">
      <c r="A35" s="373" t="s">
        <v>38</v>
      </c>
      <c r="B35" s="502">
        <f>SUMIFS('Social - Promos'!$E:$E,'Social - Promos'!$A:$A,"p3")</f>
        <v/>
      </c>
      <c r="C35" s="502">
        <f>SUMIFS('Social - Promos'!$F:$F,'Social - Promos'!$A:$A,"p3")</f>
        <v/>
      </c>
      <c r="D35" s="369">
        <f>(B35-C35)/C35</f>
        <v/>
      </c>
      <c r="E35" s="502">
        <f>SUMIFS('Social - Promos'!$K:$K,'Social - Promos'!$A:$A,"p3")</f>
        <v/>
      </c>
      <c r="F35" s="502">
        <f>SUMIFS('Social - Promos'!$L:$L,'Social - Promos'!$A:$A,"p3")</f>
        <v/>
      </c>
      <c r="G35" s="375">
        <f>(E35-F35)/F35</f>
        <v/>
      </c>
      <c r="H35" s="484">
        <f>B35/E35</f>
        <v/>
      </c>
      <c r="I35" s="484">
        <f>C35/F35</f>
        <v/>
      </c>
      <c r="J35" s="375">
        <f>(H35-I35)/I35</f>
        <v/>
      </c>
      <c r="K35" s="504">
        <f>SUMIFS('Social - Promos'!$T:$T,'Social - Promos'!$A:$A,"p3")</f>
        <v/>
      </c>
      <c r="L35" s="504">
        <f>SUMIFS('Social - Promos'!$U:$U,'Social - Promos'!$A:$A,"p3")</f>
        <v/>
      </c>
      <c r="M35" s="375">
        <f>(K35-L35)/L35</f>
        <v/>
      </c>
      <c r="N35" s="504">
        <f>SUMIFS('Social - Promos'!$W:$W,'Social - Promos'!$A:$A,"p3")</f>
        <v/>
      </c>
      <c r="O35" s="504">
        <f>SUMIFS('Social - Promos'!$X:$X,'Social - Promos'!$A:$A,"p3")</f>
        <v/>
      </c>
      <c r="P35" s="378">
        <f>(N35-O35)/O35</f>
        <v/>
      </c>
      <c r="Q35" s="505">
        <f>N35/K35</f>
        <v/>
      </c>
      <c r="R35" s="505">
        <f>O35/L35</f>
        <v/>
      </c>
      <c r="S35" s="378">
        <f>(Q35-R35)/R35</f>
        <v/>
      </c>
      <c r="T35" s="502">
        <f>E35/N35</f>
        <v/>
      </c>
      <c r="U35" s="502">
        <f>F35/O35</f>
        <v/>
      </c>
      <c r="V35" s="375">
        <f>(T35-U35)/U35</f>
        <v/>
      </c>
      <c r="W35" s="502">
        <f>B35/N35</f>
        <v/>
      </c>
      <c r="X35" s="502">
        <f>C35/O35</f>
        <v/>
      </c>
      <c r="Y35" s="378">
        <f>(W35-X35)/X35</f>
        <v/>
      </c>
      <c r="Z35" s="506">
        <f>SUMIFS('Social - Promos'!$AF:$AF,'Social - Promos'!$A:$A,"p3")</f>
        <v/>
      </c>
      <c r="AA35" s="504">
        <f>SUMIFS('Social - Promos'!$AG:$AG,'Social - Promos'!$A:$A,"p3")</f>
        <v/>
      </c>
      <c r="AB35" s="378">
        <f>(Z35-AA35)/AA35</f>
        <v/>
      </c>
      <c r="AC35" s="506">
        <f>SUMIFS('Social - Promos'!$AI:$AI,'Social - Promos'!$A:$A,"p3")</f>
        <v/>
      </c>
      <c r="AD35" s="504">
        <f>SUMIFS('Social - Promos'!$AJ:$AJ,'Social - Promos'!$A:$A,"p3")</f>
        <v/>
      </c>
      <c r="AE35" s="378">
        <f>(AC35-AD35)/AD35</f>
        <v/>
      </c>
      <c r="AF35" s="505">
        <f>Z35/AC35</f>
        <v/>
      </c>
      <c r="AG35" s="505">
        <f>AA35/AD35</f>
        <v/>
      </c>
      <c r="AH35" s="378">
        <f>(AF35-AG35)/AG35</f>
        <v/>
      </c>
    </row>
    <row outlineLevel="1" r="36" s="452" spans="1:34">
      <c r="A36" s="373" t="s">
        <v>39</v>
      </c>
      <c r="B36" s="502">
        <f>SUMIFS('Social - Remarketing'!$D:$D,'Social - Remarketing'!$A:$A,"P3")</f>
        <v/>
      </c>
      <c r="C36" s="502">
        <f>SUMIFS('Social - Remarketing'!$E:$E,'Social - Remarketing'!$A:$A,"P3")</f>
        <v/>
      </c>
      <c r="D36" s="369">
        <f>(B36-C36)/C36</f>
        <v/>
      </c>
      <c r="E36" s="502">
        <f>SUMIFS('Social - Remarketing'!$H:$H,'Social - Remarketing'!$A:$A,"P3")</f>
        <v/>
      </c>
      <c r="F36" s="502">
        <f>SUMIFS('Social - Remarketing'!$I:$I,'Social - Remarketing'!$A:$A,"P3")</f>
        <v/>
      </c>
      <c r="G36" s="369">
        <f>(E36-F36)/F36</f>
        <v/>
      </c>
      <c r="H36" s="484">
        <f>B36/E36</f>
        <v/>
      </c>
      <c r="I36" s="484">
        <f>C36/F36</f>
        <v/>
      </c>
      <c r="J36" s="369">
        <f>(H36-I36)/I36</f>
        <v/>
      </c>
      <c r="K36" s="504">
        <f>SUMIFS('Social - Remarketing'!$X:$X,'Social - Remarketing'!$A:$A,"P3")</f>
        <v/>
      </c>
      <c r="L36" s="504">
        <f>SUMIFS('Social - Remarketing'!$Y:$Y,'Social - Remarketing'!$A:$A,"P3")</f>
        <v/>
      </c>
      <c r="M36" s="375">
        <f>(K36-L36)/L36</f>
        <v/>
      </c>
      <c r="N36" s="504">
        <f>SUMIFS('Social - Remarketing'!$AB:$AB,'Social - Remarketing'!$A:$A,"P3")</f>
        <v/>
      </c>
      <c r="O36" s="504">
        <f>SUMIFS('Social - Remarketing'!$AC:$AC,'Social - Remarketing'!$A:$A,"P3")</f>
        <v/>
      </c>
      <c r="P36" s="378">
        <f>(N36-O36)/O36</f>
        <v/>
      </c>
      <c r="Q36" s="505">
        <f>N36/K36</f>
        <v/>
      </c>
      <c r="R36" s="505">
        <f>O36/L36</f>
        <v/>
      </c>
      <c r="S36" s="378">
        <f>(Q36-R36)/R36</f>
        <v/>
      </c>
      <c r="T36" s="502">
        <f>E36/N36</f>
        <v/>
      </c>
      <c r="U36" s="502">
        <f>F36/O36</f>
        <v/>
      </c>
      <c r="V36" s="375">
        <f>(T36-U36)/U36</f>
        <v/>
      </c>
      <c r="W36" s="502">
        <f>B36/N36</f>
        <v/>
      </c>
      <c r="X36" s="502">
        <f>C36/O36</f>
        <v/>
      </c>
      <c r="Y36" s="378">
        <f>(W36-X36)/X36</f>
        <v/>
      </c>
      <c r="Z36" s="506">
        <f>SUMIFS('Social - Remarketing'!$AN:$AN,'Social - Remarketing'!$A:$A,"P3")</f>
        <v/>
      </c>
      <c r="AA36" s="504">
        <f>SUMIFS('Social - Remarketing'!$AO:$AO,'Social - Remarketing'!$A:$A,"P3")</f>
        <v/>
      </c>
      <c r="AB36" s="378">
        <f>(Z36-AA36)/AA36</f>
        <v/>
      </c>
      <c r="AC36" s="506">
        <f>SUMIFS('Social - Remarketing'!$AR:$AR,'Social - Remarketing'!$A:$A,"P3")</f>
        <v/>
      </c>
      <c r="AD36" s="504">
        <f>SUMIFS('Social - Remarketing'!$AS:$AS,'Social - Remarketing'!$A:$A,"P3")</f>
        <v/>
      </c>
      <c r="AE36" s="378">
        <f>(AC36-AD36)/AD36</f>
        <v/>
      </c>
      <c r="AF36" s="505">
        <f>Z36/AC36</f>
        <v/>
      </c>
      <c r="AG36" s="505">
        <f>AA36/AD36</f>
        <v/>
      </c>
      <c r="AH36" s="378">
        <f>(AF36-AG36)/AG36</f>
        <v/>
      </c>
    </row>
    <row customFormat="1" customHeight="1" ht="21" r="37" s="367" spans="1:34">
      <c r="A37" s="367" t="s">
        <v>29</v>
      </c>
      <c r="B37" s="497">
        <f>SUM(B38:B39)</f>
        <v/>
      </c>
      <c r="C37" s="497">
        <f>SUM(C38:C39)</f>
        <v/>
      </c>
      <c r="D37" s="369">
        <f>(B37-C37)/C37</f>
        <v/>
      </c>
      <c r="E37" s="497">
        <f>SUM(E38:E39)</f>
        <v/>
      </c>
      <c r="F37" s="497">
        <f>SUM(F38:F39)</f>
        <v/>
      </c>
      <c r="G37" s="369">
        <f>(E37-F37)/F37</f>
        <v/>
      </c>
      <c r="H37" s="498">
        <f>B37/E37</f>
        <v/>
      </c>
      <c r="I37" s="498">
        <f>C37/F37</f>
        <v/>
      </c>
      <c r="J37" s="369">
        <f>(H37-I37)/I37</f>
        <v/>
      </c>
      <c r="K37" s="499">
        <f>SUM(K38:K39)</f>
        <v/>
      </c>
      <c r="L37" s="499">
        <f>SUM(L38:L39)</f>
        <v/>
      </c>
      <c r="M37" s="369">
        <f>(K37-L37)/L37</f>
        <v/>
      </c>
      <c r="N37" s="499">
        <f>SUM(N38:N39)</f>
        <v/>
      </c>
      <c r="O37" s="499">
        <f>SUM(O38:O39)</f>
        <v/>
      </c>
      <c r="P37" s="381">
        <f>(N37-O37)/O37</f>
        <v/>
      </c>
      <c r="Q37" s="507">
        <f>N37/K37</f>
        <v/>
      </c>
      <c r="R37" s="507">
        <f>O37/L37</f>
        <v/>
      </c>
      <c r="S37" s="381">
        <f>(Q37-R37)/R37</f>
        <v/>
      </c>
      <c r="T37" s="508">
        <f>E37/N37</f>
        <v/>
      </c>
      <c r="U37" s="508">
        <f>F37/O37</f>
        <v/>
      </c>
      <c r="V37" s="369">
        <f>(T37-U37)/U37</f>
        <v/>
      </c>
      <c r="W37" s="508">
        <f>B37/N37</f>
        <v/>
      </c>
      <c r="X37" s="508">
        <f>C37/O37</f>
        <v/>
      </c>
      <c r="Y37" s="381">
        <f>(W37-X37)/X37</f>
        <v/>
      </c>
      <c r="Z37" s="501">
        <f>SUM(Z38:Z39)</f>
        <v/>
      </c>
      <c r="AA37" s="371">
        <f>SUM(AA38:AA39)</f>
        <v/>
      </c>
      <c r="AB37" s="381">
        <f>(Z37-AA37)/AA37</f>
        <v/>
      </c>
      <c r="AC37" s="501">
        <f>SUM(AC38:AC39)</f>
        <v/>
      </c>
      <c r="AD37" s="371">
        <f>SUM(AD38:AD39)</f>
        <v/>
      </c>
      <c r="AE37" s="381">
        <f>(AC37-AD37)/AD37</f>
        <v/>
      </c>
      <c r="AF37" s="507">
        <f>Z37/AC37</f>
        <v/>
      </c>
      <c r="AG37" s="507">
        <f>AA37/AD37</f>
        <v/>
      </c>
      <c r="AH37" s="381">
        <f>(AF37-AG37)/AG37</f>
        <v/>
      </c>
    </row>
    <row outlineLevel="1" r="38" s="452" spans="1:34">
      <c r="A38" s="373" t="s">
        <v>38</v>
      </c>
      <c r="B38" s="502">
        <f>SUMIFS('Display - Promos'!$E:$E,'Display - Promos'!$A:$A,"P3")</f>
        <v/>
      </c>
      <c r="C38" s="502">
        <f>SUMIFS('Display - Promos'!$F:$F,'Display - Promos'!$A:$A,"P3")</f>
        <v/>
      </c>
      <c r="D38" s="375">
        <f>(B38-C38)/C38</f>
        <v/>
      </c>
      <c r="E38" s="502">
        <f>SUMIFS('Display - Promos'!$H:$H,'Display - Promos'!$A:$A,"p3")</f>
        <v/>
      </c>
      <c r="F38" s="502">
        <f>SUMIFS('Display - Promos'!$I:$I,'Display - Promos'!$A:$A,"p3")</f>
        <v/>
      </c>
      <c r="G38" s="375">
        <f>(E38-F38)/F38</f>
        <v/>
      </c>
      <c r="H38" s="484">
        <f>B38/E38</f>
        <v/>
      </c>
      <c r="I38" s="484">
        <f>C38/F38</f>
        <v/>
      </c>
      <c r="J38" s="369">
        <f>(H38-I38)/I38</f>
        <v/>
      </c>
      <c r="K38" s="504">
        <f>SUMIFS('Display - Promos'!$N:$N,'Display - Promos'!$A:$A,"p3")</f>
        <v/>
      </c>
      <c r="L38" s="504">
        <f>SUMIFS('Display - Promos'!$O:$O,'Display - Promos'!$A:$A,"p3")</f>
        <v/>
      </c>
      <c r="M38" s="375">
        <f>(K38-L38)/L38</f>
        <v/>
      </c>
      <c r="N38" s="504">
        <f>SUMIFS('Display - Promos'!$Q:$Q,'Display - Promos'!$A:$A,"p3")</f>
        <v/>
      </c>
      <c r="O38" s="504">
        <f>SUMIFS('Display - Promos'!$R:$R,'Display - Promos'!$A:$A,"p3")</f>
        <v/>
      </c>
      <c r="P38" s="378">
        <f>(N38-O38)/O38</f>
        <v/>
      </c>
      <c r="Q38" s="505">
        <f>N38/K38</f>
        <v/>
      </c>
      <c r="R38" s="505">
        <f>O38/L38</f>
        <v/>
      </c>
      <c r="S38" s="378">
        <f>(Q38-R38)/R38</f>
        <v/>
      </c>
      <c r="T38" s="502">
        <f>E38/N38</f>
        <v/>
      </c>
      <c r="U38" s="502">
        <f>F38/O38</f>
        <v/>
      </c>
      <c r="V38" s="375">
        <f>(T38-U38)/U38</f>
        <v/>
      </c>
      <c r="W38" s="502">
        <f>B38/N38</f>
        <v/>
      </c>
      <c r="X38" s="502">
        <f>C38/O38</f>
        <v/>
      </c>
      <c r="Y38" s="378">
        <f>(W38-X38)/X38</f>
        <v/>
      </c>
      <c r="Z38" s="506">
        <f>SUMIFS('Display - Promos'!$W:$W,'Display - Promos'!$A:$A,"p3")</f>
        <v/>
      </c>
      <c r="AA38" s="504">
        <f>SUMIFS('Display - Promos'!$X:$X,'Display - Promos'!$A:$A,"p3")</f>
        <v/>
      </c>
      <c r="AB38" s="378">
        <f>(Z38-AA38)/AA38</f>
        <v/>
      </c>
      <c r="AC38" s="506">
        <f>SUMIFS('Display - Promos'!$Z:$Z,'Display - Promos'!$A:$A,"p3")</f>
        <v/>
      </c>
      <c r="AD38" s="504">
        <f>SUMIFS('Display - Promos'!$AA:$AA,'Display - Promos'!$A:$A,"p3")</f>
        <v/>
      </c>
      <c r="AE38" s="378">
        <f>(AC38-AD38)/AD38</f>
        <v/>
      </c>
      <c r="AF38" s="505">
        <f>Z38/AC38</f>
        <v/>
      </c>
      <c r="AG38" s="505">
        <f>AA38/AD38</f>
        <v/>
      </c>
      <c r="AH38" s="378">
        <f>(AF38-AG38)/AG38</f>
        <v/>
      </c>
    </row>
    <row customHeight="1" ht="19.5" outlineLevel="1" r="39" s="452" spans="1:34" thickBot="1">
      <c r="A39" s="373" t="s">
        <v>39</v>
      </c>
      <c r="B39" s="502">
        <f>SUMIFS('Display - Remarketing'!$D:$D,'Display - Remarketing'!$A:$A,"P3")</f>
        <v/>
      </c>
      <c r="C39" s="502">
        <f>SUMIFS('Display - Remarketing'!$E:$E,'Display - Remarketing'!$A:$A,"P3")</f>
        <v/>
      </c>
      <c r="D39" s="369">
        <f>(B39-C39)/C39</f>
        <v/>
      </c>
      <c r="E39" s="502">
        <f>SUMIFS('Display - Remarketing'!$H:$H,'Display - Remarketing'!$A:$A,"P3")</f>
        <v/>
      </c>
      <c r="F39" s="502">
        <f>SUMIFS('Display - Remarketing'!$I:$I,'Display - Remarketing'!$A:$A,"P3")</f>
        <v/>
      </c>
      <c r="G39" s="369">
        <f>(E39-F39)/F39</f>
        <v/>
      </c>
      <c r="H39" s="484">
        <f>B39/E39</f>
        <v/>
      </c>
      <c r="I39" s="484">
        <f>C39/F39</f>
        <v/>
      </c>
      <c r="J39" s="369">
        <f>(H39-I39)/I39</f>
        <v/>
      </c>
      <c r="K39" s="504">
        <f>SUMIFS('Display - Remarketing'!$P:$P,'Display - Remarketing'!$A:$A,"P3")</f>
        <v/>
      </c>
      <c r="L39" s="504">
        <f>SUMIFS('Display - Remarketing'!$Q:$Q,'Display - Remarketing'!$A:$A,"P3")</f>
        <v/>
      </c>
      <c r="M39" s="375">
        <f>(K39-L39)/L39</f>
        <v/>
      </c>
      <c r="N39" s="504">
        <f>SUMIFS('Display - Remarketing'!$T:$T,'Display - Remarketing'!$A:$A,"P3")</f>
        <v/>
      </c>
      <c r="O39" s="504">
        <f>SUMIFS('Display - Remarketing'!$U:$U,'Display - Remarketing'!$A:$A,"P3")</f>
        <v/>
      </c>
      <c r="P39" s="378">
        <f>(N39-O39)/O39</f>
        <v/>
      </c>
      <c r="Q39" s="505">
        <f>N39/K39</f>
        <v/>
      </c>
      <c r="R39" s="505">
        <f>O39/L39</f>
        <v/>
      </c>
      <c r="S39" s="378">
        <f>(Q39-R39)/R39</f>
        <v/>
      </c>
      <c r="T39" s="502">
        <f>E39/N39</f>
        <v/>
      </c>
      <c r="U39" s="502">
        <f>F39/O39</f>
        <v/>
      </c>
      <c r="V39" s="375">
        <f>(T39-U39)/U39</f>
        <v/>
      </c>
      <c r="W39" s="502">
        <f>B39/N39</f>
        <v/>
      </c>
      <c r="X39" s="502">
        <f>C39/O39</f>
        <v/>
      </c>
      <c r="Y39" s="378">
        <f>(W39-X39)/X39</f>
        <v/>
      </c>
      <c r="Z39" s="506">
        <f>SUMIFS('Display - Remarketing'!$AB:$AB,'Display - Remarketing'!$A:$A,"p3")</f>
        <v/>
      </c>
      <c r="AA39" s="504">
        <f>SUMIFS('Display - Remarketing'!$AC:$AC,'Display - Remarketing'!$A:$A,"P3")</f>
        <v/>
      </c>
      <c r="AB39" s="378">
        <f>(Z39-AA39)/AA39</f>
        <v/>
      </c>
      <c r="AC39" s="506">
        <f>SUMIFS('Display - Remarketing'!$AF:$AF,'Display - Remarketing'!$A:$A,"P3")</f>
        <v/>
      </c>
      <c r="AD39" s="504">
        <f>SUMIFS('Display - Remarketing'!$AG:$AG,'Display - Remarketing'!$A:$A,"P3")</f>
        <v/>
      </c>
      <c r="AE39" s="378">
        <f>(AC39-AD39)/AD39</f>
        <v/>
      </c>
      <c r="AF39" s="505">
        <f>Z39/AC39</f>
        <v/>
      </c>
      <c r="AG39" s="505">
        <f>AA39/AD39</f>
        <v/>
      </c>
      <c r="AH39" s="378">
        <f>(AF39-AG39)/AG39</f>
        <v/>
      </c>
    </row>
    <row customFormat="1" customHeight="1" ht="22.5" r="40" s="395" spans="1:34" thickBot="1" thickTop="1">
      <c r="A40" s="387" t="s">
        <v>40</v>
      </c>
      <c r="B40" s="511">
        <f>B29+B33+B34+B37</f>
        <v/>
      </c>
      <c r="C40" s="511">
        <f>C29+C33+C34+C37</f>
        <v/>
      </c>
      <c r="D40" s="389">
        <f>(B40-C40)/C40</f>
        <v/>
      </c>
      <c r="E40" s="511">
        <f>E29+E33+E34+E37</f>
        <v/>
      </c>
      <c r="F40" s="511">
        <f>F29+F33+F34+F37</f>
        <v/>
      </c>
      <c r="G40" s="390">
        <f>(E40-F40)/F40</f>
        <v/>
      </c>
      <c r="H40" s="512">
        <f>B40/E40</f>
        <v/>
      </c>
      <c r="I40" s="512">
        <f>C40/F40</f>
        <v/>
      </c>
      <c r="J40" s="390">
        <f>(H40-I40)/I40</f>
        <v/>
      </c>
      <c r="K40" s="513">
        <f>K29+K33+K34+K37</f>
        <v/>
      </c>
      <c r="L40" s="513">
        <f>L29+L33+L34+L37</f>
        <v/>
      </c>
      <c r="M40" s="390">
        <f>(K40-L40)/L40</f>
        <v/>
      </c>
      <c r="N40" s="513">
        <f>N29+N33+N34+N37</f>
        <v/>
      </c>
      <c r="O40" s="513">
        <f>O29+O33+O34+O37</f>
        <v/>
      </c>
      <c r="P40" s="389">
        <f>(N40-O40)/O40</f>
        <v/>
      </c>
      <c r="Q40" s="514">
        <f>N40/K40</f>
        <v/>
      </c>
      <c r="R40" s="514">
        <f>O40/L40</f>
        <v/>
      </c>
      <c r="S40" s="389">
        <f>(Q40-R40)/R40</f>
        <v/>
      </c>
      <c r="T40" s="511">
        <f>E40/N40</f>
        <v/>
      </c>
      <c r="U40" s="511">
        <f>F40/O40</f>
        <v/>
      </c>
      <c r="V40" s="390">
        <f>(T40-U40)/U40</f>
        <v/>
      </c>
      <c r="W40" s="511">
        <f>B40/N40</f>
        <v/>
      </c>
      <c r="X40" s="511">
        <f>C40/O40</f>
        <v/>
      </c>
      <c r="Y40" s="389">
        <f>(W40-X40)/X40</f>
        <v/>
      </c>
      <c r="Z40" s="515">
        <f>Z29+Z33+Z34+Z37</f>
        <v/>
      </c>
      <c r="AA40" s="516">
        <f>AA29+AA33+AA34+AA37</f>
        <v/>
      </c>
      <c r="AB40" s="389">
        <f>(Z40-AA40)/AA40</f>
        <v/>
      </c>
      <c r="AC40" s="515">
        <f>AC29+AC33+AC34+AC37</f>
        <v/>
      </c>
      <c r="AD40" s="513">
        <f>AD29+AD33+AD34+AD37</f>
        <v/>
      </c>
      <c r="AE40" s="389">
        <f>(AC40-AD40)/AD40</f>
        <v/>
      </c>
      <c r="AF40" s="514">
        <f>Z40/AC40</f>
        <v/>
      </c>
      <c r="AG40" s="514">
        <f>AA40/AD40</f>
        <v/>
      </c>
      <c r="AH40" s="389">
        <f>(AF40-AG40)/AG40</f>
        <v/>
      </c>
    </row>
    <row r="41" spans="1:34">
      <c r="A41" s="359" t="s">
        <v>43</v>
      </c>
      <c r="B41" s="488" t="s">
        <v>1</v>
      </c>
      <c r="C41" s="488" t="s">
        <v>2</v>
      </c>
      <c r="D41" s="489" t="s">
        <v>3</v>
      </c>
      <c r="E41" s="488" t="s">
        <v>4</v>
      </c>
      <c r="F41" s="488" t="s">
        <v>5</v>
      </c>
      <c r="G41" s="489" t="s">
        <v>3</v>
      </c>
      <c r="H41" s="490" t="s">
        <v>6</v>
      </c>
      <c r="I41" s="490" t="s">
        <v>7</v>
      </c>
      <c r="J41" s="489" t="s">
        <v>3</v>
      </c>
      <c r="K41" s="490" t="s">
        <v>8</v>
      </c>
      <c r="L41" s="491" t="s">
        <v>9</v>
      </c>
      <c r="M41" s="489" t="s">
        <v>3</v>
      </c>
      <c r="N41" s="491" t="s">
        <v>10</v>
      </c>
      <c r="O41" s="491" t="s">
        <v>11</v>
      </c>
      <c r="P41" s="489" t="s">
        <v>3</v>
      </c>
      <c r="Q41" s="491" t="s">
        <v>12</v>
      </c>
      <c r="R41" s="491" t="s">
        <v>13</v>
      </c>
      <c r="S41" s="489" t="s">
        <v>3</v>
      </c>
      <c r="T41" s="492" t="s">
        <v>14</v>
      </c>
      <c r="U41" s="492" t="s">
        <v>15</v>
      </c>
      <c r="V41" s="489" t="s">
        <v>3</v>
      </c>
      <c r="W41" s="492" t="s">
        <v>16</v>
      </c>
      <c r="X41" s="492" t="s">
        <v>17</v>
      </c>
      <c r="Y41" s="489" t="s">
        <v>3</v>
      </c>
      <c r="Z41" s="493" t="s">
        <v>18</v>
      </c>
      <c r="AA41" s="491" t="s">
        <v>19</v>
      </c>
      <c r="AB41" s="489" t="s">
        <v>3</v>
      </c>
      <c r="AC41" s="494" t="s">
        <v>33</v>
      </c>
      <c r="AD41" s="495" t="s">
        <v>34</v>
      </c>
      <c r="AE41" s="489" t="s">
        <v>3</v>
      </c>
      <c r="AF41" s="496" t="s">
        <v>22</v>
      </c>
      <c r="AG41" s="496" t="s">
        <v>23</v>
      </c>
      <c r="AH41" s="489" t="s">
        <v>3</v>
      </c>
    </row>
    <row customFormat="1" customHeight="1" ht="20.1" r="42" s="367" spans="1:34">
      <c r="A42" s="367" t="s">
        <v>24</v>
      </c>
      <c r="B42" s="497">
        <f>SUM(B43:B45)</f>
        <v/>
      </c>
      <c r="C42" s="497">
        <f>SUM(C43:C45)</f>
        <v/>
      </c>
      <c r="D42" s="369">
        <f>(B42-C42)/C42</f>
        <v/>
      </c>
      <c r="E42" s="497">
        <f>SUM(E43:E45)</f>
        <v/>
      </c>
      <c r="F42" s="497">
        <f>SUM(F43:F45)</f>
        <v/>
      </c>
      <c r="G42" s="369">
        <f>(E42-F42)/F42</f>
        <v/>
      </c>
      <c r="H42" s="498">
        <f>B42/E42</f>
        <v/>
      </c>
      <c r="I42" s="498">
        <f>C42/F42</f>
        <v/>
      </c>
      <c r="J42" s="369">
        <f>(H42-I42)/I42</f>
        <v/>
      </c>
      <c r="K42" s="499">
        <f>SUM(K43:K45)</f>
        <v/>
      </c>
      <c r="L42" s="499">
        <f>SUM(L43:L45)</f>
        <v/>
      </c>
      <c r="M42" s="369">
        <f>(K42-L42)/L42</f>
        <v/>
      </c>
      <c r="N42" s="499">
        <f>SUM(N43:N45)</f>
        <v/>
      </c>
      <c r="O42" s="499">
        <f>SUM(O43:O45)</f>
        <v/>
      </c>
      <c r="P42" s="369">
        <f>(N42-O42)/O42</f>
        <v/>
      </c>
      <c r="Q42" s="500">
        <f>N42/K42</f>
        <v/>
      </c>
      <c r="R42" s="500">
        <f>O42/L42</f>
        <v/>
      </c>
      <c r="S42" s="369">
        <f>(Q42-R42)/R42</f>
        <v/>
      </c>
      <c r="T42" s="497">
        <f>E42/N42</f>
        <v/>
      </c>
      <c r="U42" s="497">
        <f>F42/O42</f>
        <v/>
      </c>
      <c r="V42" s="369">
        <f>(T42-U42)/U42</f>
        <v/>
      </c>
      <c r="W42" s="497">
        <f>B42/N42</f>
        <v/>
      </c>
      <c r="X42" s="497">
        <f>C42/O42</f>
        <v/>
      </c>
      <c r="Y42" s="369">
        <f>(W42-X42)/X42</f>
        <v/>
      </c>
      <c r="Z42" s="501">
        <f>SUM(Z43:Z45)</f>
        <v/>
      </c>
      <c r="AA42" s="499">
        <f>SUM(AA43:AA45)</f>
        <v/>
      </c>
      <c r="AB42" s="369">
        <f>(Z42-AA42)/AA42</f>
        <v/>
      </c>
      <c r="AC42" s="501">
        <f>SUM(AC43:AC45)</f>
        <v/>
      </c>
      <c r="AD42" s="499">
        <f>SUM(AD43:AD45)</f>
        <v/>
      </c>
      <c r="AE42" s="369">
        <f>(AC42-AD42)/AD42</f>
        <v/>
      </c>
      <c r="AF42" s="500">
        <f>Z42/AC42</f>
        <v/>
      </c>
      <c r="AG42" s="500">
        <f>AA42/AD42</f>
        <v/>
      </c>
      <c r="AH42" s="369">
        <f>(AF42-AG42)/AG42</f>
        <v/>
      </c>
    </row>
    <row outlineLevel="1" r="43" s="452" spans="1:34">
      <c r="A43" s="373" t="s">
        <v>35</v>
      </c>
      <c r="B43" s="502">
        <f>SUMIFS(Search!$E:$E,Search!$A:$A,"P4",Search!$D:$D,"Brand")</f>
        <v/>
      </c>
      <c r="C43" s="502">
        <f>SUMIFS(Search!$F:$F,Search!$A:$A,"P4",Search!$D:$D,"Brand")</f>
        <v/>
      </c>
      <c r="D43" s="369">
        <f>(B43-C43)/C43</f>
        <v/>
      </c>
      <c r="E43" s="502">
        <f>SUMIFS(Search!$I:$I,Search!$A:$A,"P4",Search!$D:$D,"Brand")</f>
        <v/>
      </c>
      <c r="F43" s="502">
        <f>SUMIFS(Search!$J:$J,Search!$A:$A,"P4",Search!$D:$D,"Brand")</f>
        <v/>
      </c>
      <c r="G43" s="375">
        <f>(E43-F43)/F43</f>
        <v/>
      </c>
      <c r="H43" s="503">
        <f>B43/E43</f>
        <v/>
      </c>
      <c r="I43" s="503">
        <f>C43/F43</f>
        <v/>
      </c>
      <c r="J43" s="375">
        <f>(H43-I43)/I43</f>
        <v/>
      </c>
      <c r="K43" s="504">
        <f>SUMIFS(Search!$Q:$Q,Search!$A:$A,"P4",Search!$D:$D,"Brand")</f>
        <v/>
      </c>
      <c r="L43" s="504">
        <f>SUMIFS(Search!$R:$R,Search!$A:$A,"P4",Search!$D:$D,"Brand")</f>
        <v/>
      </c>
      <c r="M43" s="375">
        <f>(K43-L43)/L43</f>
        <v/>
      </c>
      <c r="N43" s="504">
        <f>SUMIFS(Search!$U:$U,Search!$A:$A,"P4",Search!$D:$D,"Brand")</f>
        <v/>
      </c>
      <c r="O43" s="504">
        <f>SUMIFS(Search!$V:$V,Search!$A:$A,"P4",Search!$D:$D,"Brand")</f>
        <v/>
      </c>
      <c r="P43" s="378">
        <f>(N43-O43)/O43</f>
        <v/>
      </c>
      <c r="Q43" s="505">
        <f>N43/K43</f>
        <v/>
      </c>
      <c r="R43" s="505">
        <f>O43/L43</f>
        <v/>
      </c>
      <c r="S43" s="378">
        <f>(Q43-R43)/R43</f>
        <v/>
      </c>
      <c r="T43" s="502">
        <f>E43/N43</f>
        <v/>
      </c>
      <c r="U43" s="502">
        <f>F43/O43</f>
        <v/>
      </c>
      <c r="V43" s="375">
        <f>(T43-U43)/U43</f>
        <v/>
      </c>
      <c r="W43" s="502">
        <f>B43/N43</f>
        <v/>
      </c>
      <c r="X43" s="502">
        <f>C43/O43</f>
        <v/>
      </c>
      <c r="Y43" s="378">
        <f>(W43-X43)/X43</f>
        <v/>
      </c>
      <c r="Z43" s="506">
        <f>SUMIFS(Search!$AG:$AG,Search!$A:$A,"P4",Search!$D:$D,"Brand")</f>
        <v/>
      </c>
      <c r="AA43" s="504">
        <f>SUMIFS(Search!$AH:$AH,Search!$A:$A,"P4",Search!$D:$D,"Brand")</f>
        <v/>
      </c>
      <c r="AB43" s="378">
        <f>(Z43-AA43)/AA43</f>
        <v/>
      </c>
      <c r="AC43" s="506">
        <f>SUMIFS(Search!$AK:$AK,Search!$A:$A,"P4",Search!$D:$D,"Brand")</f>
        <v/>
      </c>
      <c r="AD43" s="504">
        <f>SUMIFS(Search!$AL:$AL,Search!$A:$A,"P4",Search!$D:$D,"Brand")</f>
        <v/>
      </c>
      <c r="AE43" s="378">
        <f>(AC43-AD43)/AD43</f>
        <v/>
      </c>
      <c r="AF43" s="505">
        <f>Z43/AC43</f>
        <v/>
      </c>
      <c r="AG43" s="505">
        <f>AA43/AD43</f>
        <v/>
      </c>
      <c r="AH43" s="378">
        <f>(AF43-AG43)/AG43</f>
        <v/>
      </c>
    </row>
    <row outlineLevel="1" r="44" s="452" spans="1:34">
      <c r="A44" s="373" t="s">
        <v>36</v>
      </c>
      <c r="B44" s="502">
        <f>SUMIFS(Search!$E:$E,Search!$A:$A,"P4",Search!$D:$D,"Non-Brand")</f>
        <v/>
      </c>
      <c r="C44" s="502">
        <f>SUMIFS(Search!$F:$F,Search!$A:$A,"P4",Search!$D:$D,"Non-Brand")</f>
        <v/>
      </c>
      <c r="D44" s="369">
        <f>(B44-C44)/C44</f>
        <v/>
      </c>
      <c r="E44" s="502">
        <f>SUMIFS(Search!$I:$I,Search!$A:$A,"P4",Search!$D:$D,"Non-Brand")</f>
        <v/>
      </c>
      <c r="F44" s="502">
        <f>SUMIFS(Search!$J:$J,Search!$A:$A,"P4",Search!$D:$D,"Non-Brand")</f>
        <v/>
      </c>
      <c r="G44" s="375">
        <f>(E44-F44)/F44</f>
        <v/>
      </c>
      <c r="H44" s="503">
        <f>B44/E44</f>
        <v/>
      </c>
      <c r="I44" s="503">
        <f>C44/F44</f>
        <v/>
      </c>
      <c r="J44" s="375">
        <f>(H44-I44)/I44</f>
        <v/>
      </c>
      <c r="K44" s="504">
        <f>SUMIFS(Search!$Q:$Q,Search!$A:$A,"P4",Search!$D:$D,"Non-Brand")</f>
        <v/>
      </c>
      <c r="L44" s="504">
        <f>SUMIFS(Search!$R:$R,Search!$A:$A,"P4",Search!$D:$D,"Non-Brand")</f>
        <v/>
      </c>
      <c r="M44" s="375">
        <f>(K44-L44)/L44</f>
        <v/>
      </c>
      <c r="N44" s="504">
        <f>SUMIFS(Search!$U:$U,Search!$A:$A,"P4",Search!$D:$D,"Non-Brand")</f>
        <v/>
      </c>
      <c r="O44" s="504">
        <f>SUMIFS(Search!$V:$V,Search!$A:$A,"P4",Search!$D:$D,"Non-Brand")</f>
        <v/>
      </c>
      <c r="P44" s="378">
        <f>(N44-O44)/O44</f>
        <v/>
      </c>
      <c r="Q44" s="505">
        <f>N44/K44</f>
        <v/>
      </c>
      <c r="R44" s="505">
        <f>O44/L44</f>
        <v/>
      </c>
      <c r="S44" s="378">
        <f>(Q44-R44)/R44</f>
        <v/>
      </c>
      <c r="T44" s="502">
        <f>E44/N44</f>
        <v/>
      </c>
      <c r="U44" s="502">
        <f>F44/O44</f>
        <v/>
      </c>
      <c r="V44" s="375">
        <f>(T44-U44)/U44</f>
        <v/>
      </c>
      <c r="W44" s="502">
        <f>B44/N44</f>
        <v/>
      </c>
      <c r="X44" s="502">
        <f>C44/O44</f>
        <v/>
      </c>
      <c r="Y44" s="378">
        <f>(W44-X44)/X44</f>
        <v/>
      </c>
      <c r="Z44" s="506">
        <f>SUMIFS(Search!$AG:$AG,Search!$A:$A,"P4",Search!$D:$D,"Non-Brand")</f>
        <v/>
      </c>
      <c r="AA44" s="504">
        <f>SUMIFS(Search!$AH:$AH,Search!$A:$A,"P4",Search!$D:$D,"Non-Brand")</f>
        <v/>
      </c>
      <c r="AB44" s="378">
        <f>(Z44-AA44)/AA44</f>
        <v/>
      </c>
      <c r="AC44" s="506">
        <f>SUMIFS(Search!$AK:$AK,Search!$A:$A,"P4",Search!$D:$D,"Non-Brand")</f>
        <v/>
      </c>
      <c r="AD44" s="504">
        <f>SUMIFS(Search!$AL:$AL,Search!$A:$A,"P4",Search!$D:$D,"Non-Brand")</f>
        <v/>
      </c>
      <c r="AE44" s="378">
        <f>(AC44-AD44)/AD44</f>
        <v/>
      </c>
      <c r="AF44" s="505">
        <f>Z44/AC44</f>
        <v/>
      </c>
      <c r="AG44" s="505">
        <f>AA44/AD44</f>
        <v/>
      </c>
      <c r="AH44" s="378">
        <f>(AF44-AG44)/AG44</f>
        <v/>
      </c>
    </row>
    <row outlineLevel="1" r="45" s="452" spans="1:34">
      <c r="A45" s="373" t="s">
        <v>37</v>
      </c>
      <c r="B45" s="502">
        <f>SUMIFS(Search!$E:$E,Search!$A:$A,"P4",Search!$D:$D,"Shopping Campaigns")</f>
        <v/>
      </c>
      <c r="C45" s="502">
        <f>SUMIFS(Search!$F:$F,Search!$A:$A,"P4",Search!$D:$D,"Shopping Campaigns")</f>
        <v/>
      </c>
      <c r="D45" s="369">
        <f>(B45-C45)/C45</f>
        <v/>
      </c>
      <c r="E45" s="502">
        <f>SUMIFS(Search!$I:$I,Search!$A:$A,"P4",Search!$D:$D,"Shopping Campaigns")</f>
        <v/>
      </c>
      <c r="F45" s="502">
        <f>SUMIFS(Search!$J:$J,Search!$A:$A,"P4",Search!$D:$D,"Shopping Campaigns")</f>
        <v/>
      </c>
      <c r="G45" s="375">
        <f>(E45-F45)/F45</f>
        <v/>
      </c>
      <c r="H45" s="503">
        <f>B45/E45</f>
        <v/>
      </c>
      <c r="I45" s="503">
        <f>C45/F45</f>
        <v/>
      </c>
      <c r="J45" s="375">
        <f>(H45-I45)/I45</f>
        <v/>
      </c>
      <c r="K45" s="504">
        <f>SUMIFS(Search!$Q:$Q,Search!$A:$A,"P4",Search!$D:$D,"Shopping Campaigns")</f>
        <v/>
      </c>
      <c r="L45" s="504">
        <f>SUMIFS(Search!$R:$R,Search!$A:$A,"P4",Search!$D:$D,"Shopping Campaigns")</f>
        <v/>
      </c>
      <c r="M45" s="375">
        <f>(K45-L45)/L45</f>
        <v/>
      </c>
      <c r="N45" s="504">
        <f>SUMIFS(Search!$U:$U,Search!$A:$A,"P4",Search!$D:$D,"Shopping Campaigns")</f>
        <v/>
      </c>
      <c r="O45" s="504">
        <f>SUMIFS(Search!$V:$V,Search!$A:$A,"P4",Search!$D:$D,"Shopping Campaigns")</f>
        <v/>
      </c>
      <c r="P45" s="378">
        <f>(N45-O45)/O45</f>
        <v/>
      </c>
      <c r="Q45" s="505">
        <f>N45/K45</f>
        <v/>
      </c>
      <c r="R45" s="505">
        <f>O45/L45</f>
        <v/>
      </c>
      <c r="S45" s="378">
        <f>(Q45-R45)/R45</f>
        <v/>
      </c>
      <c r="T45" s="502">
        <f>E45/N45</f>
        <v/>
      </c>
      <c r="U45" s="502">
        <f>F45/O45</f>
        <v/>
      </c>
      <c r="V45" s="375">
        <f>(T45-U45)/U45</f>
        <v/>
      </c>
      <c r="W45" s="502">
        <f>B45/N45</f>
        <v/>
      </c>
      <c r="X45" s="502">
        <f>C45/O45</f>
        <v/>
      </c>
      <c r="Y45" s="378">
        <f>(W45-X45)/X45</f>
        <v/>
      </c>
      <c r="Z45" s="506">
        <f>SUMIFS(Search!$AG:$AG,Search!$A:$A,"P4",Search!$D:$D,"Shopping Campaigns")</f>
        <v/>
      </c>
      <c r="AA45" s="504">
        <f>SUMIFS(Search!$AH:$AH,Search!$A:$A,"P4",Search!$D:$D,"Shopping Campaigns")</f>
        <v/>
      </c>
      <c r="AB45" s="378">
        <f>(Z45-AA45)/AA45</f>
        <v/>
      </c>
      <c r="AC45" s="506">
        <f>SUMIFS(Search!$AK:$AK,Search!$A:$A,"P4",Search!$D:$D,"Shopping Campaigns")</f>
        <v/>
      </c>
      <c r="AD45" s="504">
        <f>SUMIFS(Search!$AL:$AL,Search!$A:$A,"P4",Search!$D:$D,"Shopping Campaigns")</f>
        <v/>
      </c>
      <c r="AE45" s="378">
        <f>(AC45-AD45)/AD45</f>
        <v/>
      </c>
      <c r="AF45" s="505">
        <f>Z45/AC45</f>
        <v/>
      </c>
      <c r="AG45" s="505">
        <f>AA45/AD45</f>
        <v/>
      </c>
      <c r="AH45" s="378">
        <f>(AF45-AG45)/AG45</f>
        <v/>
      </c>
    </row>
    <row customFormat="1" customHeight="1" ht="21" r="46" s="367" spans="1:34">
      <c r="A46" s="380" t="s">
        <v>27</v>
      </c>
      <c r="B46" s="497">
        <f>SUMIFS(Affiliate!D:D,Affiliate!$A:$A,"P4")</f>
        <v/>
      </c>
      <c r="C46" s="497">
        <f>SUMIFS(Affiliate!E:E,Affiliate!$A:$A,"P4")</f>
        <v/>
      </c>
      <c r="D46" s="369">
        <f>(B46-C46)/C46</f>
        <v/>
      </c>
      <c r="E46" s="497">
        <f>SUMIFS(Affiliate!H:H,Affiliate!$A:$A,"P4")</f>
        <v/>
      </c>
      <c r="F46" s="497">
        <f>SUMIFS(Affiliate!I:I,Affiliate!$A:$A,"P4")</f>
        <v/>
      </c>
      <c r="G46" s="369">
        <f>(E46-F46)/F46</f>
        <v/>
      </c>
      <c r="H46" s="498">
        <f>B46/E46</f>
        <v/>
      </c>
      <c r="I46" s="498">
        <f>C46/F46</f>
        <v/>
      </c>
      <c r="J46" s="369">
        <f>(H46-I46)/I46</f>
        <v/>
      </c>
      <c r="K46" s="499">
        <f>SUMIFS(Affiliate!$AF:$AF,Affiliate!$A:$A,"P4")</f>
        <v/>
      </c>
      <c r="L46" s="499">
        <f>SUMIFS(Affiliate!$AG:$AG,Affiliate!$A:$A,"P4")</f>
        <v/>
      </c>
      <c r="M46" s="369">
        <f>(K46-L46)/L46</f>
        <v/>
      </c>
      <c r="N46" s="499">
        <f>SUMIFS(Affiliate!$AJ:$AJ,Affiliate!$A:$A,"P4")</f>
        <v/>
      </c>
      <c r="O46" s="499">
        <f>SUMIFS(Affiliate!$AK:$AK,Affiliate!$A:$A,"P4")</f>
        <v/>
      </c>
      <c r="P46" s="381">
        <f>(N46-O46)/O46</f>
        <v/>
      </c>
      <c r="Q46" s="507">
        <f>N46/K46</f>
        <v/>
      </c>
      <c r="R46" s="507">
        <f>O46/L46</f>
        <v/>
      </c>
      <c r="S46" s="381">
        <f>(Q46-R46)/R46</f>
        <v/>
      </c>
      <c r="T46" s="508">
        <f>E46/N46</f>
        <v/>
      </c>
      <c r="U46" s="508">
        <f>F46/O46</f>
        <v/>
      </c>
      <c r="V46" s="369">
        <f>(T46-U46)/U46</f>
        <v/>
      </c>
      <c r="W46" s="508">
        <f>B46/N46</f>
        <v/>
      </c>
      <c r="X46" s="508">
        <f>C46/O46</f>
        <v/>
      </c>
      <c r="Y46" s="381">
        <f>(W46-X46)/X46</f>
        <v/>
      </c>
      <c r="Z46" s="509" t="n"/>
      <c r="AA46" s="384" t="n"/>
      <c r="AB46" s="381">
        <f>(Z46-AA46)/AA46</f>
        <v/>
      </c>
      <c r="AC46" s="509" t="n"/>
      <c r="AD46" s="384" t="n"/>
      <c r="AE46" s="381">
        <f>(AC46-AD46)/AD46</f>
        <v/>
      </c>
      <c r="AF46" s="510" t="n"/>
      <c r="AG46" s="510" t="n"/>
      <c r="AH46" s="381">
        <f>(AF46-AG46)/AG46</f>
        <v/>
      </c>
    </row>
    <row customFormat="1" customHeight="1" ht="20.1" r="47" s="367" spans="1:34">
      <c r="A47" s="367" t="s">
        <v>28</v>
      </c>
      <c r="B47" s="497">
        <f>SUM(B48:B49)</f>
        <v/>
      </c>
      <c r="C47" s="497">
        <f>SUM(C48:C49)</f>
        <v/>
      </c>
      <c r="D47" s="369">
        <f>(B47-C47)/C47</f>
        <v/>
      </c>
      <c r="E47" s="497">
        <f>SUM(E48:E49)</f>
        <v/>
      </c>
      <c r="F47" s="497">
        <f>SUM(F48:F49)</f>
        <v/>
      </c>
      <c r="G47" s="369">
        <f>(E47-F47)/F47</f>
        <v/>
      </c>
      <c r="H47" s="498">
        <f>B47/E47</f>
        <v/>
      </c>
      <c r="I47" s="498">
        <f>C47/F47</f>
        <v/>
      </c>
      <c r="J47" s="369">
        <f>(H47-I47)/I47</f>
        <v/>
      </c>
      <c r="K47" s="499">
        <f>SUM(K48:K49)</f>
        <v/>
      </c>
      <c r="L47" s="499">
        <f>SUM(L48:L49)</f>
        <v/>
      </c>
      <c r="M47" s="369">
        <f>(K47-L47)/L47</f>
        <v/>
      </c>
      <c r="N47" s="499">
        <f>SUM(N48:N49)</f>
        <v/>
      </c>
      <c r="O47" s="499">
        <f>SUM(O48:O49)</f>
        <v/>
      </c>
      <c r="P47" s="381">
        <f>(N47-O47)/O47</f>
        <v/>
      </c>
      <c r="Q47" s="507">
        <f>N47/K47</f>
        <v/>
      </c>
      <c r="R47" s="507">
        <f>O47/L47</f>
        <v/>
      </c>
      <c r="S47" s="381">
        <f>(Q47-R47)/R47</f>
        <v/>
      </c>
      <c r="T47" s="508">
        <f>E47/N47</f>
        <v/>
      </c>
      <c r="U47" s="508">
        <f>F47/O47</f>
        <v/>
      </c>
      <c r="V47" s="369">
        <f>(T47-U47)/U47</f>
        <v/>
      </c>
      <c r="W47" s="508">
        <f>B47/N47</f>
        <v/>
      </c>
      <c r="X47" s="508">
        <f>C47/O47</f>
        <v/>
      </c>
      <c r="Y47" s="381">
        <f>(W47-X47)/X47</f>
        <v/>
      </c>
      <c r="Z47" s="501">
        <f>SUM(Z48:Z49)</f>
        <v/>
      </c>
      <c r="AA47" s="499">
        <f>SUM(AA48:AA49)</f>
        <v/>
      </c>
      <c r="AB47" s="381">
        <f>(Z47-AA47)/AA47</f>
        <v/>
      </c>
      <c r="AC47" s="501">
        <f>SUM(AC48:AC49)</f>
        <v/>
      </c>
      <c r="AD47" s="499">
        <f>SUM(AD48:AD49)</f>
        <v/>
      </c>
      <c r="AE47" s="381">
        <f>(AC47-AD47)/AD47</f>
        <v/>
      </c>
      <c r="AF47" s="507">
        <f>Z47/AC47</f>
        <v/>
      </c>
      <c r="AG47" s="507">
        <f>AA47/AD47</f>
        <v/>
      </c>
      <c r="AH47" s="381">
        <f>(AF47-AG47)/AG47</f>
        <v/>
      </c>
    </row>
    <row outlineLevel="1" r="48" s="452" spans="1:34">
      <c r="A48" s="373" t="s">
        <v>38</v>
      </c>
      <c r="B48" s="502">
        <f>SUMIFS('Social - Promos'!$E:$E,'Social - Promos'!$A:$A,"p1")</f>
        <v/>
      </c>
      <c r="C48" s="502">
        <f>SUMIFS('Social - Promos'!$F:$F,'Social - Promos'!$A:$A,"p1")</f>
        <v/>
      </c>
      <c r="D48" s="369">
        <f>(B48-C48)/C48</f>
        <v/>
      </c>
      <c r="E48" s="502">
        <f>SUMIFS('Social - Promos'!$K:$K,'Social - Promos'!$A:$A,"p4")</f>
        <v/>
      </c>
      <c r="F48" s="502">
        <f>SUMIFS('Social - Promos'!$L:$L,'Social - Promos'!$A:$A,"p4")</f>
        <v/>
      </c>
      <c r="G48" s="375">
        <f>(E48-F48)/F48</f>
        <v/>
      </c>
      <c r="H48" s="484">
        <f>B48/E48</f>
        <v/>
      </c>
      <c r="I48" s="484">
        <f>C48/F48</f>
        <v/>
      </c>
      <c r="J48" s="375">
        <f>(H48-I48)/I48</f>
        <v/>
      </c>
      <c r="K48" s="504">
        <f>SUMIFS('Social - Promos'!$T:$T,'Social - Promos'!$A:$A,"p4")</f>
        <v/>
      </c>
      <c r="L48" s="504">
        <f>SUMIFS('Social - Promos'!$U:$U,'Social - Promos'!$A:$A,"p4")</f>
        <v/>
      </c>
      <c r="M48" s="375">
        <f>(K48-L48)/L48</f>
        <v/>
      </c>
      <c r="N48" s="504">
        <f>SUMIFS('Social - Promos'!$W:$W,'Social - Promos'!$A:$A,"p4")</f>
        <v/>
      </c>
      <c r="O48" s="504">
        <f>SUMIFS('Social - Promos'!$X:$X,'Social - Promos'!$A:$A,"p4")</f>
        <v/>
      </c>
      <c r="P48" s="378">
        <f>(N48-O48)/O48</f>
        <v/>
      </c>
      <c r="Q48" s="505">
        <f>N48/K48</f>
        <v/>
      </c>
      <c r="R48" s="505">
        <f>O48/L48</f>
        <v/>
      </c>
      <c r="S48" s="378">
        <f>(Q48-R48)/R48</f>
        <v/>
      </c>
      <c r="T48" s="502">
        <f>E48/N48</f>
        <v/>
      </c>
      <c r="U48" s="502">
        <f>F48/O48</f>
        <v/>
      </c>
      <c r="V48" s="375">
        <f>(T48-U48)/U48</f>
        <v/>
      </c>
      <c r="W48" s="502">
        <f>B48/N48</f>
        <v/>
      </c>
      <c r="X48" s="502">
        <f>C48/O48</f>
        <v/>
      </c>
      <c r="Y48" s="378">
        <f>(W48-X48)/X48</f>
        <v/>
      </c>
      <c r="Z48" s="506">
        <f>SUMIFS('Social - Promos'!$AF:$AF,'Social - Promos'!$A:$A,"p4")</f>
        <v/>
      </c>
      <c r="AA48" s="504">
        <f>SUMIFS('Social - Promos'!$AG:$AG,'Social - Promos'!$A:$A,"p4")</f>
        <v/>
      </c>
      <c r="AB48" s="378">
        <f>(Z48-AA48)/AA48</f>
        <v/>
      </c>
      <c r="AC48" s="506">
        <f>SUMIFS('Social - Promos'!$AI:$AI,'Social - Promos'!$A:$A,"p4")</f>
        <v/>
      </c>
      <c r="AD48" s="504">
        <f>SUMIFS('Social - Promos'!$AJ:$AJ,'Social - Promos'!$A:$A,"p4")</f>
        <v/>
      </c>
      <c r="AE48" s="378">
        <f>(AC48-AD48)/AD48</f>
        <v/>
      </c>
      <c r="AF48" s="505">
        <f>Z48/AC48</f>
        <v/>
      </c>
      <c r="AG48" s="505">
        <f>AA48/AD48</f>
        <v/>
      </c>
      <c r="AH48" s="378">
        <f>(AF48-AG48)/AG48</f>
        <v/>
      </c>
    </row>
    <row outlineLevel="1" r="49" s="452" spans="1:34">
      <c r="A49" s="373" t="s">
        <v>39</v>
      </c>
      <c r="B49" s="502">
        <f>SUMIFS('Social - Remarketing'!$D:$D,'Social - Remarketing'!A:A,"P1")</f>
        <v/>
      </c>
      <c r="C49" s="502">
        <f>SUMIFS('Social - Remarketing'!$E:$E,'Social - Remarketing'!$B:$B,"P1")</f>
        <v/>
      </c>
      <c r="D49" s="369">
        <f>(B49-C49)/C49</f>
        <v/>
      </c>
      <c r="E49" s="502">
        <f>SUMIFS('Social - Remarketing'!$H:$H,'Social - Remarketing'!$A:$A,"P4")</f>
        <v/>
      </c>
      <c r="F49" s="502">
        <f>SUMIFS('Social - Remarketing'!$I:$I,'Social - Remarketing'!$A:$A,"P4")</f>
        <v/>
      </c>
      <c r="G49" s="369">
        <f>(E49-F49)/F49</f>
        <v/>
      </c>
      <c r="H49" s="484">
        <f>B49/E49</f>
        <v/>
      </c>
      <c r="I49" s="484">
        <f>C49/F49</f>
        <v/>
      </c>
      <c r="J49" s="369">
        <f>(H49-I49)/I49</f>
        <v/>
      </c>
      <c r="K49" s="504">
        <f>SUMIFS('Social - Remarketing'!$X:$X,'Social - Remarketing'!$A:$A,"P4")</f>
        <v/>
      </c>
      <c r="L49" s="504">
        <f>SUMIFS('Social - Remarketing'!$Y:$Y,'Social - Remarketing'!$A:$A,"P4")</f>
        <v/>
      </c>
      <c r="M49" s="375">
        <f>(K49-L49)/L49</f>
        <v/>
      </c>
      <c r="N49" s="504">
        <f>SUMIFS('Social - Remarketing'!$AB:$AB,'Social - Remarketing'!$A:$A,"P4")</f>
        <v/>
      </c>
      <c r="O49" s="504">
        <f>SUMIFS('Social - Remarketing'!$AC:$AC,'Social - Remarketing'!$A:$A,"P4")</f>
        <v/>
      </c>
      <c r="P49" s="378">
        <f>(N49-O49)/O49</f>
        <v/>
      </c>
      <c r="Q49" s="505">
        <f>N49/K49</f>
        <v/>
      </c>
      <c r="R49" s="505">
        <f>O49/L49</f>
        <v/>
      </c>
      <c r="S49" s="378">
        <f>(Q49-R49)/R49</f>
        <v/>
      </c>
      <c r="T49" s="502">
        <f>E49/N49</f>
        <v/>
      </c>
      <c r="U49" s="502">
        <f>F49/O49</f>
        <v/>
      </c>
      <c r="V49" s="375">
        <f>(T49-U49)/U49</f>
        <v/>
      </c>
      <c r="W49" s="502">
        <f>B49/N49</f>
        <v/>
      </c>
      <c r="X49" s="502">
        <f>C49/O49</f>
        <v/>
      </c>
      <c r="Y49" s="378">
        <f>(W49-X49)/X49</f>
        <v/>
      </c>
      <c r="Z49" s="506">
        <f>SUMIFS('Social - Remarketing'!$AN:$AN,'Social - Remarketing'!$A:$A,"P4")</f>
        <v/>
      </c>
      <c r="AA49" s="504">
        <f>SUMIFS('Social - Remarketing'!$AO:$AO,'Social - Remarketing'!$A:$A,"P4")</f>
        <v/>
      </c>
      <c r="AB49" s="378">
        <f>(Z49-AA49)/AA49</f>
        <v/>
      </c>
      <c r="AC49" s="506">
        <f>SUMIFS('Social - Remarketing'!$AR:$AR,'Social - Remarketing'!$A:$A,"P4")</f>
        <v/>
      </c>
      <c r="AD49" s="504">
        <f>SUMIFS('Social - Remarketing'!$AS:$AS,'Social - Remarketing'!$A:$A,"P4")</f>
        <v/>
      </c>
      <c r="AE49" s="378">
        <f>(AC49-AD49)/AD49</f>
        <v/>
      </c>
      <c r="AF49" s="505">
        <f>Z49/AC49</f>
        <v/>
      </c>
      <c r="AG49" s="505">
        <f>AA49/AD49</f>
        <v/>
      </c>
      <c r="AH49" s="378">
        <f>(AF49-AG49)/AG49</f>
        <v/>
      </c>
    </row>
    <row customFormat="1" customHeight="1" ht="21" r="50" s="367" spans="1:34">
      <c r="A50" s="367" t="s">
        <v>29</v>
      </c>
      <c r="B50" s="497">
        <f>SUM(B51:B52)</f>
        <v/>
      </c>
      <c r="C50" s="497">
        <f>SUM(C51:C52)</f>
        <v/>
      </c>
      <c r="D50" s="369">
        <f>(B50-C50)/C50</f>
        <v/>
      </c>
      <c r="E50" s="497">
        <f>SUM(E51:E52)</f>
        <v/>
      </c>
      <c r="F50" s="497">
        <f>SUM(F51:F52)</f>
        <v/>
      </c>
      <c r="G50" s="369">
        <f>(E50-F50)/F50</f>
        <v/>
      </c>
      <c r="H50" s="498">
        <f>B50/E50</f>
        <v/>
      </c>
      <c r="I50" s="498">
        <f>C50/F50</f>
        <v/>
      </c>
      <c r="J50" s="369">
        <f>(H50-I50)/I50</f>
        <v/>
      </c>
      <c r="K50" s="499">
        <f>SUM(K51:K52)</f>
        <v/>
      </c>
      <c r="L50" s="499">
        <f>SUM(L51:L52)</f>
        <v/>
      </c>
      <c r="M50" s="369">
        <f>(K50-L50)/L50</f>
        <v/>
      </c>
      <c r="N50" s="499">
        <f>SUM(N51:N52)</f>
        <v/>
      </c>
      <c r="O50" s="499">
        <f>SUM(O51:O52)</f>
        <v/>
      </c>
      <c r="P50" s="381">
        <f>(N50-O50)/O50</f>
        <v/>
      </c>
      <c r="Q50" s="507">
        <f>N50/K50</f>
        <v/>
      </c>
      <c r="R50" s="507">
        <f>O50/L50</f>
        <v/>
      </c>
      <c r="S50" s="381">
        <f>(Q50-R50)/R50</f>
        <v/>
      </c>
      <c r="T50" s="508">
        <f>E50/N50</f>
        <v/>
      </c>
      <c r="U50" s="508">
        <f>F50/O50</f>
        <v/>
      </c>
      <c r="V50" s="369">
        <f>(T50-U50)/U50</f>
        <v/>
      </c>
      <c r="W50" s="508">
        <f>B50/N50</f>
        <v/>
      </c>
      <c r="X50" s="508">
        <f>C50/O50</f>
        <v/>
      </c>
      <c r="Y50" s="381">
        <f>(W50-X50)/X50</f>
        <v/>
      </c>
      <c r="Z50" s="501">
        <f>SUM(Z51:Z52)</f>
        <v/>
      </c>
      <c r="AA50" s="499">
        <f>SUM(AA51:AA52)</f>
        <v/>
      </c>
      <c r="AB50" s="381">
        <f>(Z50-AA50)/AA50</f>
        <v/>
      </c>
      <c r="AC50" s="501">
        <f>SUM(AC51:AC52)</f>
        <v/>
      </c>
      <c r="AD50" s="499">
        <f>SUM(AD51:AD52)</f>
        <v/>
      </c>
      <c r="AE50" s="381">
        <f>(AC50-AD50)/AD50</f>
        <v/>
      </c>
      <c r="AF50" s="507">
        <f>Z50/AC50</f>
        <v/>
      </c>
      <c r="AG50" s="507">
        <f>AA50/AD50</f>
        <v/>
      </c>
      <c r="AH50" s="381">
        <f>(AF50-AG50)/AG50</f>
        <v/>
      </c>
    </row>
    <row outlineLevel="1" r="51" s="452" spans="1:34">
      <c r="A51" s="373" t="s">
        <v>38</v>
      </c>
      <c r="B51" s="502">
        <f>SUMIFS('Display - Promos'!$E:$E,'Display - Promos'!$A:$A,"P4")</f>
        <v/>
      </c>
      <c r="C51" s="502">
        <f>SUMIFS('Display - Promos'!$F:$F,'Display - Promos'!$A:$A,"P4")</f>
        <v/>
      </c>
      <c r="D51" s="375">
        <f>(B51-C51)/C51</f>
        <v/>
      </c>
      <c r="E51" s="502">
        <f>SUMIFS('Display - Promos'!$H:$H,'Display - Promos'!$A:$A,"p4")</f>
        <v/>
      </c>
      <c r="F51" s="502">
        <f>SUMIFS('Display - Promos'!$I:$I,'Display - Promos'!$A:$A,"p4")</f>
        <v/>
      </c>
      <c r="G51" s="375">
        <f>(E51-F51)/F51</f>
        <v/>
      </c>
      <c r="H51" s="484">
        <f>B51/E51</f>
        <v/>
      </c>
      <c r="I51" s="484">
        <f>C51/F51</f>
        <v/>
      </c>
      <c r="J51" s="369">
        <f>(H51-I51)/I51</f>
        <v/>
      </c>
      <c r="K51" s="504">
        <f>SUMIFS('Display - Promos'!$N:$N,'Display - Promos'!$A:$A,"p4")</f>
        <v/>
      </c>
      <c r="L51" s="504">
        <f>SUMIFS('Display - Promos'!$O:$O,'Display - Promos'!$A:$A,"p4")</f>
        <v/>
      </c>
      <c r="M51" s="375">
        <f>(K51-L51)/L51</f>
        <v/>
      </c>
      <c r="N51" s="504">
        <f>SUMIFS('Display - Promos'!$Q:$Q,'Display - Promos'!$A:$A,"p4")</f>
        <v/>
      </c>
      <c r="O51" s="504">
        <f>SUMIFS('Display - Promos'!$R:$R,'Display - Promos'!$A:$A,"p4")</f>
        <v/>
      </c>
      <c r="P51" s="378">
        <f>(N51-O51)/O51</f>
        <v/>
      </c>
      <c r="Q51" s="505">
        <f>N51/K51</f>
        <v/>
      </c>
      <c r="R51" s="505">
        <f>O51/L51</f>
        <v/>
      </c>
      <c r="S51" s="378">
        <f>(Q51-R51)/R51</f>
        <v/>
      </c>
      <c r="T51" s="502">
        <f>E51/N51</f>
        <v/>
      </c>
      <c r="U51" s="502">
        <f>F51/O51</f>
        <v/>
      </c>
      <c r="V51" s="375">
        <f>(T51-U51)/U51</f>
        <v/>
      </c>
      <c r="W51" s="502">
        <f>B51/N51</f>
        <v/>
      </c>
      <c r="X51" s="502">
        <f>C51/O51</f>
        <v/>
      </c>
      <c r="Y51" s="378">
        <f>(W51-X51)/X51</f>
        <v/>
      </c>
      <c r="Z51" s="506">
        <f>SUMIFS('Display - Promos'!$W:$W,'Display - Promos'!$A:$A,"p4")</f>
        <v/>
      </c>
      <c r="AA51" s="504">
        <f>SUMIFS('Display - Promos'!$X:$X,'Display - Promos'!$A:$A,"p4")</f>
        <v/>
      </c>
      <c r="AB51" s="378">
        <f>(Z51-AA51)/AA51</f>
        <v/>
      </c>
      <c r="AC51" s="506">
        <f>SUMIFS('Display - Promos'!$Z:$Z,'Display - Promos'!$A:$A,"p4")</f>
        <v/>
      </c>
      <c r="AD51" s="504">
        <f>SUMIFS('Display - Promos'!$AA:$AA,'Display - Promos'!$A:$A,"p4")</f>
        <v/>
      </c>
      <c r="AE51" s="378">
        <f>(AC51-AD51)/AD51</f>
        <v/>
      </c>
      <c r="AF51" s="505">
        <f>Z51/AC51</f>
        <v/>
      </c>
      <c r="AG51" s="505">
        <f>AA51/AD51</f>
        <v/>
      </c>
      <c r="AH51" s="378">
        <f>(AF51-AG51)/AG51</f>
        <v/>
      </c>
    </row>
    <row customHeight="1" ht="19.5" outlineLevel="1" r="52" s="452" spans="1:34" thickBot="1">
      <c r="A52" s="373" t="s">
        <v>39</v>
      </c>
      <c r="B52" s="502">
        <f>SUMIFS('Display - Remarketing'!$D:$D,'Display - Remarketing'!$A:$A,"P4")</f>
        <v/>
      </c>
      <c r="C52" s="502">
        <f>SUMIFS('Display - Remarketing'!$E:$E,'Display - Remarketing'!$A:$A,"P4")</f>
        <v/>
      </c>
      <c r="D52" s="369">
        <f>(B52-C52)/C52</f>
        <v/>
      </c>
      <c r="E52" s="502">
        <f>SUMIFS('Display - Remarketing'!$H:$H,'Display - Remarketing'!$A:$A,"P4")</f>
        <v/>
      </c>
      <c r="F52" s="502">
        <f>SUMIFS('Display - Remarketing'!$I:$I,'Display - Remarketing'!$A:$A,"P4")</f>
        <v/>
      </c>
      <c r="G52" s="369">
        <f>(E52-F52)/F52</f>
        <v/>
      </c>
      <c r="H52" s="484">
        <f>B52/E52</f>
        <v/>
      </c>
      <c r="I52" s="484">
        <f>C52/F52</f>
        <v/>
      </c>
      <c r="J52" s="369">
        <f>(H52-I52)/I52</f>
        <v/>
      </c>
      <c r="K52" s="504">
        <f>SUMIFS('Display - Remarketing'!$P:$P,'Display - Remarketing'!$A:$A,"P4")</f>
        <v/>
      </c>
      <c r="L52" s="504">
        <f>SUMIFS('Display - Remarketing'!$Q:$Q,'Display - Remarketing'!$A:$A,"P4")</f>
        <v/>
      </c>
      <c r="M52" s="375">
        <f>(K52-L52)/L52</f>
        <v/>
      </c>
      <c r="N52" s="504">
        <f>SUMIFS('Display - Remarketing'!$T:$T,'Display - Remarketing'!$A:$A,"P4")</f>
        <v/>
      </c>
      <c r="O52" s="504">
        <f>SUMIFS('Display - Remarketing'!$U:$U,'Display - Remarketing'!$A:$A,"P4")</f>
        <v/>
      </c>
      <c r="P52" s="378">
        <f>(N52-O52)/O52</f>
        <v/>
      </c>
      <c r="Q52" s="505">
        <f>N52/K52</f>
        <v/>
      </c>
      <c r="R52" s="505">
        <f>O52/L52</f>
        <v/>
      </c>
      <c r="S52" s="378">
        <f>(Q52-R52)/R52</f>
        <v/>
      </c>
      <c r="T52" s="502">
        <f>E52/N52</f>
        <v/>
      </c>
      <c r="U52" s="502">
        <f>F52/O52</f>
        <v/>
      </c>
      <c r="V52" s="375">
        <f>(T52-U52)/U52</f>
        <v/>
      </c>
      <c r="W52" s="502">
        <f>B52/N52</f>
        <v/>
      </c>
      <c r="X52" s="502">
        <f>C52/O52</f>
        <v/>
      </c>
      <c r="Y52" s="378">
        <f>(W52-X52)/X52</f>
        <v/>
      </c>
      <c r="Z52" s="506">
        <f>SUMIFS('Display - Remarketing'!$AB:$AB,'Display - Remarketing'!$A:$A,"p4")</f>
        <v/>
      </c>
      <c r="AA52" s="504">
        <f>SUMIFS('Display - Remarketing'!$AC:$AC,'Display - Remarketing'!$A:$A,"P4")</f>
        <v/>
      </c>
      <c r="AB52" s="378">
        <f>(Z52-AA52)/AA52</f>
        <v/>
      </c>
      <c r="AC52" s="506">
        <f>SUMIFS('Display - Remarketing'!$AF:$AF,'Display - Remarketing'!$A:$A,"P4")</f>
        <v/>
      </c>
      <c r="AD52" s="504">
        <f>SUMIFS('Display - Remarketing'!$AG:$AG,'Display - Remarketing'!$A:$A,"P4")</f>
        <v/>
      </c>
      <c r="AE52" s="378">
        <f>(AC52-AD52)/AD52</f>
        <v/>
      </c>
      <c r="AF52" s="505">
        <f>Z52/AC52</f>
        <v/>
      </c>
      <c r="AG52" s="505">
        <f>AA52/AD52</f>
        <v/>
      </c>
      <c r="AH52" s="378">
        <f>(AF52-AG52)/AG52</f>
        <v/>
      </c>
    </row>
    <row customFormat="1" customHeight="1" ht="22.5" r="53" s="395" spans="1:34" thickBot="1" thickTop="1">
      <c r="A53" s="387" t="s">
        <v>40</v>
      </c>
      <c r="B53" s="511">
        <f>B42+B46+B47+B50</f>
        <v/>
      </c>
      <c r="C53" s="511">
        <f>C42+C46+C47+C50</f>
        <v/>
      </c>
      <c r="D53" s="389">
        <f>(B53-C53)/C53</f>
        <v/>
      </c>
      <c r="E53" s="511">
        <f>E42+E46+E47+E50</f>
        <v/>
      </c>
      <c r="F53" s="511">
        <f>F42+F46+F47+F50</f>
        <v/>
      </c>
      <c r="G53" s="390">
        <f>(E53-F53)/F53</f>
        <v/>
      </c>
      <c r="H53" s="512">
        <f>B53/E53</f>
        <v/>
      </c>
      <c r="I53" s="512">
        <f>C53/F53</f>
        <v/>
      </c>
      <c r="J53" s="390">
        <f>(H53-I53)/I53</f>
        <v/>
      </c>
      <c r="K53" s="513">
        <f>K42+K46+K47+K50</f>
        <v/>
      </c>
      <c r="L53" s="513">
        <f>L42+L46+L47+L50</f>
        <v/>
      </c>
      <c r="M53" s="390">
        <f>(K53-L53)/L53</f>
        <v/>
      </c>
      <c r="N53" s="513">
        <f>N42+N46+N47+N50</f>
        <v/>
      </c>
      <c r="O53" s="513">
        <f>O42+O46+O47+O50</f>
        <v/>
      </c>
      <c r="P53" s="389">
        <f>(N53-O53)/O53</f>
        <v/>
      </c>
      <c r="Q53" s="514">
        <f>N53/K53</f>
        <v/>
      </c>
      <c r="R53" s="514">
        <f>O53/L53</f>
        <v/>
      </c>
      <c r="S53" s="389">
        <f>(Q53-R53)/R53</f>
        <v/>
      </c>
      <c r="T53" s="511">
        <f>E53/N53</f>
        <v/>
      </c>
      <c r="U53" s="511">
        <f>F53/O53</f>
        <v/>
      </c>
      <c r="V53" s="390">
        <f>(T53-U53)/U53</f>
        <v/>
      </c>
      <c r="W53" s="511">
        <f>B53/N53</f>
        <v/>
      </c>
      <c r="X53" s="511">
        <f>C53/O53</f>
        <v/>
      </c>
      <c r="Y53" s="389">
        <f>(W53-X53)/X53</f>
        <v/>
      </c>
      <c r="Z53" s="515">
        <f>Z42+Z46+Z47+Z50</f>
        <v/>
      </c>
      <c r="AA53" s="516">
        <f>AA42+AA46+AA47+AA50</f>
        <v/>
      </c>
      <c r="AB53" s="389">
        <f>(Z53-AA53)/AA53</f>
        <v/>
      </c>
      <c r="AC53" s="515">
        <f>AC42+AC46+AC47+AC50</f>
        <v/>
      </c>
      <c r="AD53" s="513">
        <f>AD42+AD46+AD47+AD50</f>
        <v/>
      </c>
      <c r="AE53" s="389">
        <f>(AC53-AD53)/AD53</f>
        <v/>
      </c>
      <c r="AF53" s="514">
        <f>Z53/AC53</f>
        <v/>
      </c>
      <c r="AG53" s="514">
        <f>AA53/AD53</f>
        <v/>
      </c>
      <c r="AH53" s="389">
        <f>(AF53-AG53)/AG53</f>
        <v/>
      </c>
    </row>
    <row r="54" spans="1:34">
      <c r="A54" s="359" t="s">
        <v>44</v>
      </c>
      <c r="B54" s="488" t="s">
        <v>1</v>
      </c>
      <c r="C54" s="488" t="s">
        <v>2</v>
      </c>
      <c r="D54" s="489" t="s">
        <v>3</v>
      </c>
      <c r="E54" s="488" t="s">
        <v>4</v>
      </c>
      <c r="F54" s="488" t="s">
        <v>5</v>
      </c>
      <c r="G54" s="489" t="s">
        <v>3</v>
      </c>
      <c r="H54" s="490" t="s">
        <v>6</v>
      </c>
      <c r="I54" s="490" t="s">
        <v>7</v>
      </c>
      <c r="J54" s="489" t="s">
        <v>3</v>
      </c>
      <c r="K54" s="490" t="s">
        <v>8</v>
      </c>
      <c r="L54" s="491" t="s">
        <v>9</v>
      </c>
      <c r="M54" s="489" t="s">
        <v>3</v>
      </c>
      <c r="N54" s="491" t="s">
        <v>10</v>
      </c>
      <c r="O54" s="491" t="s">
        <v>11</v>
      </c>
      <c r="P54" s="489" t="s">
        <v>3</v>
      </c>
      <c r="Q54" s="491" t="s">
        <v>12</v>
      </c>
      <c r="R54" s="491" t="s">
        <v>13</v>
      </c>
      <c r="S54" s="489" t="s">
        <v>3</v>
      </c>
      <c r="T54" s="492" t="s">
        <v>14</v>
      </c>
      <c r="U54" s="492" t="s">
        <v>15</v>
      </c>
      <c r="V54" s="489" t="s">
        <v>3</v>
      </c>
      <c r="W54" s="492" t="s">
        <v>16</v>
      </c>
      <c r="X54" s="492" t="s">
        <v>17</v>
      </c>
      <c r="Y54" s="489" t="s">
        <v>3</v>
      </c>
      <c r="Z54" s="493" t="s">
        <v>18</v>
      </c>
      <c r="AA54" s="491" t="s">
        <v>19</v>
      </c>
      <c r="AB54" s="489" t="s">
        <v>3</v>
      </c>
      <c r="AC54" s="494" t="s">
        <v>33</v>
      </c>
      <c r="AD54" s="495" t="s">
        <v>34</v>
      </c>
      <c r="AE54" s="489" t="s">
        <v>3</v>
      </c>
      <c r="AF54" s="496" t="s">
        <v>22</v>
      </c>
      <c r="AG54" s="496" t="s">
        <v>23</v>
      </c>
      <c r="AH54" s="489" t="s">
        <v>3</v>
      </c>
    </row>
    <row customFormat="1" customHeight="1" ht="20.1" r="55" s="367" spans="1:34">
      <c r="A55" s="367" t="s">
        <v>24</v>
      </c>
      <c r="B55" s="497">
        <f>SUM(B56:B58)</f>
        <v/>
      </c>
      <c r="C55" s="497">
        <f>SUM(C56:C58)</f>
        <v/>
      </c>
      <c r="D55" s="369">
        <f>(B55-C55)/C55</f>
        <v/>
      </c>
      <c r="E55" s="497">
        <f>SUM(E56:E58)</f>
        <v/>
      </c>
      <c r="F55" s="497">
        <f>SUM(F56:F58)</f>
        <v/>
      </c>
      <c r="G55" s="369">
        <f>(E55-F55)/F55</f>
        <v/>
      </c>
      <c r="H55" s="498">
        <f>B55/E55</f>
        <v/>
      </c>
      <c r="I55" s="498">
        <f>C55/F55</f>
        <v/>
      </c>
      <c r="J55" s="369">
        <f>(H55-I55)/I55</f>
        <v/>
      </c>
      <c r="K55" s="499">
        <f>SUM(K56:K58)</f>
        <v/>
      </c>
      <c r="L55" s="499">
        <f>SUM(L56:L58)</f>
        <v/>
      </c>
      <c r="M55" s="369">
        <f>(K55-L55)/L55</f>
        <v/>
      </c>
      <c r="N55" s="499">
        <f>SUM(N56:N58)</f>
        <v/>
      </c>
      <c r="O55" s="499">
        <f>SUM(O56:O58)</f>
        <v/>
      </c>
      <c r="P55" s="369">
        <f>(N55-O55)/O55</f>
        <v/>
      </c>
      <c r="Q55" s="500">
        <f>N55/K55</f>
        <v/>
      </c>
      <c r="R55" s="500">
        <f>O55/L55</f>
        <v/>
      </c>
      <c r="S55" s="369">
        <f>(Q55-R55)/R55</f>
        <v/>
      </c>
      <c r="T55" s="497">
        <f>E55/N55</f>
        <v/>
      </c>
      <c r="U55" s="497">
        <f>F55/O55</f>
        <v/>
      </c>
      <c r="V55" s="369">
        <f>(T55-U55)/U55</f>
        <v/>
      </c>
      <c r="W55" s="497">
        <f>B55/N55</f>
        <v/>
      </c>
      <c r="X55" s="497">
        <f>C55/O55</f>
        <v/>
      </c>
      <c r="Y55" s="369">
        <f>(W55-X55)/X55</f>
        <v/>
      </c>
      <c r="Z55" s="501">
        <f>SUM(Z56:Z58)</f>
        <v/>
      </c>
      <c r="AA55" s="499">
        <f>SUM(AA56:AA58)</f>
        <v/>
      </c>
      <c r="AB55" s="369">
        <f>(Z55-AA55)/AA55</f>
        <v/>
      </c>
      <c r="AC55" s="501">
        <f>SUM(AC56:AC58)</f>
        <v/>
      </c>
      <c r="AD55" s="499">
        <f>SUM(AD56:AD58)</f>
        <v/>
      </c>
      <c r="AE55" s="369">
        <f>(AC55-AD55)/AD55</f>
        <v/>
      </c>
      <c r="AF55" s="500">
        <f>Z55/AC55</f>
        <v/>
      </c>
      <c r="AG55" s="500">
        <f>AA55/AD55</f>
        <v/>
      </c>
      <c r="AH55" s="369">
        <f>(AF55-AG55)/AG55</f>
        <v/>
      </c>
    </row>
    <row outlineLevel="1" r="56" s="452" spans="1:34">
      <c r="A56" s="373" t="s">
        <v>35</v>
      </c>
      <c r="B56" s="502">
        <f>SUMIFS(Search!$E:$E,Search!$A:$A,"P5",Search!$D:$D,"Brand")</f>
        <v/>
      </c>
      <c r="C56" s="502">
        <f>SUMIFS(Search!$F:$F,Search!$A:$A,"P5",Search!$D:$D,"Brand")</f>
        <v/>
      </c>
      <c r="D56" s="369">
        <f>(B56-C56)/C56</f>
        <v/>
      </c>
      <c r="E56" s="502">
        <f>SUMIFS(Search!$I:$I,Search!$A:$A,"P5",Search!$D:$D,"Brand")</f>
        <v/>
      </c>
      <c r="F56" s="502">
        <f>SUMIFS(Search!$J:$J,Search!$A:$A,"P5",Search!$D:$D,"Brand")</f>
        <v/>
      </c>
      <c r="G56" s="375">
        <f>(E56-F56)/F56</f>
        <v/>
      </c>
      <c r="H56" s="503">
        <f>B56/E56</f>
        <v/>
      </c>
      <c r="I56" s="503">
        <f>C56/F56</f>
        <v/>
      </c>
      <c r="J56" s="375">
        <f>(H56-I56)/I56</f>
        <v/>
      </c>
      <c r="K56" s="504">
        <f>SUMIFS(Search!$Q:$Q,Search!$A:$A,"P5",Search!$D:$D,"Brand")</f>
        <v/>
      </c>
      <c r="L56" s="504">
        <f>SUMIFS(Search!$R:$R,Search!$A:$A,"P5",Search!$D:$D,"Brand")</f>
        <v/>
      </c>
      <c r="M56" s="375">
        <f>(K56-L56)/L56</f>
        <v/>
      </c>
      <c r="N56" s="504">
        <f>SUMIFS(Search!$U:$U,Search!$A:$A,"P5",Search!$D:$D,"Brand")</f>
        <v/>
      </c>
      <c r="O56" s="504">
        <f>SUMIFS(Search!$V:$V,Search!$A:$A,"P5",Search!$D:$D,"Brand")</f>
        <v/>
      </c>
      <c r="P56" s="378">
        <f>(N56-O56)/O56</f>
        <v/>
      </c>
      <c r="Q56" s="505">
        <f>N56/K56</f>
        <v/>
      </c>
      <c r="R56" s="505">
        <f>O56/L56</f>
        <v/>
      </c>
      <c r="S56" s="378">
        <f>(Q56-R56)/R56</f>
        <v/>
      </c>
      <c r="T56" s="502">
        <f>E56/N56</f>
        <v/>
      </c>
      <c r="U56" s="502">
        <f>F56/O56</f>
        <v/>
      </c>
      <c r="V56" s="375">
        <f>(T56-U56)/U56</f>
        <v/>
      </c>
      <c r="W56" s="502">
        <f>B56/N56</f>
        <v/>
      </c>
      <c r="X56" s="502">
        <f>C56/O56</f>
        <v/>
      </c>
      <c r="Y56" s="378">
        <f>(W56-X56)/X56</f>
        <v/>
      </c>
      <c r="Z56" s="506">
        <f>SUMIFS(Search!$AG:$AG,Search!$A:$A,"P5",Search!$D:$D,"Brand")</f>
        <v/>
      </c>
      <c r="AA56" s="504">
        <f>SUMIFS(Search!$AH:$AH,Search!$A:$A,"P5",Search!$D:$D,"Brand")</f>
        <v/>
      </c>
      <c r="AB56" s="378">
        <f>(Z56-AA56)/AA56</f>
        <v/>
      </c>
      <c r="AC56" s="506">
        <f>SUMIFS(Search!$AK:$AK,Search!$A:$A,"P5",Search!$D:$D,"Brand")</f>
        <v/>
      </c>
      <c r="AD56" s="504">
        <f>SUMIFS(Search!$AL:$AL,Search!$A:$A,"P5",Search!$D:$D,"Brand")</f>
        <v/>
      </c>
      <c r="AE56" s="378">
        <f>(AC56-AD56)/AD56</f>
        <v/>
      </c>
      <c r="AF56" s="505">
        <f>Z56/AC56</f>
        <v/>
      </c>
      <c r="AG56" s="505">
        <f>AA56/AD56</f>
        <v/>
      </c>
      <c r="AH56" s="378">
        <f>(AF56-AG56)/AG56</f>
        <v/>
      </c>
    </row>
    <row outlineLevel="1" r="57" s="452" spans="1:34">
      <c r="A57" s="373" t="s">
        <v>36</v>
      </c>
      <c r="B57" s="502">
        <f>SUMIFS(Search!$E:$E,Search!$A:$A,"P5",Search!$D:$D,"Non-Brand")</f>
        <v/>
      </c>
      <c r="C57" s="502">
        <f>SUMIFS(Search!$F:$F,Search!$A:$A,"P5",Search!$D:$D,"Non-Brand")</f>
        <v/>
      </c>
      <c r="D57" s="369">
        <f>(B57-C57)/C57</f>
        <v/>
      </c>
      <c r="E57" s="502">
        <f>SUMIFS(Search!$I:$I,Search!$A:$A,"P5",Search!$D:$D,"Non-Brand")</f>
        <v/>
      </c>
      <c r="F57" s="502">
        <f>SUMIFS(Search!$J:$J,Search!$A:$A,"P5",Search!$D:$D,"Non-Brand")</f>
        <v/>
      </c>
      <c r="G57" s="375">
        <f>(E57-F57)/F57</f>
        <v/>
      </c>
      <c r="H57" s="503">
        <f>B57/E57</f>
        <v/>
      </c>
      <c r="I57" s="503">
        <f>C57/F57</f>
        <v/>
      </c>
      <c r="J57" s="375">
        <f>(H57-I57)/I57</f>
        <v/>
      </c>
      <c r="K57" s="504">
        <f>SUMIFS(Search!$Q:$Q,Search!$A:$A,"P5",Search!$D:$D,"Non-Brand")</f>
        <v/>
      </c>
      <c r="L57" s="504">
        <f>SUMIFS(Search!$R:$R,Search!$A:$A,"P5",Search!$D:$D,"Non-Brand")</f>
        <v/>
      </c>
      <c r="M57" s="375">
        <f>(K57-L57)/L57</f>
        <v/>
      </c>
      <c r="N57" s="504">
        <f>SUMIFS(Search!$U:$U,Search!$A:$A,"P5",Search!$D:$D,"Non-Brand")</f>
        <v/>
      </c>
      <c r="O57" s="504">
        <f>SUMIFS(Search!$V:$V,Search!$A:$A,"P5",Search!$D:$D,"Non-Brand")</f>
        <v/>
      </c>
      <c r="P57" s="378">
        <f>(N57-O57)/O57</f>
        <v/>
      </c>
      <c r="Q57" s="505">
        <f>N57/K57</f>
        <v/>
      </c>
      <c r="R57" s="505">
        <f>O57/L57</f>
        <v/>
      </c>
      <c r="S57" s="378">
        <f>(Q57-R57)/R57</f>
        <v/>
      </c>
      <c r="T57" s="502">
        <f>E57/N57</f>
        <v/>
      </c>
      <c r="U57" s="502">
        <f>F57/O57</f>
        <v/>
      </c>
      <c r="V57" s="375">
        <f>(T57-U57)/U57</f>
        <v/>
      </c>
      <c r="W57" s="502">
        <f>B57/N57</f>
        <v/>
      </c>
      <c r="X57" s="502">
        <f>C57/O57</f>
        <v/>
      </c>
      <c r="Y57" s="378">
        <f>(W57-X57)/X57</f>
        <v/>
      </c>
      <c r="Z57" s="506">
        <f>SUMIFS(Search!$AG:$AG,Search!$A:$A,"P5",Search!$D:$D,"Non-Brand")</f>
        <v/>
      </c>
      <c r="AA57" s="504">
        <f>SUMIFS(Search!$AH:$AH,Search!$A:$A,"P5",Search!$D:$D,"Non-Brand")</f>
        <v/>
      </c>
      <c r="AB57" s="378">
        <f>(Z57-AA57)/AA57</f>
        <v/>
      </c>
      <c r="AC57" s="506">
        <f>SUMIFS(Search!$AK:$AK,Search!$A:$A,"P5",Search!$D:$D,"Non-Brand")</f>
        <v/>
      </c>
      <c r="AD57" s="504">
        <f>SUMIFS(Search!$AL:$AL,Search!$A:$A,"P5",Search!$D:$D,"Non-Brand")</f>
        <v/>
      </c>
      <c r="AE57" s="378">
        <f>(AC57-AD57)/AD57</f>
        <v/>
      </c>
      <c r="AF57" s="505">
        <f>Z57/AC57</f>
        <v/>
      </c>
      <c r="AG57" s="505">
        <f>AA57/AD57</f>
        <v/>
      </c>
      <c r="AH57" s="378">
        <f>(AF57-AG57)/AG57</f>
        <v/>
      </c>
    </row>
    <row outlineLevel="1" r="58" s="452" spans="1:34">
      <c r="A58" s="373" t="s">
        <v>37</v>
      </c>
      <c r="B58" s="502">
        <f>SUMIFS(Search!$E:$E,Search!$A:$A,"P5",Search!$D:$D,"Shopping Campaigns")</f>
        <v/>
      </c>
      <c r="C58" s="502">
        <f>SUMIFS(Search!$F:$F,Search!$A:$A,"P5",Search!$D:$D,"Shopping Campaigns")</f>
        <v/>
      </c>
      <c r="D58" s="369">
        <f>(B58-C58)/C58</f>
        <v/>
      </c>
      <c r="E58" s="502">
        <f>SUMIFS(Search!$I:$I,Search!$A:$A,"P5",Search!$D:$D,"Shopping Campaigns")</f>
        <v/>
      </c>
      <c r="F58" s="502">
        <f>SUMIFS(Search!$J:$J,Search!$A:$A,"P5",Search!$D:$D,"Shopping Campaigns")</f>
        <v/>
      </c>
      <c r="G58" s="375">
        <f>(E58-F58)/F58</f>
        <v/>
      </c>
      <c r="H58" s="503">
        <f>B58/E58</f>
        <v/>
      </c>
      <c r="I58" s="503">
        <f>C58/F58</f>
        <v/>
      </c>
      <c r="J58" s="375">
        <f>(H58-I58)/I58</f>
        <v/>
      </c>
      <c r="K58" s="504">
        <f>SUMIFS(Search!$Q:$Q,Search!$A:$A,"P5",Search!$D:$D,"Shopping Campaigns")</f>
        <v/>
      </c>
      <c r="L58" s="504">
        <f>SUMIFS(Search!$R:$R,Search!$A:$A,"P5",Search!$D:$D,"Shopping Campaigns")</f>
        <v/>
      </c>
      <c r="M58" s="375">
        <f>(K58-L58)/L58</f>
        <v/>
      </c>
      <c r="N58" s="504">
        <f>SUMIFS(Search!$U:$U,Search!$A:$A,"P5",Search!$D:$D,"Shopping Campaigns")</f>
        <v/>
      </c>
      <c r="O58" s="504">
        <f>SUMIFS(Search!$V:$V,Search!$A:$A,"P5",Search!$D:$D,"Shopping Campaigns")</f>
        <v/>
      </c>
      <c r="P58" s="378">
        <f>(N58-O58)/O58</f>
        <v/>
      </c>
      <c r="Q58" s="505">
        <f>N58/K58</f>
        <v/>
      </c>
      <c r="R58" s="505">
        <f>O58/L58</f>
        <v/>
      </c>
      <c r="S58" s="378">
        <f>(Q58-R58)/R58</f>
        <v/>
      </c>
      <c r="T58" s="502">
        <f>E58/N58</f>
        <v/>
      </c>
      <c r="U58" s="502">
        <f>F58/O58</f>
        <v/>
      </c>
      <c r="V58" s="375">
        <f>(T58-U58)/U58</f>
        <v/>
      </c>
      <c r="W58" s="502">
        <f>B58/N58</f>
        <v/>
      </c>
      <c r="X58" s="502">
        <f>C58/O58</f>
        <v/>
      </c>
      <c r="Y58" s="378">
        <f>(W58-X58)/X58</f>
        <v/>
      </c>
      <c r="Z58" s="506">
        <f>SUMIFS(Search!$AG:$AG,Search!$A:$A,"P5",Search!$D:$D,"Shopping Campaigns")</f>
        <v/>
      </c>
      <c r="AA58" s="504">
        <f>SUMIFS(Search!$AH:$AH,Search!$A:$A,"P5",Search!$D:$D,"Shopping Campaigns")</f>
        <v/>
      </c>
      <c r="AB58" s="378">
        <f>(Z58-AA58)/AA58</f>
        <v/>
      </c>
      <c r="AC58" s="506">
        <f>SUMIFS(Search!$AK:$AK,Search!$A:$A,"P5",Search!$D:$D,"Shopping Campaigns")</f>
        <v/>
      </c>
      <c r="AD58" s="504">
        <f>SUMIFS(Search!$AL:$AL,Search!$A:$A,"P5",Search!$D:$D,"Shopping Campaigns")</f>
        <v/>
      </c>
      <c r="AE58" s="378">
        <f>(AC58-AD58)/AD58</f>
        <v/>
      </c>
      <c r="AF58" s="505">
        <f>Z58/AC58</f>
        <v/>
      </c>
      <c r="AG58" s="505">
        <f>AA58/AD58</f>
        <v/>
      </c>
      <c r="AH58" s="378">
        <f>(AF58-AG58)/AG58</f>
        <v/>
      </c>
    </row>
    <row customFormat="1" customHeight="1" ht="21" r="59" s="367" spans="1:34">
      <c r="A59" s="380" t="s">
        <v>27</v>
      </c>
      <c r="B59" s="497">
        <f>SUMIFS(Affiliate!D:D,Affiliate!$A:$A,"P5")</f>
        <v/>
      </c>
      <c r="C59" s="497">
        <f>SUMIFS(Affiliate!E:E,Affiliate!$A:$A,"P5")</f>
        <v/>
      </c>
      <c r="D59" s="369">
        <f>(B59-C59)/C59</f>
        <v/>
      </c>
      <c r="E59" s="497">
        <f>SUMIFS(Affiliate!H:H,Affiliate!$A:$A,"P5")</f>
        <v/>
      </c>
      <c r="F59" s="497">
        <f>SUMIFS(Affiliate!I:I,Affiliate!$A:$A,"P5")</f>
        <v/>
      </c>
      <c r="G59" s="369">
        <f>(E59-F59)/F59</f>
        <v/>
      </c>
      <c r="H59" s="498">
        <f>B59/E59</f>
        <v/>
      </c>
      <c r="I59" s="498">
        <f>C59/F59</f>
        <v/>
      </c>
      <c r="J59" s="369">
        <f>(H59-I59)/I59</f>
        <v/>
      </c>
      <c r="K59" s="499">
        <f>SUMIFS(Affiliate!$AF:$AF,Affiliate!$A:$A,"P5")</f>
        <v/>
      </c>
      <c r="L59" s="499">
        <f>SUMIFS(Affiliate!$AG:$AG,Affiliate!$A:$A,"P5")</f>
        <v/>
      </c>
      <c r="M59" s="369">
        <f>(K59-L59)/L59</f>
        <v/>
      </c>
      <c r="N59" s="499">
        <f>SUMIFS(Affiliate!$AJ:$AJ,Affiliate!$A:$A,"P5")</f>
        <v/>
      </c>
      <c r="O59" s="499">
        <f>SUMIFS(Affiliate!$AK:$AK,Affiliate!$A:$A,"P5")</f>
        <v/>
      </c>
      <c r="P59" s="381">
        <f>(N59-O59)/O59</f>
        <v/>
      </c>
      <c r="Q59" s="507">
        <f>N59/K59</f>
        <v/>
      </c>
      <c r="R59" s="507">
        <f>O59/L59</f>
        <v/>
      </c>
      <c r="S59" s="381">
        <f>(Q59-R59)/R59</f>
        <v/>
      </c>
      <c r="T59" s="508">
        <f>E59/N59</f>
        <v/>
      </c>
      <c r="U59" s="508">
        <f>F59/O59</f>
        <v/>
      </c>
      <c r="V59" s="369">
        <f>(T59-U59)/U59</f>
        <v/>
      </c>
      <c r="W59" s="508">
        <f>B59/N59</f>
        <v/>
      </c>
      <c r="X59" s="508">
        <f>C59/O59</f>
        <v/>
      </c>
      <c r="Y59" s="381">
        <f>(W59-X59)/X59</f>
        <v/>
      </c>
      <c r="Z59" s="509" t="n"/>
      <c r="AA59" s="384" t="n"/>
      <c r="AB59" s="381">
        <f>(Z59-AA59)/AA59</f>
        <v/>
      </c>
      <c r="AC59" s="509" t="n"/>
      <c r="AD59" s="384" t="n"/>
      <c r="AE59" s="381">
        <f>(AC59-AD59)/AD59</f>
        <v/>
      </c>
      <c r="AF59" s="510" t="n"/>
      <c r="AG59" s="510" t="n"/>
      <c r="AH59" s="381">
        <f>(AF59-AG59)/AG59</f>
        <v/>
      </c>
    </row>
    <row customFormat="1" customHeight="1" ht="20.1" r="60" s="367" spans="1:34">
      <c r="A60" s="367" t="s">
        <v>28</v>
      </c>
      <c r="B60" s="497">
        <f>SUM(B61:B62)</f>
        <v/>
      </c>
      <c r="C60" s="497">
        <f>SUM(C61:C62)</f>
        <v/>
      </c>
      <c r="D60" s="369">
        <f>(B60-C60)/C60</f>
        <v/>
      </c>
      <c r="E60" s="497">
        <f>SUM(E61:E62)</f>
        <v/>
      </c>
      <c r="F60" s="497">
        <f>SUM(F61:F62)</f>
        <v/>
      </c>
      <c r="G60" s="369">
        <f>(E60-F60)/F60</f>
        <v/>
      </c>
      <c r="H60" s="498">
        <f>B60/E60</f>
        <v/>
      </c>
      <c r="I60" s="498">
        <f>C60/F60</f>
        <v/>
      </c>
      <c r="J60" s="369">
        <f>(H60-I60)/I60</f>
        <v/>
      </c>
      <c r="K60" s="499">
        <f>SUM(K61:K62)</f>
        <v/>
      </c>
      <c r="L60" s="499">
        <f>SUM(L61:L62)</f>
        <v/>
      </c>
      <c r="M60" s="369">
        <f>(K60-L60)/L60</f>
        <v/>
      </c>
      <c r="N60" s="499">
        <f>SUM(N61:N62)</f>
        <v/>
      </c>
      <c r="O60" s="499">
        <f>SUM(O61:O62)</f>
        <v/>
      </c>
      <c r="P60" s="381">
        <f>(N60-O60)/O60</f>
        <v/>
      </c>
      <c r="Q60" s="507">
        <f>N60/K60</f>
        <v/>
      </c>
      <c r="R60" s="507">
        <f>O60/L60</f>
        <v/>
      </c>
      <c r="S60" s="381">
        <f>(Q60-R60)/R60</f>
        <v/>
      </c>
      <c r="T60" s="508">
        <f>E60/N60</f>
        <v/>
      </c>
      <c r="U60" s="508">
        <f>F60/O60</f>
        <v/>
      </c>
      <c r="V60" s="369">
        <f>(T60-U60)/U60</f>
        <v/>
      </c>
      <c r="W60" s="508">
        <f>B60/N60</f>
        <v/>
      </c>
      <c r="X60" s="508">
        <f>C60/O60</f>
        <v/>
      </c>
      <c r="Y60" s="381">
        <f>(W60-X60)/X60</f>
        <v/>
      </c>
      <c r="Z60" s="501">
        <f>SUM(Z61:Z62)</f>
        <v/>
      </c>
      <c r="AA60" s="499">
        <f>SUM(AA61:AA62)</f>
        <v/>
      </c>
      <c r="AB60" s="381">
        <f>(Z60-AA60)/AA60</f>
        <v/>
      </c>
      <c r="AC60" s="501">
        <f>SUM(AC61:AC62)</f>
        <v/>
      </c>
      <c r="AD60" s="499">
        <f>SUM(AD61:AD62)</f>
        <v/>
      </c>
      <c r="AE60" s="381">
        <f>(AC60-AD60)/AD60</f>
        <v/>
      </c>
      <c r="AF60" s="507">
        <f>Z60/AC60</f>
        <v/>
      </c>
      <c r="AG60" s="507">
        <f>AA60/AD60</f>
        <v/>
      </c>
      <c r="AH60" s="381">
        <f>(AF60-AG60)/AG60</f>
        <v/>
      </c>
    </row>
    <row outlineLevel="1" r="61" s="452" spans="1:34">
      <c r="A61" s="373" t="s">
        <v>38</v>
      </c>
      <c r="B61" s="502">
        <f>SUMIFS('Social - Promos'!$E:$E,'Social - Promos'!$A:$A,"p5")</f>
        <v/>
      </c>
      <c r="C61" s="502">
        <f>SUMIFS('Social - Promos'!$F:$F,'Social - Promos'!$A:$A,"p5")</f>
        <v/>
      </c>
      <c r="D61" s="369">
        <f>(B61-C61)/C61</f>
        <v/>
      </c>
      <c r="E61" s="502">
        <f>SUMIFS('Social - Promos'!$K:$K,'Social - Promos'!$A:$A,"p5")</f>
        <v/>
      </c>
      <c r="F61" s="502">
        <f>SUMIFS('Social - Promos'!$L:$L,'Social - Promos'!$A:$A,"p5")</f>
        <v/>
      </c>
      <c r="G61" s="375">
        <f>(E61-F61)/F61</f>
        <v/>
      </c>
      <c r="H61" s="484">
        <f>B61/E61</f>
        <v/>
      </c>
      <c r="I61" s="484">
        <f>C61/F61</f>
        <v/>
      </c>
      <c r="J61" s="375">
        <f>(H61-I61)/I61</f>
        <v/>
      </c>
      <c r="K61" s="504">
        <f>SUMIFS('Social - Promos'!$T:$T,'Social - Promos'!$A:$A,"p5")</f>
        <v/>
      </c>
      <c r="L61" s="504">
        <f>SUMIFS('Social - Promos'!$U:$U,'Social - Promos'!$A:$A,"p5")</f>
        <v/>
      </c>
      <c r="M61" s="375">
        <f>(K61-L61)/L61</f>
        <v/>
      </c>
      <c r="N61" s="504">
        <f>SUMIFS('Social - Promos'!$W:$W,'Social - Promos'!$A:$A,"p5")</f>
        <v/>
      </c>
      <c r="O61" s="504">
        <f>SUMIFS('Social - Promos'!$X:$X,'Social - Promos'!$A:$A,"p5")</f>
        <v/>
      </c>
      <c r="P61" s="378">
        <f>(N61-O61)/O61</f>
        <v/>
      </c>
      <c r="Q61" s="505">
        <f>N61/K61</f>
        <v/>
      </c>
      <c r="R61" s="505">
        <f>O61/L61</f>
        <v/>
      </c>
      <c r="S61" s="378">
        <f>(Q61-R61)/R61</f>
        <v/>
      </c>
      <c r="T61" s="502">
        <f>E61/N61</f>
        <v/>
      </c>
      <c r="U61" s="502">
        <f>F61/O61</f>
        <v/>
      </c>
      <c r="V61" s="375">
        <f>(T61-U61)/U61</f>
        <v/>
      </c>
      <c r="W61" s="502">
        <f>B61/N61</f>
        <v/>
      </c>
      <c r="X61" s="502">
        <f>C61/O61</f>
        <v/>
      </c>
      <c r="Y61" s="378">
        <f>(W61-X61)/X61</f>
        <v/>
      </c>
      <c r="Z61" s="506">
        <f>SUMIFS('Social - Promos'!$AF:$AF,'Social - Promos'!$A:$A,"p5")</f>
        <v/>
      </c>
      <c r="AA61" s="504">
        <f>SUMIFS('Social - Promos'!$AG:$AG,'Social - Promos'!$A:$A,"p5")</f>
        <v/>
      </c>
      <c r="AB61" s="378">
        <f>(Z61-AA61)/AA61</f>
        <v/>
      </c>
      <c r="AC61" s="506">
        <f>SUMIFS('Social - Promos'!$AI:$AI,'Social - Promos'!$A:$A,"p5")</f>
        <v/>
      </c>
      <c r="AD61" s="504">
        <f>SUMIFS('Social - Promos'!$AJ:$AJ,'Social - Promos'!$A:$A,"p5")</f>
        <v/>
      </c>
      <c r="AE61" s="378">
        <f>(AC61-AD61)/AD61</f>
        <v/>
      </c>
      <c r="AF61" s="505">
        <f>Z61/AC61</f>
        <v/>
      </c>
      <c r="AG61" s="505">
        <f>AA61/AD61</f>
        <v/>
      </c>
      <c r="AH61" s="378">
        <f>(AF61-AG61)/AG61</f>
        <v/>
      </c>
    </row>
    <row outlineLevel="1" r="62" s="452" spans="1:34">
      <c r="A62" s="373" t="s">
        <v>39</v>
      </c>
      <c r="B62" s="502">
        <f>SUMIFS('Social - Remarketing'!$D:$D,'Social - Remarketing'!$A:$A,"P5")</f>
        <v/>
      </c>
      <c r="C62" s="502">
        <f>SUMIFS('Social - Remarketing'!$E:$E,'Social - Remarketing'!$A:$A,"P5")</f>
        <v/>
      </c>
      <c r="D62" s="369">
        <f>(B62-C62)/C62</f>
        <v/>
      </c>
      <c r="E62" s="502">
        <f>SUMIFS('Social - Remarketing'!$H:$H,'Social - Remarketing'!$A:$A,"P5")</f>
        <v/>
      </c>
      <c r="F62" s="502">
        <f>SUMIFS('Social - Remarketing'!$I:$I,'Social - Remarketing'!$A:$A,"P5")</f>
        <v/>
      </c>
      <c r="G62" s="369">
        <f>(E62-F62)/F62</f>
        <v/>
      </c>
      <c r="H62" s="484">
        <f>B62/E62</f>
        <v/>
      </c>
      <c r="I62" s="484">
        <f>C62/F62</f>
        <v/>
      </c>
      <c r="J62" s="369">
        <f>(H62-I62)/I62</f>
        <v/>
      </c>
      <c r="K62" s="504">
        <f>SUMIFS('Social - Remarketing'!$X:$X,'Social - Remarketing'!$A:$A,"P5")</f>
        <v/>
      </c>
      <c r="L62" s="504">
        <f>SUMIFS('Social - Remarketing'!$Y:$Y,'Social - Remarketing'!$A:$A,"P5")</f>
        <v/>
      </c>
      <c r="M62" s="375">
        <f>(K62-L62)/L62</f>
        <v/>
      </c>
      <c r="N62" s="504">
        <f>SUMIFS('Social - Remarketing'!$AB:$AB,'Social - Remarketing'!$A:$A,"P5")</f>
        <v/>
      </c>
      <c r="O62" s="504">
        <f>SUMIFS('Social - Remarketing'!$AC:$AC,'Social - Remarketing'!$A:$A,"P5")</f>
        <v/>
      </c>
      <c r="P62" s="378">
        <f>(N62-O62)/O62</f>
        <v/>
      </c>
      <c r="Q62" s="505">
        <f>N62/K62</f>
        <v/>
      </c>
      <c r="R62" s="505">
        <f>O62/L62</f>
        <v/>
      </c>
      <c r="S62" s="378">
        <f>(Q62-R62)/R62</f>
        <v/>
      </c>
      <c r="T62" s="502">
        <f>E62/N62</f>
        <v/>
      </c>
      <c r="U62" s="502">
        <f>F62/O62</f>
        <v/>
      </c>
      <c r="V62" s="375">
        <f>(T62-U62)/U62</f>
        <v/>
      </c>
      <c r="W62" s="502">
        <f>B62/N62</f>
        <v/>
      </c>
      <c r="X62" s="502">
        <f>C62/O62</f>
        <v/>
      </c>
      <c r="Y62" s="378">
        <f>(W62-X62)/X62</f>
        <v/>
      </c>
      <c r="Z62" s="506">
        <f>SUMIFS('Social - Remarketing'!$AN:$AN,'Social - Remarketing'!$A:$A,"P5")</f>
        <v/>
      </c>
      <c r="AA62" s="504">
        <f>SUMIFS('Social - Remarketing'!$AO:$AO,'Social - Remarketing'!$A:$A,"P5")</f>
        <v/>
      </c>
      <c r="AB62" s="378">
        <f>(Z62-AA62)/AA62</f>
        <v/>
      </c>
      <c r="AC62" s="506">
        <f>SUMIFS('Social - Remarketing'!$AR:$AR,'Social - Remarketing'!$A:$A,"P5")</f>
        <v/>
      </c>
      <c r="AD62" s="504">
        <f>SUMIFS('Social - Remarketing'!$AS:$AS,'Social - Remarketing'!$A:$A,"P5")</f>
        <v/>
      </c>
      <c r="AE62" s="378">
        <f>(AC62-AD62)/AD62</f>
        <v/>
      </c>
      <c r="AF62" s="505">
        <f>Z62/AC62</f>
        <v/>
      </c>
      <c r="AG62" s="505">
        <f>AA62/AD62</f>
        <v/>
      </c>
      <c r="AH62" s="378">
        <f>(AF62-AG62)/AG62</f>
        <v/>
      </c>
    </row>
    <row customFormat="1" customHeight="1" ht="21" r="63" s="367" spans="1:34">
      <c r="A63" s="367" t="s">
        <v>29</v>
      </c>
      <c r="B63" s="497">
        <f>SUM(B64:B65)</f>
        <v/>
      </c>
      <c r="C63" s="497">
        <f>SUM(C64:C65)</f>
        <v/>
      </c>
      <c r="D63" s="369">
        <f>(B63-C63)/C63</f>
        <v/>
      </c>
      <c r="E63" s="497">
        <f>SUM(E64:E65)</f>
        <v/>
      </c>
      <c r="F63" s="497">
        <f>SUM(F64:F65)</f>
        <v/>
      </c>
      <c r="G63" s="369">
        <f>(E63-F63)/F63</f>
        <v/>
      </c>
      <c r="H63" s="498">
        <f>B63/E63</f>
        <v/>
      </c>
      <c r="I63" s="498">
        <f>C63/F63</f>
        <v/>
      </c>
      <c r="J63" s="369">
        <f>(H63-I63)/I63</f>
        <v/>
      </c>
      <c r="K63" s="499">
        <f>SUM(K64:K65)</f>
        <v/>
      </c>
      <c r="L63" s="499">
        <f>SUM(L64:L65)</f>
        <v/>
      </c>
      <c r="M63" s="369">
        <f>(K63-L63)/L63</f>
        <v/>
      </c>
      <c r="N63" s="499">
        <f>SUM(N64:N65)</f>
        <v/>
      </c>
      <c r="O63" s="499">
        <f>SUM(O64:O65)</f>
        <v/>
      </c>
      <c r="P63" s="381">
        <f>(N63-O63)/O63</f>
        <v/>
      </c>
      <c r="Q63" s="507">
        <f>N63/K63</f>
        <v/>
      </c>
      <c r="R63" s="507">
        <f>O63/L63</f>
        <v/>
      </c>
      <c r="S63" s="381">
        <f>(Q63-R63)/R63</f>
        <v/>
      </c>
      <c r="T63" s="508">
        <f>E63/N63</f>
        <v/>
      </c>
      <c r="U63" s="508">
        <f>F63/O63</f>
        <v/>
      </c>
      <c r="V63" s="369">
        <f>(T63-U63)/U63</f>
        <v/>
      </c>
      <c r="W63" s="508">
        <f>B63/N63</f>
        <v/>
      </c>
      <c r="X63" s="508">
        <f>C63/O63</f>
        <v/>
      </c>
      <c r="Y63" s="381">
        <f>(W63-X63)/X63</f>
        <v/>
      </c>
      <c r="Z63" s="501">
        <f>SUM(Z64:Z65)</f>
        <v/>
      </c>
      <c r="AA63" s="499">
        <f>SUM(AA64:AA65)</f>
        <v/>
      </c>
      <c r="AB63" s="381">
        <f>(Z63-AA63)/AA63</f>
        <v/>
      </c>
      <c r="AC63" s="501">
        <f>SUM(AC64:AC65)</f>
        <v/>
      </c>
      <c r="AD63" s="499">
        <f>SUM(AD64:AD65)</f>
        <v/>
      </c>
      <c r="AE63" s="381">
        <f>(AC63-AD63)/AD63</f>
        <v/>
      </c>
      <c r="AF63" s="507">
        <f>Z63/AC63</f>
        <v/>
      </c>
      <c r="AG63" s="507">
        <f>AA63/AD63</f>
        <v/>
      </c>
      <c r="AH63" s="381">
        <f>(AF63-AG63)/AG63</f>
        <v/>
      </c>
    </row>
    <row outlineLevel="1" r="64" s="452" spans="1:34">
      <c r="A64" s="373" t="s">
        <v>38</v>
      </c>
      <c r="B64" s="502">
        <f>SUMIFS('Display - Promos'!$E:$E,'Display - Promos'!$A:$A,"P5")</f>
        <v/>
      </c>
      <c r="C64" s="502">
        <f>SUMIFS('Display - Promos'!$F:$F,'Display - Promos'!$A:$A,"P5")</f>
        <v/>
      </c>
      <c r="D64" s="375">
        <f>(B64-C64)/C64</f>
        <v/>
      </c>
      <c r="E64" s="502">
        <f>SUMIFS('Display - Promos'!$H:$H,'Display - Promos'!$A:$A,"p5")</f>
        <v/>
      </c>
      <c r="F64" s="502">
        <f>SUMIFS('Display - Promos'!$I:$I,'Display - Promos'!$A:$A,"p5")</f>
        <v/>
      </c>
      <c r="G64" s="375">
        <f>(E64-F64)/F64</f>
        <v/>
      </c>
      <c r="H64" s="484">
        <f>B64/E64</f>
        <v/>
      </c>
      <c r="I64" s="484">
        <f>C64/F64</f>
        <v/>
      </c>
      <c r="J64" s="369">
        <f>(H64-I64)/I64</f>
        <v/>
      </c>
      <c r="K64" s="504">
        <f>SUMIFS('Display - Promos'!$N:$N,'Display - Promos'!$A:$A,"p5")</f>
        <v/>
      </c>
      <c r="L64" s="504">
        <f>SUMIFS('Display - Promos'!$O:$O,'Display - Promos'!$A:$A,"p5")</f>
        <v/>
      </c>
      <c r="M64" s="375">
        <f>(K64-L64)/L64</f>
        <v/>
      </c>
      <c r="N64" s="504">
        <f>SUMIFS('Display - Promos'!$Q:$Q,'Display - Promos'!$A:$A,"p5")</f>
        <v/>
      </c>
      <c r="O64" s="504">
        <f>SUMIFS('Display - Promos'!$R:$R,'Display - Promos'!$A:$A,"p5")</f>
        <v/>
      </c>
      <c r="P64" s="378">
        <f>(N64-O64)/O64</f>
        <v/>
      </c>
      <c r="Q64" s="505">
        <f>N64/K64</f>
        <v/>
      </c>
      <c r="R64" s="505">
        <f>O64/L64</f>
        <v/>
      </c>
      <c r="S64" s="378">
        <f>(Q64-R64)/R64</f>
        <v/>
      </c>
      <c r="T64" s="502">
        <f>E64/N64</f>
        <v/>
      </c>
      <c r="U64" s="502">
        <f>F64/O64</f>
        <v/>
      </c>
      <c r="V64" s="375">
        <f>(T64-U64)/U64</f>
        <v/>
      </c>
      <c r="W64" s="502">
        <f>B64/N64</f>
        <v/>
      </c>
      <c r="X64" s="502">
        <f>C64/O64</f>
        <v/>
      </c>
      <c r="Y64" s="378">
        <f>(W64-X64)/X64</f>
        <v/>
      </c>
      <c r="Z64" s="506">
        <f>SUMIFS('Display - Promos'!$W:$W,'Display - Promos'!$A:$A,"p5")</f>
        <v/>
      </c>
      <c r="AA64" s="504">
        <f>SUMIFS('Display - Promos'!$X:$X,'Display - Promos'!$A:$A,"p5")</f>
        <v/>
      </c>
      <c r="AB64" s="378">
        <f>(Z64-AA64)/AA64</f>
        <v/>
      </c>
      <c r="AC64" s="506">
        <f>SUMIFS('Display - Promos'!$Z:$Z,'Display - Promos'!$A:$A,"p5")</f>
        <v/>
      </c>
      <c r="AD64" s="504">
        <f>SUMIFS('Display - Promos'!$AA:$AA,'Display - Promos'!$A:$A,"p5")</f>
        <v/>
      </c>
      <c r="AE64" s="378">
        <f>(AC64-AD64)/AD64</f>
        <v/>
      </c>
      <c r="AF64" s="505">
        <f>Z64/AC64</f>
        <v/>
      </c>
      <c r="AG64" s="505">
        <f>AA64/AD64</f>
        <v/>
      </c>
      <c r="AH64" s="378">
        <f>(AF64-AG64)/AG64</f>
        <v/>
      </c>
    </row>
    <row customHeight="1" ht="19.5" outlineLevel="1" r="65" s="452" spans="1:34" thickBot="1">
      <c r="A65" s="373" t="s">
        <v>39</v>
      </c>
      <c r="B65" s="502">
        <f>SUMIFS('Display - Remarketing'!$D:$D,'Display - Remarketing'!$A:$A,"P5")</f>
        <v/>
      </c>
      <c r="C65" s="502">
        <f>SUMIFS('Display - Remarketing'!$E:$E,'Display - Remarketing'!$A:$A,"P5")</f>
        <v/>
      </c>
      <c r="D65" s="369">
        <f>(B65-C65)/C65</f>
        <v/>
      </c>
      <c r="E65" s="502">
        <f>SUMIFS('Display - Remarketing'!$H:$H,'Display - Remarketing'!$A:$A,"P5")</f>
        <v/>
      </c>
      <c r="F65" s="502">
        <f>SUMIFS('Display - Remarketing'!$I:$I,'Display - Remarketing'!$A:$A,"P5")</f>
        <v/>
      </c>
      <c r="G65" s="369">
        <f>(E65-F65)/F65</f>
        <v/>
      </c>
      <c r="H65" s="484">
        <f>B65/E65</f>
        <v/>
      </c>
      <c r="I65" s="484">
        <f>C65/F65</f>
        <v/>
      </c>
      <c r="J65" s="369">
        <f>(H65-I65)/I65</f>
        <v/>
      </c>
      <c r="K65" s="504">
        <f>SUMIFS('Display - Remarketing'!$P:$P,'Display - Remarketing'!$A:$A,"P5")</f>
        <v/>
      </c>
      <c r="L65" s="504">
        <f>SUMIFS('Display - Remarketing'!$Q:$Q,'Display - Remarketing'!$A:$A,"P5")</f>
        <v/>
      </c>
      <c r="M65" s="375">
        <f>(K65-L65)/L65</f>
        <v/>
      </c>
      <c r="N65" s="504">
        <f>SUMIFS('Display - Remarketing'!$T:$T,'Display - Remarketing'!$A:$A,"P5")</f>
        <v/>
      </c>
      <c r="O65" s="504">
        <f>SUMIFS('Display - Remarketing'!$U:$U,'Display - Remarketing'!$A:$A,"P5")</f>
        <v/>
      </c>
      <c r="P65" s="378">
        <f>(N65-O65)/O65</f>
        <v/>
      </c>
      <c r="Q65" s="505">
        <f>N65/K65</f>
        <v/>
      </c>
      <c r="R65" s="505">
        <f>O65/L65</f>
        <v/>
      </c>
      <c r="S65" s="378">
        <f>(Q65-R65)/R65</f>
        <v/>
      </c>
      <c r="T65" s="502">
        <f>E65/N65</f>
        <v/>
      </c>
      <c r="U65" s="502">
        <f>F65/O65</f>
        <v/>
      </c>
      <c r="V65" s="375">
        <f>(T65-U65)/U65</f>
        <v/>
      </c>
      <c r="W65" s="502">
        <f>B65/N65</f>
        <v/>
      </c>
      <c r="X65" s="502">
        <f>C65/O65</f>
        <v/>
      </c>
      <c r="Y65" s="378">
        <f>(W65-X65)/X65</f>
        <v/>
      </c>
      <c r="Z65" s="506">
        <f>SUMIFS('Display - Remarketing'!$AB:$AB,'Display - Remarketing'!$A:$A,"p5")</f>
        <v/>
      </c>
      <c r="AA65" s="504">
        <f>SUMIFS('Display - Remarketing'!$AC:$AC,'Display - Remarketing'!$A:$A,"P5")</f>
        <v/>
      </c>
      <c r="AB65" s="378">
        <f>(Z65-AA65)/AA65</f>
        <v/>
      </c>
      <c r="AC65" s="506">
        <f>SUMIFS('Display - Remarketing'!$AF:$AF,'Display - Remarketing'!$A:$A,"P5")</f>
        <v/>
      </c>
      <c r="AD65" s="504">
        <f>SUMIFS('Display - Remarketing'!$AG:$AG,'Display - Remarketing'!$A:$A,"P5")</f>
        <v/>
      </c>
      <c r="AE65" s="378">
        <f>(AC65-AD65)/AD65</f>
        <v/>
      </c>
      <c r="AF65" s="505">
        <f>Z65/AC65</f>
        <v/>
      </c>
      <c r="AG65" s="505">
        <f>AA65/AD65</f>
        <v/>
      </c>
      <c r="AH65" s="378">
        <f>(AF65-AG65)/AG65</f>
        <v/>
      </c>
    </row>
    <row customFormat="1" customHeight="1" ht="22.5" r="66" s="395" spans="1:34" thickBot="1" thickTop="1">
      <c r="A66" s="387" t="s">
        <v>40</v>
      </c>
      <c r="B66" s="511">
        <f>B55+B59+B60+B63</f>
        <v/>
      </c>
      <c r="C66" s="511">
        <f>C55+C59+C60+C63</f>
        <v/>
      </c>
      <c r="D66" s="389">
        <f>(B66-C66)/C66</f>
        <v/>
      </c>
      <c r="E66" s="511">
        <f>E55+E59+E60+E63</f>
        <v/>
      </c>
      <c r="F66" s="511">
        <f>F55+F59+F60+F63</f>
        <v/>
      </c>
      <c r="G66" s="390">
        <f>(E66-F66)/F66</f>
        <v/>
      </c>
      <c r="H66" s="512">
        <f>B66/E66</f>
        <v/>
      </c>
      <c r="I66" s="512">
        <f>C66/F66</f>
        <v/>
      </c>
      <c r="J66" s="390">
        <f>(H66-I66)/I66</f>
        <v/>
      </c>
      <c r="K66" s="513">
        <f>K55+K59+K60+K63</f>
        <v/>
      </c>
      <c r="L66" s="513">
        <f>L55+L59+L60+L63</f>
        <v/>
      </c>
      <c r="M66" s="390">
        <f>(K66-L66)/L66</f>
        <v/>
      </c>
      <c r="N66" s="513">
        <f>N55+N59+N60+N63</f>
        <v/>
      </c>
      <c r="O66" s="513">
        <f>O55+O59+O60+O63</f>
        <v/>
      </c>
      <c r="P66" s="389">
        <f>(N66-O66)/O66</f>
        <v/>
      </c>
      <c r="Q66" s="514">
        <f>N66/K66</f>
        <v/>
      </c>
      <c r="R66" s="514">
        <f>O66/L66</f>
        <v/>
      </c>
      <c r="S66" s="389">
        <f>(Q66-R66)/R66</f>
        <v/>
      </c>
      <c r="T66" s="511">
        <f>E66/N66</f>
        <v/>
      </c>
      <c r="U66" s="511">
        <f>F66/O66</f>
        <v/>
      </c>
      <c r="V66" s="390">
        <f>(T66-U66)/U66</f>
        <v/>
      </c>
      <c r="W66" s="511">
        <f>B66/N66</f>
        <v/>
      </c>
      <c r="X66" s="511">
        <f>C66/O66</f>
        <v/>
      </c>
      <c r="Y66" s="389">
        <f>(W66-X66)/X66</f>
        <v/>
      </c>
      <c r="Z66" s="515">
        <f>Z55+Z59+Z60+Z63</f>
        <v/>
      </c>
      <c r="AA66" s="516">
        <f>AA55+AA59+AA60+AA63</f>
        <v/>
      </c>
      <c r="AB66" s="389">
        <f>(Z66-AA66)/AA66</f>
        <v/>
      </c>
      <c r="AC66" s="515">
        <f>AC55+AC59+AC60+AC63</f>
        <v/>
      </c>
      <c r="AD66" s="513">
        <f>AD55+AD59+AD60+AD63</f>
        <v/>
      </c>
      <c r="AE66" s="389">
        <f>(AC66-AD66)/AD66</f>
        <v/>
      </c>
      <c r="AF66" s="514">
        <f>Z66/AC66</f>
        <v/>
      </c>
      <c r="AG66" s="514">
        <f>AA66/AD66</f>
        <v/>
      </c>
      <c r="AH66" s="389">
        <f>(AF66-AG66)/AG66</f>
        <v/>
      </c>
    </row>
    <row r="67" spans="1:34">
      <c r="A67" s="359" t="s">
        <v>45</v>
      </c>
      <c r="B67" s="488" t="s">
        <v>1</v>
      </c>
      <c r="C67" s="488" t="s">
        <v>2</v>
      </c>
      <c r="D67" s="489" t="s">
        <v>3</v>
      </c>
      <c r="E67" s="488" t="s">
        <v>4</v>
      </c>
      <c r="F67" s="488" t="s">
        <v>5</v>
      </c>
      <c r="G67" s="489" t="s">
        <v>3</v>
      </c>
      <c r="H67" s="490" t="s">
        <v>6</v>
      </c>
      <c r="I67" s="490" t="s">
        <v>7</v>
      </c>
      <c r="J67" s="489" t="s">
        <v>3</v>
      </c>
      <c r="K67" s="490" t="s">
        <v>8</v>
      </c>
      <c r="L67" s="491" t="s">
        <v>9</v>
      </c>
      <c r="M67" s="489" t="s">
        <v>3</v>
      </c>
      <c r="N67" s="491" t="s">
        <v>10</v>
      </c>
      <c r="O67" s="491" t="s">
        <v>11</v>
      </c>
      <c r="P67" s="489" t="s">
        <v>3</v>
      </c>
      <c r="Q67" s="491" t="s">
        <v>12</v>
      </c>
      <c r="R67" s="491" t="s">
        <v>13</v>
      </c>
      <c r="S67" s="489" t="s">
        <v>3</v>
      </c>
      <c r="T67" s="492" t="s">
        <v>14</v>
      </c>
      <c r="U67" s="492" t="s">
        <v>15</v>
      </c>
      <c r="V67" s="489" t="s">
        <v>3</v>
      </c>
      <c r="W67" s="492" t="s">
        <v>16</v>
      </c>
      <c r="X67" s="492" t="s">
        <v>17</v>
      </c>
      <c r="Y67" s="489" t="s">
        <v>3</v>
      </c>
      <c r="Z67" s="493" t="s">
        <v>18</v>
      </c>
      <c r="AA67" s="491" t="s">
        <v>19</v>
      </c>
      <c r="AB67" s="489" t="s">
        <v>3</v>
      </c>
      <c r="AC67" s="494" t="s">
        <v>33</v>
      </c>
      <c r="AD67" s="495" t="s">
        <v>34</v>
      </c>
      <c r="AE67" s="489" t="s">
        <v>3</v>
      </c>
      <c r="AF67" s="496" t="s">
        <v>22</v>
      </c>
      <c r="AG67" s="496" t="s">
        <v>23</v>
      </c>
      <c r="AH67" s="489" t="s">
        <v>3</v>
      </c>
    </row>
    <row customFormat="1" customHeight="1" ht="20.1" r="68" s="367" spans="1:34">
      <c r="A68" s="367" t="s">
        <v>24</v>
      </c>
      <c r="B68" s="497">
        <f>SUM(B69:B71)</f>
        <v/>
      </c>
      <c r="C68" s="497">
        <f>SUM(C69:C71)</f>
        <v/>
      </c>
      <c r="D68" s="369">
        <f>(B68-C68)/C68</f>
        <v/>
      </c>
      <c r="E68" s="497">
        <f>SUM(E69:E71)</f>
        <v/>
      </c>
      <c r="F68" s="497">
        <f>SUM(F69:F71)</f>
        <v/>
      </c>
      <c r="G68" s="369">
        <f>(E68-F68)/F68</f>
        <v/>
      </c>
      <c r="H68" s="498">
        <f>B68/E68</f>
        <v/>
      </c>
      <c r="I68" s="498">
        <f>C68/F68</f>
        <v/>
      </c>
      <c r="J68" s="369">
        <f>(H68-I68)/I68</f>
        <v/>
      </c>
      <c r="K68" s="499">
        <f>SUM(K69:K71)</f>
        <v/>
      </c>
      <c r="L68" s="499">
        <f>SUM(L69:L71)</f>
        <v/>
      </c>
      <c r="M68" s="369">
        <f>(K68-L68)/L68</f>
        <v/>
      </c>
      <c r="N68" s="499">
        <f>SUM(N69:N71)</f>
        <v/>
      </c>
      <c r="O68" s="499">
        <f>SUM(O69:O71)</f>
        <v/>
      </c>
      <c r="P68" s="369">
        <f>(N68-O68)/O68</f>
        <v/>
      </c>
      <c r="Q68" s="500">
        <f>N68/K68</f>
        <v/>
      </c>
      <c r="R68" s="500">
        <f>O68/L68</f>
        <v/>
      </c>
      <c r="S68" s="369">
        <f>(Q68-R68)/R68</f>
        <v/>
      </c>
      <c r="T68" s="497">
        <f>E68/N68</f>
        <v/>
      </c>
      <c r="U68" s="497">
        <f>F68/O68</f>
        <v/>
      </c>
      <c r="V68" s="369">
        <f>(T68-U68)/U68</f>
        <v/>
      </c>
      <c r="W68" s="497">
        <f>B68/N68</f>
        <v/>
      </c>
      <c r="X68" s="497">
        <f>C68/O68</f>
        <v/>
      </c>
      <c r="Y68" s="369">
        <f>(W68-X68)/X68</f>
        <v/>
      </c>
      <c r="Z68" s="501">
        <f>SUM(Z69:Z71)</f>
        <v/>
      </c>
      <c r="AA68" s="499">
        <f>SUM(AA69:AA71)</f>
        <v/>
      </c>
      <c r="AB68" s="369">
        <f>(Z68-AA68)/AA68</f>
        <v/>
      </c>
      <c r="AC68" s="501">
        <f>SUM(AC69:AC71)</f>
        <v/>
      </c>
      <c r="AD68" s="499">
        <f>SUM(AD69:AD71)</f>
        <v/>
      </c>
      <c r="AE68" s="369">
        <f>(AC68-AD68)/AD68</f>
        <v/>
      </c>
      <c r="AF68" s="500">
        <f>Z68/AC68</f>
        <v/>
      </c>
      <c r="AG68" s="500">
        <f>AA68/AD68</f>
        <v/>
      </c>
      <c r="AH68" s="369">
        <f>(AF68-AG68)/AG68</f>
        <v/>
      </c>
    </row>
    <row outlineLevel="1" r="69" s="452" spans="1:34">
      <c r="A69" s="373" t="s">
        <v>35</v>
      </c>
      <c r="B69" s="502">
        <f>SUMIFS(Search!$E:$E,Search!$A:$A,"P6",Search!$D:$D,"Brand")</f>
        <v/>
      </c>
      <c r="C69" s="502">
        <f>SUMIFS(Search!$F:$F,Search!$A:$A,"P6",Search!$D:$D,"Brand")</f>
        <v/>
      </c>
      <c r="D69" s="369">
        <f>(B69-C69)/C69</f>
        <v/>
      </c>
      <c r="E69" s="502">
        <f>SUMIFS(Search!$I:$I,Search!$A:$A,"P6",Search!$D:$D,"Brand")</f>
        <v/>
      </c>
      <c r="F69" s="502">
        <f>SUMIFS(Search!$J:$J,Search!$A:$A,"P6",Search!$D:$D,"Brand")</f>
        <v/>
      </c>
      <c r="G69" s="375">
        <f>(E69-F69)/F69</f>
        <v/>
      </c>
      <c r="H69" s="503">
        <f>B69/E69</f>
        <v/>
      </c>
      <c r="I69" s="503">
        <f>C69/F69</f>
        <v/>
      </c>
      <c r="J69" s="375">
        <f>(H69-I69)/I69</f>
        <v/>
      </c>
      <c r="K69" s="504">
        <f>SUMIFS(Search!$Q:$Q,Search!$A:$A,"P6",Search!$D:$D,"Brand")</f>
        <v/>
      </c>
      <c r="L69" s="504">
        <f>SUMIFS(Search!$R:$R,Search!$A:$A,"P6",Search!$D:$D,"Brand")</f>
        <v/>
      </c>
      <c r="M69" s="375">
        <f>(K69-L69)/L69</f>
        <v/>
      </c>
      <c r="N69" s="504">
        <f>SUMIFS(Search!$U:$U,Search!$A:$A,"P6",Search!$D:$D,"Brand")</f>
        <v/>
      </c>
      <c r="O69" s="504">
        <f>SUMIFS(Search!$V:$V,Search!$A:$A,"P6",Search!$D:$D,"Brand")</f>
        <v/>
      </c>
      <c r="P69" s="378">
        <f>(N69-O69)/O69</f>
        <v/>
      </c>
      <c r="Q69" s="505">
        <f>N69/K69</f>
        <v/>
      </c>
      <c r="R69" s="505">
        <f>O69/L69</f>
        <v/>
      </c>
      <c r="S69" s="378">
        <f>(Q69-R69)/R69</f>
        <v/>
      </c>
      <c r="T69" s="502">
        <f>E69/N69</f>
        <v/>
      </c>
      <c r="U69" s="502">
        <f>F69/O69</f>
        <v/>
      </c>
      <c r="V69" s="375">
        <f>(T69-U69)/U69</f>
        <v/>
      </c>
      <c r="W69" s="502">
        <f>B69/N69</f>
        <v/>
      </c>
      <c r="X69" s="502">
        <f>C69/O69</f>
        <v/>
      </c>
      <c r="Y69" s="378">
        <f>(W69-X69)/X69</f>
        <v/>
      </c>
      <c r="Z69" s="506">
        <f>SUMIFS(Search!$AG:$AG,Search!$A:$A,"P6",Search!$D:$D,"Brand")</f>
        <v/>
      </c>
      <c r="AA69" s="504">
        <f>SUMIFS(Search!$AH:$AH,Search!$A:$A,"P6",Search!$D:$D,"Brand")</f>
        <v/>
      </c>
      <c r="AB69" s="378">
        <f>(Z69-AA69)/AA69</f>
        <v/>
      </c>
      <c r="AC69" s="506">
        <f>SUMIFS(Search!$AK:$AK,Search!$A:$A,"P6",Search!$D:$D,"Brand")</f>
        <v/>
      </c>
      <c r="AD69" s="504">
        <f>SUMIFS(Search!$AL:$AL,Search!$A:$A,"P6",Search!$D:$D,"Brand")</f>
        <v/>
      </c>
      <c r="AE69" s="378">
        <f>(AC69-AD69)/AD69</f>
        <v/>
      </c>
      <c r="AF69" s="505">
        <f>Z69/AC69</f>
        <v/>
      </c>
      <c r="AG69" s="505">
        <f>AA69/AD69</f>
        <v/>
      </c>
      <c r="AH69" s="378">
        <f>(AF69-AG69)/AG69</f>
        <v/>
      </c>
    </row>
    <row outlineLevel="1" r="70" s="452" spans="1:34">
      <c r="A70" s="373" t="s">
        <v>36</v>
      </c>
      <c r="B70" s="502">
        <f>SUMIFS(Search!$E:$E,Search!$A:$A,"P6",Search!$D:$D,"Non-Brand")</f>
        <v/>
      </c>
      <c r="C70" s="502">
        <f>SUMIFS(Search!$F:$F,Search!$A:$A,"P6",Search!$D:$D,"Non-Brand")</f>
        <v/>
      </c>
      <c r="D70" s="369">
        <f>(B70-C70)/C70</f>
        <v/>
      </c>
      <c r="E70" s="502">
        <f>SUMIFS(Search!$I:$I,Search!$A:$A,"P6",Search!$D:$D,"Non-Brand")</f>
        <v/>
      </c>
      <c r="F70" s="502">
        <f>SUMIFS(Search!$J:$J,Search!$A:$A,"P6",Search!$D:$D,"Non-Brand")</f>
        <v/>
      </c>
      <c r="G70" s="375">
        <f>(E70-F70)/F70</f>
        <v/>
      </c>
      <c r="H70" s="503">
        <f>B70/E70</f>
        <v/>
      </c>
      <c r="I70" s="503">
        <f>C70/F70</f>
        <v/>
      </c>
      <c r="J70" s="375">
        <f>(H70-I70)/I70</f>
        <v/>
      </c>
      <c r="K70" s="504">
        <f>SUMIFS(Search!$Q:$Q,Search!$A:$A,"P6",Search!$D:$D,"Non-Brand")</f>
        <v/>
      </c>
      <c r="L70" s="504">
        <f>SUMIFS(Search!$R:$R,Search!$A:$A,"P6",Search!$D:$D,"Non-Brand")</f>
        <v/>
      </c>
      <c r="M70" s="375">
        <f>(K70-L70)/L70</f>
        <v/>
      </c>
      <c r="N70" s="504">
        <f>SUMIFS(Search!$U:$U,Search!$A:$A,"P6",Search!$D:$D,"Non-Brand")</f>
        <v/>
      </c>
      <c r="O70" s="504">
        <f>SUMIFS(Search!$V:$V,Search!$A:$A,"P6",Search!$D:$D,"Non-Brand")</f>
        <v/>
      </c>
      <c r="P70" s="378">
        <f>(N70-O70)/O70</f>
        <v/>
      </c>
      <c r="Q70" s="505">
        <f>N70/K70</f>
        <v/>
      </c>
      <c r="R70" s="505">
        <f>O70/L70</f>
        <v/>
      </c>
      <c r="S70" s="378">
        <f>(Q70-R70)/R70</f>
        <v/>
      </c>
      <c r="T70" s="502">
        <f>E70/N70</f>
        <v/>
      </c>
      <c r="U70" s="502">
        <f>F70/O70</f>
        <v/>
      </c>
      <c r="V70" s="375">
        <f>(T70-U70)/U70</f>
        <v/>
      </c>
      <c r="W70" s="502">
        <f>B70/N70</f>
        <v/>
      </c>
      <c r="X70" s="502">
        <f>C70/O70</f>
        <v/>
      </c>
      <c r="Y70" s="378">
        <f>(W70-X70)/X70</f>
        <v/>
      </c>
      <c r="Z70" s="506">
        <f>SUMIFS(Search!$AG:$AG,Search!$A:$A,"P6",Search!$D:$D,"Non-Brand")</f>
        <v/>
      </c>
      <c r="AA70" s="504">
        <f>SUMIFS(Search!$AH:$AH,Search!$A:$A,"P6",Search!$D:$D,"Non-Brand")</f>
        <v/>
      </c>
      <c r="AB70" s="378">
        <f>(Z70-AA70)/AA70</f>
        <v/>
      </c>
      <c r="AC70" s="506">
        <f>SUMIFS(Search!$AK:$AK,Search!$A:$A,"P6",Search!$D:$D,"Non-Brand")</f>
        <v/>
      </c>
      <c r="AD70" s="504">
        <f>SUMIFS(Search!$AL:$AL,Search!$A:$A,"P6",Search!$D:$D,"Non-Brand")</f>
        <v/>
      </c>
      <c r="AE70" s="378">
        <f>(AC70-AD70)/AD70</f>
        <v/>
      </c>
      <c r="AF70" s="505">
        <f>Z70/AC70</f>
        <v/>
      </c>
      <c r="AG70" s="505">
        <f>AA70/AD70</f>
        <v/>
      </c>
      <c r="AH70" s="378">
        <f>(AF70-AG70)/AG70</f>
        <v/>
      </c>
    </row>
    <row outlineLevel="1" r="71" s="452" spans="1:34">
      <c r="A71" s="373" t="s">
        <v>37</v>
      </c>
      <c r="B71" s="502">
        <f>SUMIFS(Search!$E:$E,Search!$A:$A,"P6",Search!$D:$D,"Shopping Campaigns")</f>
        <v/>
      </c>
      <c r="C71" s="502">
        <f>SUMIFS(Search!$F:$F,Search!$A:$A,"P6",Search!$D:$D,"Shopping Campaigns")</f>
        <v/>
      </c>
      <c r="D71" s="369">
        <f>(B71-C71)/C71</f>
        <v/>
      </c>
      <c r="E71" s="502">
        <f>SUMIFS(Search!$I:$I,Search!$A:$A,"P6",Search!$D:$D,"Shopping Campaigns")</f>
        <v/>
      </c>
      <c r="F71" s="502">
        <f>SUMIFS(Search!$J:$J,Search!$A:$A,"P6",Search!$D:$D,"Shopping Campaigns")</f>
        <v/>
      </c>
      <c r="G71" s="375">
        <f>(E71-F71)/F71</f>
        <v/>
      </c>
      <c r="H71" s="503">
        <f>B71/E71</f>
        <v/>
      </c>
      <c r="I71" s="503">
        <f>C71/F71</f>
        <v/>
      </c>
      <c r="J71" s="375">
        <f>(H71-I71)/I71</f>
        <v/>
      </c>
      <c r="K71" s="504">
        <f>SUMIFS(Search!$Q:$Q,Search!$A:$A,"P6",Search!$D:$D,"Shopping Campaigns")</f>
        <v/>
      </c>
      <c r="L71" s="504">
        <f>SUMIFS(Search!$R:$R,Search!$A:$A,"P6",Search!$D:$D,"Shopping Campaigns")</f>
        <v/>
      </c>
      <c r="M71" s="375">
        <f>(K71-L71)/L71</f>
        <v/>
      </c>
      <c r="N71" s="504">
        <f>SUMIFS(Search!$U:$U,Search!$A:$A,"P6",Search!$D:$D,"Shopping Campaigns")</f>
        <v/>
      </c>
      <c r="O71" s="504">
        <f>SUMIFS(Search!$V:$V,Search!$A:$A,"P6",Search!$D:$D,"Shopping Campaigns")</f>
        <v/>
      </c>
      <c r="P71" s="378">
        <f>(N71-O71)/O71</f>
        <v/>
      </c>
      <c r="Q71" s="505">
        <f>N71/K71</f>
        <v/>
      </c>
      <c r="R71" s="505">
        <f>O71/L71</f>
        <v/>
      </c>
      <c r="S71" s="378">
        <f>(Q71-R71)/R71</f>
        <v/>
      </c>
      <c r="T71" s="502">
        <f>E71/N71</f>
        <v/>
      </c>
      <c r="U71" s="502">
        <f>F71/O71</f>
        <v/>
      </c>
      <c r="V71" s="375">
        <f>(T71-U71)/U71</f>
        <v/>
      </c>
      <c r="W71" s="502">
        <f>B71/N71</f>
        <v/>
      </c>
      <c r="X71" s="502">
        <f>C71/O71</f>
        <v/>
      </c>
      <c r="Y71" s="378">
        <f>(W71-X71)/X71</f>
        <v/>
      </c>
      <c r="Z71" s="506">
        <f>SUMIFS(Search!$AG:$AG,Search!$A:$A,"P6",Search!$D:$D,"Shopping Campaigns")</f>
        <v/>
      </c>
      <c r="AA71" s="504">
        <f>SUMIFS(Search!$AH:$AH,Search!$A:$A,"P6",Search!$D:$D,"Shopping Campaigns")</f>
        <v/>
      </c>
      <c r="AB71" s="378">
        <f>(Z71-AA71)/AA71</f>
        <v/>
      </c>
      <c r="AC71" s="506">
        <f>SUMIFS(Search!$AK:$AK,Search!$A:$A,"P6",Search!$D:$D,"Shopping Campaigns")</f>
        <v/>
      </c>
      <c r="AD71" s="504">
        <f>SUMIFS(Search!$AL:$AL,Search!$A:$A,"P6",Search!$D:$D,"Shopping Campaigns")</f>
        <v/>
      </c>
      <c r="AE71" s="378">
        <f>(AC71-AD71)/AD71</f>
        <v/>
      </c>
      <c r="AF71" s="505">
        <f>Z71/AC71</f>
        <v/>
      </c>
      <c r="AG71" s="505">
        <f>AA71/AD71</f>
        <v/>
      </c>
      <c r="AH71" s="378">
        <f>(AF71-AG71)/AG71</f>
        <v/>
      </c>
    </row>
    <row customFormat="1" customHeight="1" ht="21" r="72" s="367" spans="1:34">
      <c r="A72" s="380" t="s">
        <v>27</v>
      </c>
      <c r="B72" s="497">
        <f>SUMIFS(Affiliate!D:D,Affiliate!$A:$A,"P6")</f>
        <v/>
      </c>
      <c r="C72" s="497">
        <f>SUMIFS(Affiliate!E:E,Affiliate!$A:$A,"P6")</f>
        <v/>
      </c>
      <c r="D72" s="369">
        <f>(B72-C72)/C72</f>
        <v/>
      </c>
      <c r="E72" s="497">
        <f>SUMIFS(Affiliate!H:H,Affiliate!$A:$A,"P6")</f>
        <v/>
      </c>
      <c r="F72" s="497">
        <f>SUMIFS(Affiliate!I:I,Affiliate!$A:$A,"P6")</f>
        <v/>
      </c>
      <c r="G72" s="369">
        <f>(E72-F72)/F72</f>
        <v/>
      </c>
      <c r="H72" s="498">
        <f>B72/E72</f>
        <v/>
      </c>
      <c r="I72" s="498">
        <f>C72/F72</f>
        <v/>
      </c>
      <c r="J72" s="369">
        <f>(H72-I72)/I72</f>
        <v/>
      </c>
      <c r="K72" s="499">
        <f>SUMIFS(Affiliate!$AF:$AF,Affiliate!$A:$A,"P6")</f>
        <v/>
      </c>
      <c r="L72" s="499">
        <f>SUMIFS(Affiliate!$AG:$AG,Affiliate!$A:$A,"P6")</f>
        <v/>
      </c>
      <c r="M72" s="369">
        <f>(K72-L72)/L72</f>
        <v/>
      </c>
      <c r="N72" s="499">
        <f>SUMIFS(Affiliate!$AJ:$AJ,Affiliate!$A:$A,"P6")</f>
        <v/>
      </c>
      <c r="O72" s="499">
        <f>SUMIFS(Affiliate!$AK:$AK,Affiliate!$A:$A,"P6")</f>
        <v/>
      </c>
      <c r="P72" s="381">
        <f>(N72-O72)/O72</f>
        <v/>
      </c>
      <c r="Q72" s="507">
        <f>N72/K72</f>
        <v/>
      </c>
      <c r="R72" s="507">
        <f>O72/L72</f>
        <v/>
      </c>
      <c r="S72" s="381">
        <f>(Q72-R72)/R72</f>
        <v/>
      </c>
      <c r="T72" s="508">
        <f>E72/N72</f>
        <v/>
      </c>
      <c r="U72" s="508">
        <f>F72/O72</f>
        <v/>
      </c>
      <c r="V72" s="369">
        <f>(T72-U72)/U72</f>
        <v/>
      </c>
      <c r="W72" s="508">
        <f>B72/N72</f>
        <v/>
      </c>
      <c r="X72" s="508">
        <f>C72/O72</f>
        <v/>
      </c>
      <c r="Y72" s="381">
        <f>(W72-X72)/X72</f>
        <v/>
      </c>
      <c r="Z72" s="509" t="n"/>
      <c r="AA72" s="384" t="n"/>
      <c r="AB72" s="381">
        <f>(Z72-AA72)/AA72</f>
        <v/>
      </c>
      <c r="AC72" s="509" t="n"/>
      <c r="AD72" s="384" t="n"/>
      <c r="AE72" s="381">
        <f>(AC72-AD72)/AD72</f>
        <v/>
      </c>
      <c r="AF72" s="510" t="n"/>
      <c r="AG72" s="510" t="n"/>
      <c r="AH72" s="381">
        <f>(AF72-AG72)/AG72</f>
        <v/>
      </c>
    </row>
    <row customFormat="1" customHeight="1" ht="20.1" r="73" s="367" spans="1:34">
      <c r="A73" s="367" t="s">
        <v>28</v>
      </c>
      <c r="B73" s="497">
        <f>SUM(B74:B75)</f>
        <v/>
      </c>
      <c r="C73" s="497">
        <f>SUM(C74:C75)</f>
        <v/>
      </c>
      <c r="D73" s="369">
        <f>(B73-C73)/C73</f>
        <v/>
      </c>
      <c r="E73" s="497">
        <f>SUM(E74:E75)</f>
        <v/>
      </c>
      <c r="F73" s="497">
        <f>SUM(F74:F75)</f>
        <v/>
      </c>
      <c r="G73" s="369">
        <f>(E73-F73)/F73</f>
        <v/>
      </c>
      <c r="H73" s="498">
        <f>B73/E73</f>
        <v/>
      </c>
      <c r="I73" s="498">
        <f>C73/F73</f>
        <v/>
      </c>
      <c r="J73" s="369">
        <f>(H73-I73)/I73</f>
        <v/>
      </c>
      <c r="K73" s="499">
        <f>SUM(K74:K75)</f>
        <v/>
      </c>
      <c r="L73" s="499">
        <f>SUM(L74:L75)</f>
        <v/>
      </c>
      <c r="M73" s="369">
        <f>(K73-L73)/L73</f>
        <v/>
      </c>
      <c r="N73" s="499">
        <f>SUM(N74:N75)</f>
        <v/>
      </c>
      <c r="O73" s="499">
        <f>SUM(O74:O75)</f>
        <v/>
      </c>
      <c r="P73" s="381">
        <f>(N73-O73)/O73</f>
        <v/>
      </c>
      <c r="Q73" s="507">
        <f>N73/K73</f>
        <v/>
      </c>
      <c r="R73" s="507">
        <f>O73/L73</f>
        <v/>
      </c>
      <c r="S73" s="381">
        <f>(Q73-R73)/R73</f>
        <v/>
      </c>
      <c r="T73" s="508">
        <f>E73/N73</f>
        <v/>
      </c>
      <c r="U73" s="508">
        <f>F73/O73</f>
        <v/>
      </c>
      <c r="V73" s="369">
        <f>(T73-U73)/U73</f>
        <v/>
      </c>
      <c r="W73" s="508">
        <f>B73/N73</f>
        <v/>
      </c>
      <c r="X73" s="508">
        <f>C73/O73</f>
        <v/>
      </c>
      <c r="Y73" s="381">
        <f>(W73-X73)/X73</f>
        <v/>
      </c>
      <c r="Z73" s="501">
        <f>SUM(Z74:Z75)</f>
        <v/>
      </c>
      <c r="AA73" s="499">
        <f>SUM(AA74:AA75)</f>
        <v/>
      </c>
      <c r="AB73" s="381">
        <f>(Z73-AA73)/AA73</f>
        <v/>
      </c>
      <c r="AC73" s="501">
        <f>SUM(AC74:AC75)</f>
        <v/>
      </c>
      <c r="AD73" s="499">
        <f>SUM(AD74:AD75)</f>
        <v/>
      </c>
      <c r="AE73" s="381">
        <f>(AC73-AD73)/AD73</f>
        <v/>
      </c>
      <c r="AF73" s="507">
        <f>Z73/AC73</f>
        <v/>
      </c>
      <c r="AG73" s="507">
        <f>AA73/AD73</f>
        <v/>
      </c>
      <c r="AH73" s="381">
        <f>(AF73-AG73)/AG73</f>
        <v/>
      </c>
    </row>
    <row outlineLevel="1" r="74" s="452" spans="1:34">
      <c r="A74" s="373" t="s">
        <v>38</v>
      </c>
      <c r="B74" s="502">
        <f>SUMIFS('Social - Promos'!$E:$E,'Social - Promos'!$A:$A,"p6")</f>
        <v/>
      </c>
      <c r="C74" s="502">
        <f>SUMIFS('Social - Promos'!$F:$F,'Social - Promos'!$A:$A,"p6")</f>
        <v/>
      </c>
      <c r="D74" s="369">
        <f>(B74-C74)/C74</f>
        <v/>
      </c>
      <c r="E74" s="502">
        <f>SUMIFS('Social - Promos'!$K:$K,'Social - Promos'!$A:$A,"P6")</f>
        <v/>
      </c>
      <c r="F74" s="502">
        <f>SUMIFS('Social - Promos'!$L:$L,'Social - Promos'!$A:$A,"p6")</f>
        <v/>
      </c>
      <c r="G74" s="375">
        <f>(E74-F74)/F74</f>
        <v/>
      </c>
      <c r="H74" s="484">
        <f>B74/E74</f>
        <v/>
      </c>
      <c r="I74" s="484">
        <f>C74/F74</f>
        <v/>
      </c>
      <c r="J74" s="375">
        <f>(H74-I74)/I74</f>
        <v/>
      </c>
      <c r="K74" s="504">
        <f>SUMIFS('Social - Promos'!$T:$T,'Social - Promos'!$A:$A,"p6")</f>
        <v/>
      </c>
      <c r="L74" s="504">
        <f>SUMIFS('Social - Promos'!$U:$U,'Social - Promos'!$A:$A,"p6")</f>
        <v/>
      </c>
      <c r="M74" s="375">
        <f>(K74-L74)/L74</f>
        <v/>
      </c>
      <c r="N74" s="504">
        <f>SUMIFS('Social - Promos'!$W:$W,'Social - Promos'!$A:$A,"p6")</f>
        <v/>
      </c>
      <c r="O74" s="504">
        <f>SUMIFS('Social - Promos'!$X:$X,'Social - Promos'!$A:$A,"p6")</f>
        <v/>
      </c>
      <c r="P74" s="378">
        <f>(N74-O74)/O74</f>
        <v/>
      </c>
      <c r="Q74" s="505">
        <f>N74/K74</f>
        <v/>
      </c>
      <c r="R74" s="505">
        <f>O74/L74</f>
        <v/>
      </c>
      <c r="S74" s="378">
        <f>(Q74-R74)/R74</f>
        <v/>
      </c>
      <c r="T74" s="502">
        <f>E74/N74</f>
        <v/>
      </c>
      <c r="U74" s="502">
        <f>F74/O74</f>
        <v/>
      </c>
      <c r="V74" s="375">
        <f>(T74-U74)/U74</f>
        <v/>
      </c>
      <c r="W74" s="502">
        <f>B74/N74</f>
        <v/>
      </c>
      <c r="X74" s="502">
        <f>C74/O74</f>
        <v/>
      </c>
      <c r="Y74" s="378">
        <f>(W74-X74)/X74</f>
        <v/>
      </c>
      <c r="Z74" s="506">
        <f>SUMIFS('Social - Promos'!$AF:$AF,'Social - Promos'!$A:$A,"p6")</f>
        <v/>
      </c>
      <c r="AA74" s="504">
        <f>SUMIFS('Social - Promos'!$AG:$AG,'Social - Promos'!$A:$A,"p6")</f>
        <v/>
      </c>
      <c r="AB74" s="378">
        <f>(Z74-AA74)/AA74</f>
        <v/>
      </c>
      <c r="AC74" s="506">
        <f>SUMIFS('Social - Promos'!$AI:$AI,'Social - Promos'!$A:$A,"p6")</f>
        <v/>
      </c>
      <c r="AD74" s="504">
        <f>SUMIFS('Social - Promos'!$AJ:$AJ,'Social - Promos'!$A:$A,"p6")</f>
        <v/>
      </c>
      <c r="AE74" s="378">
        <f>(AC74-AD74)/AD74</f>
        <v/>
      </c>
      <c r="AF74" s="505">
        <f>Z74/AC74</f>
        <v/>
      </c>
      <c r="AG74" s="505">
        <f>AA74/AD74</f>
        <v/>
      </c>
      <c r="AH74" s="378">
        <f>(AF74-AG74)/AG74</f>
        <v/>
      </c>
    </row>
    <row outlineLevel="1" r="75" s="452" spans="1:34">
      <c r="A75" s="373" t="s">
        <v>39</v>
      </c>
      <c r="B75" s="502">
        <f>SUMIFS('Social - Remarketing'!$D:$D,'Social - Remarketing'!$A:$A,"P6")</f>
        <v/>
      </c>
      <c r="C75" s="502">
        <f>SUMIFS('Social - Remarketing'!$E:$E,'Social - Remarketing'!$A:$A,"P6")</f>
        <v/>
      </c>
      <c r="D75" s="369">
        <f>(B75-C75)/C75</f>
        <v/>
      </c>
      <c r="E75" s="502">
        <f>SUMIFS('Social - Remarketing'!$H:$H,'Social - Remarketing'!$A:$A,"P6")</f>
        <v/>
      </c>
      <c r="F75" s="502">
        <f>SUMIFS('Social - Remarketing'!$I:$I,'Social - Remarketing'!$A:$A,"P6")</f>
        <v/>
      </c>
      <c r="G75" s="369">
        <f>(E75-F75)/F75</f>
        <v/>
      </c>
      <c r="H75" s="484">
        <f>B75/E75</f>
        <v/>
      </c>
      <c r="I75" s="484">
        <f>C75/F75</f>
        <v/>
      </c>
      <c r="J75" s="369">
        <f>(H75-I75)/I75</f>
        <v/>
      </c>
      <c r="K75" s="504">
        <f>SUMIFS('Social - Remarketing'!$X:$X,'Social - Remarketing'!$A:$A,"P6")</f>
        <v/>
      </c>
      <c r="L75" s="504">
        <f>SUMIFS('Social - Remarketing'!$Y:$Y,'Social - Remarketing'!$A:$A,"P6")</f>
        <v/>
      </c>
      <c r="M75" s="375">
        <f>(K75-L75)/L75</f>
        <v/>
      </c>
      <c r="N75" s="504">
        <f>SUMIFS('Social - Remarketing'!$AB:$AB,'Social - Remarketing'!$A:$A,"P6")</f>
        <v/>
      </c>
      <c r="O75" s="504">
        <f>SUMIFS('Social - Remarketing'!$AC:$AC,'Social - Remarketing'!$A:$A,"P6")</f>
        <v/>
      </c>
      <c r="P75" s="378">
        <f>(N75-O75)/O75</f>
        <v/>
      </c>
      <c r="Q75" s="505">
        <f>N75/K75</f>
        <v/>
      </c>
      <c r="R75" s="505">
        <f>O75/L75</f>
        <v/>
      </c>
      <c r="S75" s="378">
        <f>(Q75-R75)/R75</f>
        <v/>
      </c>
      <c r="T75" s="502">
        <f>E75/N75</f>
        <v/>
      </c>
      <c r="U75" s="502">
        <f>F75/O75</f>
        <v/>
      </c>
      <c r="V75" s="375">
        <f>(T75-U75)/U75</f>
        <v/>
      </c>
      <c r="W75" s="502">
        <f>B75/N75</f>
        <v/>
      </c>
      <c r="X75" s="502">
        <f>C75/O75</f>
        <v/>
      </c>
      <c r="Y75" s="378">
        <f>(W75-X75)/X75</f>
        <v/>
      </c>
      <c r="Z75" s="506">
        <f>SUMIFS('Social - Remarketing'!$AN:$AN,'Social - Remarketing'!$A:$A,"P6")</f>
        <v/>
      </c>
      <c r="AA75" s="504">
        <f>SUMIFS('Social - Remarketing'!$AO:$AO,'Social - Remarketing'!$A:$A,"P6")</f>
        <v/>
      </c>
      <c r="AB75" s="378">
        <f>(Z75-AA75)/AA75</f>
        <v/>
      </c>
      <c r="AC75" s="506">
        <f>SUMIFS('Social - Remarketing'!$AR:$AR,'Social - Remarketing'!$A:$A,"P6")</f>
        <v/>
      </c>
      <c r="AD75" s="504">
        <f>SUMIFS('Social - Remarketing'!$AS:$AS,'Social - Remarketing'!$A:$A,"P6")</f>
        <v/>
      </c>
      <c r="AE75" s="378">
        <f>(AC75-AD75)/AD75</f>
        <v/>
      </c>
      <c r="AF75" s="505">
        <f>Z75/AC75</f>
        <v/>
      </c>
      <c r="AG75" s="505">
        <f>AA75/AD75</f>
        <v/>
      </c>
      <c r="AH75" s="378">
        <f>(AF75-AG75)/AG75</f>
        <v/>
      </c>
    </row>
    <row customFormat="1" customHeight="1" ht="21" r="76" s="367" spans="1:34">
      <c r="A76" s="367" t="s">
        <v>29</v>
      </c>
      <c r="B76" s="497">
        <f>SUM(B77:B78)</f>
        <v/>
      </c>
      <c r="C76" s="497">
        <f>SUM(C77:C78)</f>
        <v/>
      </c>
      <c r="D76" s="369">
        <f>(B76-C76)/C76</f>
        <v/>
      </c>
      <c r="E76" s="497">
        <f>SUM(E77:E78)</f>
        <v/>
      </c>
      <c r="F76" s="497">
        <f>SUM(F77:F78)</f>
        <v/>
      </c>
      <c r="G76" s="369">
        <f>(E76-F76)/F76</f>
        <v/>
      </c>
      <c r="H76" s="498">
        <f>B76/E76</f>
        <v/>
      </c>
      <c r="I76" s="498">
        <f>C76/F76</f>
        <v/>
      </c>
      <c r="J76" s="369">
        <f>(H76-I76)/I76</f>
        <v/>
      </c>
      <c r="K76" s="499">
        <f>SUM(K77:K78)</f>
        <v/>
      </c>
      <c r="L76" s="499">
        <f>SUM(L77:L78)</f>
        <v/>
      </c>
      <c r="M76" s="369">
        <f>(K76-L76)/L76</f>
        <v/>
      </c>
      <c r="N76" s="499">
        <f>SUM(N77:N78)</f>
        <v/>
      </c>
      <c r="O76" s="499">
        <f>SUM(O77:O78)</f>
        <v/>
      </c>
      <c r="P76" s="381">
        <f>(N76-O76)/O76</f>
        <v/>
      </c>
      <c r="Q76" s="507">
        <f>N76/K76</f>
        <v/>
      </c>
      <c r="R76" s="507">
        <f>O76/L76</f>
        <v/>
      </c>
      <c r="S76" s="381">
        <f>(Q76-R76)/R76</f>
        <v/>
      </c>
      <c r="T76" s="508">
        <f>E76/N76</f>
        <v/>
      </c>
      <c r="U76" s="508">
        <f>F76/O76</f>
        <v/>
      </c>
      <c r="V76" s="369">
        <f>(T76-U76)/U76</f>
        <v/>
      </c>
      <c r="W76" s="508">
        <f>B76/N76</f>
        <v/>
      </c>
      <c r="X76" s="508">
        <f>C76/O76</f>
        <v/>
      </c>
      <c r="Y76" s="381">
        <f>(W76-X76)/X76</f>
        <v/>
      </c>
      <c r="Z76" s="501">
        <f>SUM(Z77:Z78)</f>
        <v/>
      </c>
      <c r="AA76" s="499">
        <f>SUM(AA77:AA78)</f>
        <v/>
      </c>
      <c r="AB76" s="381">
        <f>(Z76-AA76)/AA76</f>
        <v/>
      </c>
      <c r="AC76" s="501">
        <f>SUM(AC77:AC78)</f>
        <v/>
      </c>
      <c r="AD76" s="499">
        <f>SUM(AD77:AD78)</f>
        <v/>
      </c>
      <c r="AE76" s="381">
        <f>(AC76-AD76)/AD76</f>
        <v/>
      </c>
      <c r="AF76" s="507">
        <f>Z76/AC76</f>
        <v/>
      </c>
      <c r="AG76" s="507">
        <f>AA76/AD76</f>
        <v/>
      </c>
      <c r="AH76" s="381">
        <f>(AF76-AG76)/AG76</f>
        <v/>
      </c>
    </row>
    <row outlineLevel="1" r="77" s="452" spans="1:34">
      <c r="A77" s="373" t="s">
        <v>38</v>
      </c>
      <c r="B77" s="502">
        <f>SUMIFS('Display - Promos'!$E:$E,'Display - Promos'!$A:$A,"P6")</f>
        <v/>
      </c>
      <c r="C77" s="502">
        <f>SUMIFS('Display - Promos'!$F:$F,'Display - Promos'!$A:$A,"P6")</f>
        <v/>
      </c>
      <c r="D77" s="375">
        <f>(B77-C77)/C77</f>
        <v/>
      </c>
      <c r="E77" s="502">
        <f>SUMIFS('Display - Promos'!$H:$H,'Display - Promos'!$A:$A,"p6")</f>
        <v/>
      </c>
      <c r="F77" s="502">
        <f>SUMIFS('Display - Promos'!$I:$I,'Display - Promos'!$A:$A,"p6")</f>
        <v/>
      </c>
      <c r="G77" s="375">
        <f>(E77-F77)/F77</f>
        <v/>
      </c>
      <c r="H77" s="484">
        <f>B77/E77</f>
        <v/>
      </c>
      <c r="I77" s="484">
        <f>C77/F77</f>
        <v/>
      </c>
      <c r="J77" s="369">
        <f>(H77-I77)/I77</f>
        <v/>
      </c>
      <c r="K77" s="504">
        <f>SUMIFS('Display - Promos'!$N:$N,'Display - Promos'!$A:$A,"p6")</f>
        <v/>
      </c>
      <c r="L77" s="504">
        <f>SUMIFS('Display - Promos'!$O:$O,'Display - Promos'!$A:$A,"p6")</f>
        <v/>
      </c>
      <c r="M77" s="375">
        <f>(K77-L77)/L77</f>
        <v/>
      </c>
      <c r="N77" s="504">
        <f>SUMIFS('Display - Promos'!$Q:$Q,'Display - Promos'!$A:$A,"p6")</f>
        <v/>
      </c>
      <c r="O77" s="504">
        <f>SUMIFS('Display - Promos'!$R:$R,'Display - Promos'!$A:$A,"p6")</f>
        <v/>
      </c>
      <c r="P77" s="378">
        <f>(N77-O77)/O77</f>
        <v/>
      </c>
      <c r="Q77" s="505">
        <f>N77/K77</f>
        <v/>
      </c>
      <c r="R77" s="505">
        <f>O77/L77</f>
        <v/>
      </c>
      <c r="S77" s="378">
        <f>(Q77-R77)/R77</f>
        <v/>
      </c>
      <c r="T77" s="502">
        <f>E77/N77</f>
        <v/>
      </c>
      <c r="U77" s="502">
        <f>F77/O77</f>
        <v/>
      </c>
      <c r="V77" s="375">
        <f>(T77-U77)/U77</f>
        <v/>
      </c>
      <c r="W77" s="502">
        <f>B77/N77</f>
        <v/>
      </c>
      <c r="X77" s="502">
        <f>C77/O77</f>
        <v/>
      </c>
      <c r="Y77" s="378">
        <f>(W77-X77)/X77</f>
        <v/>
      </c>
      <c r="Z77" s="506">
        <f>SUMIFS('Display - Promos'!$W:$W,'Display - Promos'!$A:$A,"p6")</f>
        <v/>
      </c>
      <c r="AA77" s="504">
        <f>SUMIFS('Display - Promos'!$X:$X,'Display - Promos'!$A:$A,"p6")</f>
        <v/>
      </c>
      <c r="AB77" s="378">
        <f>(Z77-AA77)/AA77</f>
        <v/>
      </c>
      <c r="AC77" s="506">
        <f>SUMIFS('Display - Promos'!$Z:$Z,'Display - Promos'!$A:$A,"p6")</f>
        <v/>
      </c>
      <c r="AD77" s="504">
        <f>SUMIFS('Display - Promos'!$AA:$AA,'Display - Promos'!$A:$A,"p6")</f>
        <v/>
      </c>
      <c r="AE77" s="378">
        <f>(AC77-AD77)/AD77</f>
        <v/>
      </c>
      <c r="AF77" s="505">
        <f>Z77/AC77</f>
        <v/>
      </c>
      <c r="AG77" s="505">
        <f>AA77/AD77</f>
        <v/>
      </c>
      <c r="AH77" s="378">
        <f>(AF77-AG77)/AG77</f>
        <v/>
      </c>
    </row>
    <row customHeight="1" ht="19.5" outlineLevel="1" r="78" s="452" spans="1:34" thickBot="1">
      <c r="A78" s="373" t="s">
        <v>39</v>
      </c>
      <c r="B78" s="502">
        <f>SUMIFS('Display - Remarketing'!$D:$D,'Display - Remarketing'!$A:$A,"P6")</f>
        <v/>
      </c>
      <c r="C78" s="502">
        <f>SUMIFS('Display - Remarketing'!$E:$E,'Display - Remarketing'!$A:$A,"P6")</f>
        <v/>
      </c>
      <c r="D78" s="369">
        <f>(B78-C78)/C78</f>
        <v/>
      </c>
      <c r="E78" s="502">
        <f>SUMIFS('Display - Remarketing'!$H:$H,'Display - Remarketing'!$A:$A,"P6")</f>
        <v/>
      </c>
      <c r="F78" s="502">
        <f>SUMIFS('Display - Remarketing'!$I:$I,'Display - Remarketing'!$A:$A,"P6")</f>
        <v/>
      </c>
      <c r="G78" s="369">
        <f>(E78-F78)/F78</f>
        <v/>
      </c>
      <c r="H78" s="484">
        <f>B78/E78</f>
        <v/>
      </c>
      <c r="I78" s="484">
        <f>C78/F78</f>
        <v/>
      </c>
      <c r="J78" s="369">
        <f>(H78-I78)/I78</f>
        <v/>
      </c>
      <c r="K78" s="504">
        <f>SUMIFS('Display - Remarketing'!$P:$P,'Display - Remarketing'!$A:$A,"P6")</f>
        <v/>
      </c>
      <c r="L78" s="504">
        <f>SUMIFS('Display - Remarketing'!$Q:$Q,'Display - Remarketing'!$A:$A,"P6")</f>
        <v/>
      </c>
      <c r="M78" s="375">
        <f>(K78-L78)/L78</f>
        <v/>
      </c>
      <c r="N78" s="504">
        <f>SUMIFS('Display - Remarketing'!$T:$T,'Display - Remarketing'!$A:$A,"P6")</f>
        <v/>
      </c>
      <c r="O78" s="504">
        <f>SUMIFS('Display - Remarketing'!$U:$U,'Display - Remarketing'!$A:$A,"P6")</f>
        <v/>
      </c>
      <c r="P78" s="378">
        <f>(N78-O78)/O78</f>
        <v/>
      </c>
      <c r="Q78" s="505">
        <f>N78/K78</f>
        <v/>
      </c>
      <c r="R78" s="505">
        <f>O78/L78</f>
        <v/>
      </c>
      <c r="S78" s="378">
        <f>(Q78-R78)/R78</f>
        <v/>
      </c>
      <c r="T78" s="502">
        <f>E78/N78</f>
        <v/>
      </c>
      <c r="U78" s="502">
        <f>F78/O78</f>
        <v/>
      </c>
      <c r="V78" s="375">
        <f>(T78-U78)/U78</f>
        <v/>
      </c>
      <c r="W78" s="502">
        <f>B78/N78</f>
        <v/>
      </c>
      <c r="X78" s="502">
        <f>C78/O78</f>
        <v/>
      </c>
      <c r="Y78" s="378">
        <f>(W78-X78)/X78</f>
        <v/>
      </c>
      <c r="Z78" s="506">
        <f>SUMIFS('Display - Remarketing'!$AB:$AB,'Display - Remarketing'!$A:$A,"p6")</f>
        <v/>
      </c>
      <c r="AA78" s="504">
        <f>SUMIFS('Display - Remarketing'!$AC:$AC,'Display - Remarketing'!$A:$A,"P6")</f>
        <v/>
      </c>
      <c r="AB78" s="378">
        <f>(Z78-AA78)/AA78</f>
        <v/>
      </c>
      <c r="AC78" s="506">
        <f>SUMIFS('Display - Remarketing'!$AF:$AF,'Display - Remarketing'!$A:$A,"P6")</f>
        <v/>
      </c>
      <c r="AD78" s="504">
        <f>SUMIFS('Display - Remarketing'!$AG:$AG,'Display - Remarketing'!$A:$A,"P6")</f>
        <v/>
      </c>
      <c r="AE78" s="378">
        <f>(AC78-AD78)/AD78</f>
        <v/>
      </c>
      <c r="AF78" s="505">
        <f>Z78/AC78</f>
        <v/>
      </c>
      <c r="AG78" s="505">
        <f>AA78/AD78</f>
        <v/>
      </c>
      <c r="AH78" s="378">
        <f>(AF78-AG78)/AG78</f>
        <v/>
      </c>
    </row>
    <row customFormat="1" customHeight="1" ht="22.5" r="79" s="395" spans="1:34" thickBot="1" thickTop="1">
      <c r="A79" s="387" t="s">
        <v>40</v>
      </c>
      <c r="B79" s="511">
        <f>B68+B72+B73+B76</f>
        <v/>
      </c>
      <c r="C79" s="511">
        <f>C68+C72+C73+C76</f>
        <v/>
      </c>
      <c r="D79" s="389">
        <f>(B79-C79)/C79</f>
        <v/>
      </c>
      <c r="E79" s="511">
        <f>E68+E72+E73+E76</f>
        <v/>
      </c>
      <c r="F79" s="511">
        <f>F68+F72+F73+F76</f>
        <v/>
      </c>
      <c r="G79" s="390">
        <f>(E79-F79)/F79</f>
        <v/>
      </c>
      <c r="H79" s="512">
        <f>B79/E79</f>
        <v/>
      </c>
      <c r="I79" s="512">
        <f>C79/F79</f>
        <v/>
      </c>
      <c r="J79" s="390">
        <f>(H79-I79)/I79</f>
        <v/>
      </c>
      <c r="K79" s="513">
        <f>K68+K72+K73+K76</f>
        <v/>
      </c>
      <c r="L79" s="513">
        <f>L68+L72+L73+L76</f>
        <v/>
      </c>
      <c r="M79" s="390">
        <f>(K79-L79)/L79</f>
        <v/>
      </c>
      <c r="N79" s="513">
        <f>N68+N72+N73+N76</f>
        <v/>
      </c>
      <c r="O79" s="513">
        <f>O68+O72+O73+O76</f>
        <v/>
      </c>
      <c r="P79" s="389">
        <f>(N79-O79)/O79</f>
        <v/>
      </c>
      <c r="Q79" s="514">
        <f>N79/K79</f>
        <v/>
      </c>
      <c r="R79" s="514">
        <f>O79/L79</f>
        <v/>
      </c>
      <c r="S79" s="389">
        <f>(Q79-R79)/R79</f>
        <v/>
      </c>
      <c r="T79" s="511">
        <f>E79/N79</f>
        <v/>
      </c>
      <c r="U79" s="511">
        <f>F79/O79</f>
        <v/>
      </c>
      <c r="V79" s="390">
        <f>(T79-U79)/U79</f>
        <v/>
      </c>
      <c r="W79" s="511">
        <f>B79/N79</f>
        <v/>
      </c>
      <c r="X79" s="511">
        <f>C79/O79</f>
        <v/>
      </c>
      <c r="Y79" s="389">
        <f>(W79-X79)/X79</f>
        <v/>
      </c>
      <c r="Z79" s="515">
        <f>Z68+Z72+Z73+Z76</f>
        <v/>
      </c>
      <c r="AA79" s="516">
        <f>AA68+AA72+AA73+AA76</f>
        <v/>
      </c>
      <c r="AB79" s="389">
        <f>(Z79-AA79)/AA79</f>
        <v/>
      </c>
      <c r="AC79" s="515">
        <f>AC68+AC72+AC73+AC76</f>
        <v/>
      </c>
      <c r="AD79" s="513">
        <f>AD68+AD72+AD73+AD76</f>
        <v/>
      </c>
      <c r="AE79" s="389">
        <f>(AC79-AD79)/AD79</f>
        <v/>
      </c>
      <c r="AF79" s="514">
        <f>Z79/AC79</f>
        <v/>
      </c>
      <c r="AG79" s="514">
        <f>AA79/AD79</f>
        <v/>
      </c>
      <c r="AH79" s="389">
        <f>(AF79-AG79)/AG79</f>
        <v/>
      </c>
    </row>
    <row r="80" spans="1:34">
      <c r="A80" s="359" t="s">
        <v>46</v>
      </c>
      <c r="B80" s="488" t="s">
        <v>1</v>
      </c>
      <c r="C80" s="488" t="s">
        <v>2</v>
      </c>
      <c r="D80" s="489" t="s">
        <v>3</v>
      </c>
      <c r="E80" s="488" t="s">
        <v>4</v>
      </c>
      <c r="F80" s="488" t="s">
        <v>5</v>
      </c>
      <c r="G80" s="489" t="s">
        <v>3</v>
      </c>
      <c r="H80" s="490" t="s">
        <v>6</v>
      </c>
      <c r="I80" s="490" t="s">
        <v>7</v>
      </c>
      <c r="J80" s="489" t="s">
        <v>3</v>
      </c>
      <c r="K80" s="490" t="s">
        <v>8</v>
      </c>
      <c r="L80" s="491" t="s">
        <v>9</v>
      </c>
      <c r="M80" s="489" t="s">
        <v>3</v>
      </c>
      <c r="N80" s="491" t="s">
        <v>10</v>
      </c>
      <c r="O80" s="491" t="s">
        <v>11</v>
      </c>
      <c r="P80" s="489" t="s">
        <v>3</v>
      </c>
      <c r="Q80" s="491" t="s">
        <v>12</v>
      </c>
      <c r="R80" s="491" t="s">
        <v>13</v>
      </c>
      <c r="S80" s="489" t="s">
        <v>3</v>
      </c>
      <c r="T80" s="492" t="s">
        <v>14</v>
      </c>
      <c r="U80" s="492" t="s">
        <v>15</v>
      </c>
      <c r="V80" s="489" t="s">
        <v>3</v>
      </c>
      <c r="W80" s="492" t="s">
        <v>16</v>
      </c>
      <c r="X80" s="492" t="s">
        <v>17</v>
      </c>
      <c r="Y80" s="489" t="s">
        <v>3</v>
      </c>
      <c r="Z80" s="493" t="s">
        <v>18</v>
      </c>
      <c r="AA80" s="491" t="s">
        <v>19</v>
      </c>
      <c r="AB80" s="489" t="s">
        <v>3</v>
      </c>
      <c r="AC80" s="494" t="s">
        <v>33</v>
      </c>
      <c r="AD80" s="495" t="s">
        <v>34</v>
      </c>
      <c r="AE80" s="489" t="s">
        <v>3</v>
      </c>
      <c r="AF80" s="496" t="s">
        <v>22</v>
      </c>
      <c r="AG80" s="496" t="s">
        <v>23</v>
      </c>
      <c r="AH80" s="489" t="s">
        <v>3</v>
      </c>
    </row>
    <row customFormat="1" customHeight="1" ht="20.1" r="81" s="367" spans="1:34">
      <c r="A81" s="367" t="s">
        <v>24</v>
      </c>
      <c r="B81" s="497">
        <f>SUM(B82:B84)</f>
        <v/>
      </c>
      <c r="C81" s="497">
        <f>SUM(C82:C84)</f>
        <v/>
      </c>
      <c r="D81" s="369">
        <f>(B81-C81)/C81</f>
        <v/>
      </c>
      <c r="E81" s="497">
        <f>SUM(E82:E84)</f>
        <v/>
      </c>
      <c r="F81" s="497">
        <f>SUM(F82:F84)</f>
        <v/>
      </c>
      <c r="G81" s="369">
        <f>(E81-F81)/F81</f>
        <v/>
      </c>
      <c r="H81" s="498">
        <f>B81/E81</f>
        <v/>
      </c>
      <c r="I81" s="498">
        <f>C81/F81</f>
        <v/>
      </c>
      <c r="J81" s="369">
        <f>(H81-I81)/I81</f>
        <v/>
      </c>
      <c r="K81" s="499">
        <f>SUM(K82:K84)</f>
        <v/>
      </c>
      <c r="L81" s="499">
        <f>SUM(L82:L84)</f>
        <v/>
      </c>
      <c r="M81" s="369">
        <f>(K81-L81)/L81</f>
        <v/>
      </c>
      <c r="N81" s="499">
        <f>SUM(N82:N84)</f>
        <v/>
      </c>
      <c r="O81" s="499">
        <f>SUM(O82:O84)</f>
        <v/>
      </c>
      <c r="P81" s="369">
        <f>(N81-O81)/O81</f>
        <v/>
      </c>
      <c r="Q81" s="500">
        <f>N81/K81</f>
        <v/>
      </c>
      <c r="R81" s="500">
        <f>O81/L81</f>
        <v/>
      </c>
      <c r="S81" s="369">
        <f>(Q81-R81)/R81</f>
        <v/>
      </c>
      <c r="T81" s="497">
        <f>E81/N81</f>
        <v/>
      </c>
      <c r="U81" s="497">
        <f>F81/O81</f>
        <v/>
      </c>
      <c r="V81" s="369">
        <f>(T81-U81)/U81</f>
        <v/>
      </c>
      <c r="W81" s="497">
        <f>B81/N81</f>
        <v/>
      </c>
      <c r="X81" s="497">
        <f>C81/O81</f>
        <v/>
      </c>
      <c r="Y81" s="369">
        <f>(W81-X81)/X81</f>
        <v/>
      </c>
      <c r="Z81" s="501">
        <f>SUM(Z82:Z84)</f>
        <v/>
      </c>
      <c r="AA81" s="499">
        <f>SUM(AA82:AA84)</f>
        <v/>
      </c>
      <c r="AB81" s="369">
        <f>(Z81-AA81)/AA81</f>
        <v/>
      </c>
      <c r="AC81" s="501">
        <f>SUM(AC82:AC84)</f>
        <v/>
      </c>
      <c r="AD81" s="499">
        <f>SUM(AD82:AD84)</f>
        <v/>
      </c>
      <c r="AE81" s="369">
        <f>(AC81-AD81)/AD81</f>
        <v/>
      </c>
      <c r="AF81" s="500">
        <f>Z81/AC81</f>
        <v/>
      </c>
      <c r="AG81" s="500">
        <f>AA81/AD81</f>
        <v/>
      </c>
      <c r="AH81" s="369">
        <f>(AF81-AG81)/AG81</f>
        <v/>
      </c>
    </row>
    <row outlineLevel="1" r="82" s="452" spans="1:34">
      <c r="A82" s="373" t="s">
        <v>35</v>
      </c>
      <c r="B82" s="502">
        <f>SUMIFS(Search!$E:$E,Search!$A:$A,"P7",Search!$D:$D,"Brand")</f>
        <v/>
      </c>
      <c r="C82" s="502">
        <f>SUMIFS(Search!$F:$F,Search!$A:$A,"P7",Search!$D:$D,"Brand")</f>
        <v/>
      </c>
      <c r="D82" s="369">
        <f>(B82-C82)/C82</f>
        <v/>
      </c>
      <c r="E82" s="502">
        <f>SUMIFS(Search!$I:$I,Search!$A:$A,"P7",Search!$D:$D,"Brand")</f>
        <v/>
      </c>
      <c r="F82" s="502">
        <f>SUMIFS(Search!$J:$J,Search!$A:$A,"P7",Search!$D:$D,"Brand")</f>
        <v/>
      </c>
      <c r="G82" s="375">
        <f>(E82-F82)/F82</f>
        <v/>
      </c>
      <c r="H82" s="503">
        <f>B82/E82</f>
        <v/>
      </c>
      <c r="I82" s="503">
        <f>C82/F82</f>
        <v/>
      </c>
      <c r="J82" s="375">
        <f>(H82-I82)/I82</f>
        <v/>
      </c>
      <c r="K82" s="504">
        <f>SUMIFS(Search!$Q:$Q,Search!$A:$A,"P7",Search!$D:$D,"Brand")</f>
        <v/>
      </c>
      <c r="L82" s="504">
        <f>SUMIFS(Search!$R:$R,Search!$A:$A,"P7",Search!$D:$D,"Brand")</f>
        <v/>
      </c>
      <c r="M82" s="375">
        <f>(K82-L82)/L82</f>
        <v/>
      </c>
      <c r="N82" s="504">
        <f>SUMIFS(Search!$U:$U,Search!$A:$A,"P7",Search!$D:$D,"Brand")</f>
        <v/>
      </c>
      <c r="O82" s="504">
        <f>SUMIFS(Search!$V:$V,Search!$A:$A,"P7",Search!$D:$D,"Brand")</f>
        <v/>
      </c>
      <c r="P82" s="378">
        <f>(N82-O82)/O82</f>
        <v/>
      </c>
      <c r="Q82" s="505">
        <f>N82/K82</f>
        <v/>
      </c>
      <c r="R82" s="505">
        <f>O82/L82</f>
        <v/>
      </c>
      <c r="S82" s="378">
        <f>(Q82-R82)/R82</f>
        <v/>
      </c>
      <c r="T82" s="502">
        <f>E82/N82</f>
        <v/>
      </c>
      <c r="U82" s="502">
        <f>F82/O82</f>
        <v/>
      </c>
      <c r="V82" s="375">
        <f>(T82-U82)/U82</f>
        <v/>
      </c>
      <c r="W82" s="502">
        <f>B82/N82</f>
        <v/>
      </c>
      <c r="X82" s="502">
        <f>C82/O82</f>
        <v/>
      </c>
      <c r="Y82" s="378">
        <f>(W82-X82)/X82</f>
        <v/>
      </c>
      <c r="Z82" s="506">
        <f>SUMIFS(Search!$AG:$AG,Search!$A:$A,"P7",Search!$D:$D,"Brand")</f>
        <v/>
      </c>
      <c r="AA82" s="504">
        <f>SUMIFS(Search!$AH:$AH,Search!$A:$A,"P7",Search!$D:$D,"Brand")</f>
        <v/>
      </c>
      <c r="AB82" s="378">
        <f>(Z82-AA82)/AA82</f>
        <v/>
      </c>
      <c r="AC82" s="506">
        <f>SUMIFS(Search!$AK:$AK,Search!$A:$A,"P7",Search!$D:$D,"Brand")</f>
        <v/>
      </c>
      <c r="AD82" s="504">
        <f>SUMIFS(Search!$AL:$AL,Search!$A:$A,"P7",Search!$D:$D,"Brand")</f>
        <v/>
      </c>
      <c r="AE82" s="378">
        <f>(AC82-AD82)/AD82</f>
        <v/>
      </c>
      <c r="AF82" s="505">
        <f>Z82/AC82</f>
        <v/>
      </c>
      <c r="AG82" s="505">
        <f>AA82/AD82</f>
        <v/>
      </c>
      <c r="AH82" s="378">
        <f>(AF82-AG82)/AG82</f>
        <v/>
      </c>
    </row>
    <row outlineLevel="1" r="83" s="452" spans="1:34">
      <c r="A83" s="373" t="s">
        <v>36</v>
      </c>
      <c r="B83" s="502">
        <f>SUMIFS(Search!$E:$E,Search!$A:$A,"P7",Search!$D:$D,"Non-Brand")</f>
        <v/>
      </c>
      <c r="C83" s="502">
        <f>SUMIFS(Search!$F:$F,Search!$A:$A,"P7",Search!$D:$D,"Non-Brand")</f>
        <v/>
      </c>
      <c r="D83" s="369">
        <f>(B83-C83)/C83</f>
        <v/>
      </c>
      <c r="E83" s="502">
        <f>SUMIFS(Search!$I:$I,Search!$A:$A,"P7",Search!$D:$D,"Non-Brand")</f>
        <v/>
      </c>
      <c r="F83" s="502">
        <f>SUMIFS(Search!$J:$J,Search!$A:$A,"P7",Search!$D:$D,"Non-Brand")</f>
        <v/>
      </c>
      <c r="G83" s="375">
        <f>(E83-F83)/F83</f>
        <v/>
      </c>
      <c r="H83" s="503">
        <f>B83/E83</f>
        <v/>
      </c>
      <c r="I83" s="503">
        <f>C83/F83</f>
        <v/>
      </c>
      <c r="J83" s="375">
        <f>(H83-I83)/I83</f>
        <v/>
      </c>
      <c r="K83" s="504">
        <f>SUMIFS(Search!$Q:$Q,Search!$A:$A,"P7",Search!$D:$D,"Non-Brand")</f>
        <v/>
      </c>
      <c r="L83" s="504">
        <f>SUMIFS(Search!$R:$R,Search!$A:$A,"P7",Search!$D:$D,"Non-Brand")</f>
        <v/>
      </c>
      <c r="M83" s="375">
        <f>(K83-L83)/L83</f>
        <v/>
      </c>
      <c r="N83" s="504">
        <f>SUMIFS(Search!$U:$U,Search!$A:$A,"P7",Search!$D:$D,"Non-Brand")</f>
        <v/>
      </c>
      <c r="O83" s="504">
        <f>SUMIFS(Search!$V:$V,Search!$A:$A,"P7",Search!$D:$D,"Non-Brand")</f>
        <v/>
      </c>
      <c r="P83" s="378">
        <f>(N83-O83)/O83</f>
        <v/>
      </c>
      <c r="Q83" s="505">
        <f>N83/K83</f>
        <v/>
      </c>
      <c r="R83" s="505">
        <f>O83/L83</f>
        <v/>
      </c>
      <c r="S83" s="378">
        <f>(Q83-R83)/R83</f>
        <v/>
      </c>
      <c r="T83" s="502">
        <f>E83/N83</f>
        <v/>
      </c>
      <c r="U83" s="502">
        <f>F83/O83</f>
        <v/>
      </c>
      <c r="V83" s="375">
        <f>(T83-U83)/U83</f>
        <v/>
      </c>
      <c r="W83" s="502">
        <f>B83/N83</f>
        <v/>
      </c>
      <c r="X83" s="502">
        <f>C83/O83</f>
        <v/>
      </c>
      <c r="Y83" s="378">
        <f>(W83-X83)/X83</f>
        <v/>
      </c>
      <c r="Z83" s="506">
        <f>SUMIFS(Search!$AG:$AG,Search!$A:$A,"P7",Search!$D:$D,"Non-Brand")</f>
        <v/>
      </c>
      <c r="AA83" s="504">
        <f>SUMIFS(Search!$AH:$AH,Search!$A:$A,"P7",Search!$D:$D,"Non-Brand")</f>
        <v/>
      </c>
      <c r="AB83" s="378">
        <f>(Z83-AA83)/AA83</f>
        <v/>
      </c>
      <c r="AC83" s="506">
        <f>SUMIFS(Search!$AK:$AK,Search!$A:$A,"P7",Search!$D:$D,"Non-Brand")</f>
        <v/>
      </c>
      <c r="AD83" s="504">
        <f>SUMIFS(Search!$AL:$AL,Search!$A:$A,"P7",Search!$D:$D,"Non-Brand")</f>
        <v/>
      </c>
      <c r="AE83" s="378">
        <f>(AC83-AD83)/AD83</f>
        <v/>
      </c>
      <c r="AF83" s="505">
        <f>Z83/AC83</f>
        <v/>
      </c>
      <c r="AG83" s="505">
        <f>AA83/AD83</f>
        <v/>
      </c>
      <c r="AH83" s="378">
        <f>(AF83-AG83)/AG83</f>
        <v/>
      </c>
    </row>
    <row outlineLevel="1" r="84" s="452" spans="1:34">
      <c r="A84" s="373" t="s">
        <v>37</v>
      </c>
      <c r="B84" s="502">
        <f>SUMIFS(Search!$E:$E,Search!$A:$A,"P7",Search!$D:$D,"Shopping Campaigns")</f>
        <v/>
      </c>
      <c r="C84" s="502">
        <f>SUMIFS(Search!$F:$F,Search!$A:$A,"P7",Search!$D:$D,"Shopping Campaigns")</f>
        <v/>
      </c>
      <c r="D84" s="369">
        <f>(B84-C84)/C84</f>
        <v/>
      </c>
      <c r="E84" s="502">
        <f>SUMIFS(Search!$I:$I,Search!$A:$A,"P7",Search!$D:$D,"Shopping Campaigns")</f>
        <v/>
      </c>
      <c r="F84" s="502">
        <f>SUMIFS(Search!$J:$J,Search!$A:$A,"P7",Search!$D:$D,"Shopping Campaigns")</f>
        <v/>
      </c>
      <c r="G84" s="375">
        <f>(E84-F84)/F84</f>
        <v/>
      </c>
      <c r="H84" s="503">
        <f>B84/E84</f>
        <v/>
      </c>
      <c r="I84" s="503">
        <f>C84/F84</f>
        <v/>
      </c>
      <c r="J84" s="375">
        <f>(H84-I84)/I84</f>
        <v/>
      </c>
      <c r="K84" s="504">
        <f>SUMIFS(Search!$Q:$Q,Search!$A:$A,"P7",Search!$D:$D,"Shopping Campaigns")</f>
        <v/>
      </c>
      <c r="L84" s="504">
        <f>SUMIFS(Search!$R:$R,Search!$A:$A,"P7",Search!$D:$D,"Shopping Campaigns")</f>
        <v/>
      </c>
      <c r="M84" s="375">
        <f>(K84-L84)/L84</f>
        <v/>
      </c>
      <c r="N84" s="504">
        <f>SUMIFS(Search!$U:$U,Search!$A:$A,"P7",Search!$D:$D,"Shopping Campaigns")</f>
        <v/>
      </c>
      <c r="O84" s="504">
        <f>SUMIFS(Search!$V:$V,Search!$A:$A,"P7",Search!$D:$D,"Shopping Campaigns")</f>
        <v/>
      </c>
      <c r="P84" s="378">
        <f>(N84-O84)/O84</f>
        <v/>
      </c>
      <c r="Q84" s="505">
        <f>N84/K84</f>
        <v/>
      </c>
      <c r="R84" s="505">
        <f>O84/L84</f>
        <v/>
      </c>
      <c r="S84" s="378">
        <f>(Q84-R84)/R84</f>
        <v/>
      </c>
      <c r="T84" s="502">
        <f>E84/N84</f>
        <v/>
      </c>
      <c r="U84" s="502">
        <f>F84/O84</f>
        <v/>
      </c>
      <c r="V84" s="375">
        <f>(T84-U84)/U84</f>
        <v/>
      </c>
      <c r="W84" s="502">
        <f>B84/N84</f>
        <v/>
      </c>
      <c r="X84" s="502">
        <f>C84/O84</f>
        <v/>
      </c>
      <c r="Y84" s="378">
        <f>(W84-X84)/X84</f>
        <v/>
      </c>
      <c r="Z84" s="506">
        <f>SUMIFS(Search!$AG:$AG,Search!$A:$A,"P7",Search!$D:$D,"Shopping Campaigns")</f>
        <v/>
      </c>
      <c r="AA84" s="504">
        <f>SUMIFS(Search!$AH:$AH,Search!$A:$A,"P7",Search!$D:$D,"Shopping Campaigns")</f>
        <v/>
      </c>
      <c r="AB84" s="378">
        <f>(Z84-AA84)/AA84</f>
        <v/>
      </c>
      <c r="AC84" s="506">
        <f>SUMIFS(Search!$AK:$AK,Search!$A:$A,"P7",Search!$D:$D,"Shopping Campaigns")</f>
        <v/>
      </c>
      <c r="AD84" s="504">
        <f>SUMIFS(Search!$AL:$AL,Search!$A:$A,"P7",Search!$D:$D,"Shopping Campaigns")</f>
        <v/>
      </c>
      <c r="AE84" s="378">
        <f>(AC84-AD84)/AD84</f>
        <v/>
      </c>
      <c r="AF84" s="505">
        <f>Z84/AC84</f>
        <v/>
      </c>
      <c r="AG84" s="505">
        <f>AA84/AD84</f>
        <v/>
      </c>
      <c r="AH84" s="378">
        <f>(AF84-AG84)/AG84</f>
        <v/>
      </c>
    </row>
    <row customFormat="1" customHeight="1" ht="21" r="85" s="367" spans="1:34">
      <c r="A85" s="380" t="s">
        <v>27</v>
      </c>
      <c r="B85" s="497">
        <f>SUMIFS(Affiliate!D:D,Affiliate!$A:$A,"P7")</f>
        <v/>
      </c>
      <c r="C85" s="497">
        <f>SUMIFS(Affiliate!E:E,Affiliate!$A:$A,"P7")</f>
        <v/>
      </c>
      <c r="D85" s="369">
        <f>(B85-C85)/C85</f>
        <v/>
      </c>
      <c r="E85" s="497">
        <f>SUMIFS(Affiliate!H:H,Affiliate!$A:$A,"P7")</f>
        <v/>
      </c>
      <c r="F85" s="497">
        <f>SUMIFS(Affiliate!I:I,Affiliate!$A:$A,"P7")</f>
        <v/>
      </c>
      <c r="G85" s="369">
        <f>(E85-F85)/F85</f>
        <v/>
      </c>
      <c r="H85" s="498">
        <f>B85/E85</f>
        <v/>
      </c>
      <c r="I85" s="498">
        <f>C85/F85</f>
        <v/>
      </c>
      <c r="J85" s="369">
        <f>(H85-I85)/I85</f>
        <v/>
      </c>
      <c r="K85" s="499">
        <f>SUMIFS(Affiliate!$AF:$AF,Affiliate!$A:$A,"P7")</f>
        <v/>
      </c>
      <c r="L85" s="499">
        <f>SUMIFS(Affiliate!$AG:$AG,Affiliate!$A:$A,"P7")</f>
        <v/>
      </c>
      <c r="M85" s="369">
        <f>(K85-L85)/L85</f>
        <v/>
      </c>
      <c r="N85" s="499">
        <f>SUMIFS(Affiliate!$AJ:$AJ,Affiliate!$A:$A,"P7")</f>
        <v/>
      </c>
      <c r="O85" s="499">
        <f>SUMIFS(Affiliate!$AK:$AK,Affiliate!$A:$A,"P7")</f>
        <v/>
      </c>
      <c r="P85" s="381">
        <f>(N85-O85)/O85</f>
        <v/>
      </c>
      <c r="Q85" s="507">
        <f>N85/K85</f>
        <v/>
      </c>
      <c r="R85" s="507">
        <f>O85/L85</f>
        <v/>
      </c>
      <c r="S85" s="381">
        <f>(Q85-R85)/R85</f>
        <v/>
      </c>
      <c r="T85" s="508">
        <f>E85/N85</f>
        <v/>
      </c>
      <c r="U85" s="508">
        <f>F85/O85</f>
        <v/>
      </c>
      <c r="V85" s="369">
        <f>(T85-U85)/U85</f>
        <v/>
      </c>
      <c r="W85" s="508">
        <f>B85/N85</f>
        <v/>
      </c>
      <c r="X85" s="508">
        <f>C85/O85</f>
        <v/>
      </c>
      <c r="Y85" s="381">
        <f>(W85-X85)/X85</f>
        <v/>
      </c>
      <c r="Z85" s="509" t="n"/>
      <c r="AA85" s="384" t="n"/>
      <c r="AB85" s="381">
        <f>(Z85-AA85)/AA85</f>
        <v/>
      </c>
      <c r="AC85" s="509" t="n"/>
      <c r="AD85" s="384" t="n"/>
      <c r="AE85" s="381">
        <f>(AC85-AD85)/AD85</f>
        <v/>
      </c>
      <c r="AF85" s="510" t="n"/>
      <c r="AG85" s="510" t="n"/>
      <c r="AH85" s="381">
        <f>(AF85-AG85)/AG85</f>
        <v/>
      </c>
    </row>
    <row customFormat="1" customHeight="1" ht="20.1" r="86" s="367" spans="1:34">
      <c r="A86" s="367" t="s">
        <v>28</v>
      </c>
      <c r="B86" s="497">
        <f>SUM(B87:B88)</f>
        <v/>
      </c>
      <c r="C86" s="497">
        <f>SUM(C87:C88)</f>
        <v/>
      </c>
      <c r="D86" s="369">
        <f>(B86-C86)/C86</f>
        <v/>
      </c>
      <c r="E86" s="497">
        <f>SUM(E87:E88)</f>
        <v/>
      </c>
      <c r="F86" s="497">
        <f>SUM(F87:F88)</f>
        <v/>
      </c>
      <c r="G86" s="369">
        <f>(E86-F86)/F86</f>
        <v/>
      </c>
      <c r="H86" s="498">
        <f>B86/E86</f>
        <v/>
      </c>
      <c r="I86" s="498">
        <f>C86/F86</f>
        <v/>
      </c>
      <c r="J86" s="369">
        <f>(H86-I86)/I86</f>
        <v/>
      </c>
      <c r="K86" s="499">
        <f>SUM(K87:K88)</f>
        <v/>
      </c>
      <c r="L86" s="499">
        <f>SUM(L87:L88)</f>
        <v/>
      </c>
      <c r="M86" s="369">
        <f>(K86-L86)/L86</f>
        <v/>
      </c>
      <c r="N86" s="499">
        <f>SUM(N87:N88)</f>
        <v/>
      </c>
      <c r="O86" s="499">
        <f>SUM(O87:O88)</f>
        <v/>
      </c>
      <c r="P86" s="381">
        <f>(N86-O86)/O86</f>
        <v/>
      </c>
      <c r="Q86" s="507">
        <f>N86/K86</f>
        <v/>
      </c>
      <c r="R86" s="507">
        <f>O86/L86</f>
        <v/>
      </c>
      <c r="S86" s="381">
        <f>(Q86-R86)/R86</f>
        <v/>
      </c>
      <c r="T86" s="508">
        <f>E86/N86</f>
        <v/>
      </c>
      <c r="U86" s="508">
        <f>F86/O86</f>
        <v/>
      </c>
      <c r="V86" s="369">
        <f>(T86-U86)/U86</f>
        <v/>
      </c>
      <c r="W86" s="508">
        <f>B86/N86</f>
        <v/>
      </c>
      <c r="X86" s="508">
        <f>C86/O86</f>
        <v/>
      </c>
      <c r="Y86" s="381">
        <f>(W86-X86)/X86</f>
        <v/>
      </c>
      <c r="Z86" s="501">
        <f>SUM(Z87:Z88)</f>
        <v/>
      </c>
      <c r="AA86" s="499">
        <f>SUM(AA87:AA88)</f>
        <v/>
      </c>
      <c r="AB86" s="381">
        <f>(Z86-AA86)/AA86</f>
        <v/>
      </c>
      <c r="AC86" s="501">
        <f>SUM(AC87:AC88)</f>
        <v/>
      </c>
      <c r="AD86" s="499">
        <f>SUM(AD87:AD88)</f>
        <v/>
      </c>
      <c r="AE86" s="381">
        <f>(AC86-AD86)/AD86</f>
        <v/>
      </c>
      <c r="AF86" s="507">
        <f>Z86/AC86</f>
        <v/>
      </c>
      <c r="AG86" s="507">
        <f>AA86/AD86</f>
        <v/>
      </c>
      <c r="AH86" s="381">
        <f>(AF86-AG86)/AG86</f>
        <v/>
      </c>
    </row>
    <row outlineLevel="1" r="87" s="452" spans="1:34">
      <c r="A87" s="373" t="s">
        <v>38</v>
      </c>
      <c r="B87" s="502">
        <f>SUMIFS('Social - Promos'!$E:$E,'Social - Promos'!$A:$A,"p7")</f>
        <v/>
      </c>
      <c r="C87" s="502">
        <f>SUMIFS('Social - Promos'!$F:$F,'Social - Promos'!$A:$A,"p7")</f>
        <v/>
      </c>
      <c r="D87" s="369">
        <f>(B87-C87)/C87</f>
        <v/>
      </c>
      <c r="E87" s="502">
        <f>SUMIFS('Social - Promos'!$K:$K,'Social - Promos'!$A:$A,"P7")</f>
        <v/>
      </c>
      <c r="F87" s="502">
        <f>SUMIFS('Social - Promos'!$L:$L,'Social - Promos'!$A:$A,"p7")</f>
        <v/>
      </c>
      <c r="G87" s="375">
        <f>(E87-F87)/F87</f>
        <v/>
      </c>
      <c r="H87" s="484">
        <f>B87/E87</f>
        <v/>
      </c>
      <c r="I87" s="484">
        <f>C87/F87</f>
        <v/>
      </c>
      <c r="J87" s="375">
        <f>(H87-I87)/I87</f>
        <v/>
      </c>
      <c r="K87" s="504">
        <f>SUMIFS('Social - Promos'!$T:$T,'Social - Promos'!$A:$A,"p7")</f>
        <v/>
      </c>
      <c r="L87" s="504">
        <f>SUMIFS('Social - Promos'!$U:$U,'Social - Promos'!$A:$A,"p7")</f>
        <v/>
      </c>
      <c r="M87" s="375">
        <f>(K87-L87)/L87</f>
        <v/>
      </c>
      <c r="N87" s="504">
        <f>SUMIFS('Social - Promos'!$W:$W,'Social - Promos'!$A:$A,"p7")</f>
        <v/>
      </c>
      <c r="O87" s="504">
        <f>SUMIFS('Social - Promos'!$X:$X,'Social - Promos'!$A:$A,"p7")</f>
        <v/>
      </c>
      <c r="P87" s="378">
        <f>(N87-O87)/O87</f>
        <v/>
      </c>
      <c r="Q87" s="505">
        <f>N87/K87</f>
        <v/>
      </c>
      <c r="R87" s="505">
        <f>O87/L87</f>
        <v/>
      </c>
      <c r="S87" s="378">
        <f>(Q87-R87)/R87</f>
        <v/>
      </c>
      <c r="T87" s="502">
        <f>E87/N87</f>
        <v/>
      </c>
      <c r="U87" s="502">
        <f>F87/O87</f>
        <v/>
      </c>
      <c r="V87" s="375">
        <f>(T87-U87)/U87</f>
        <v/>
      </c>
      <c r="W87" s="502">
        <f>B87/N87</f>
        <v/>
      </c>
      <c r="X87" s="502">
        <f>C87/O87</f>
        <v/>
      </c>
      <c r="Y87" s="378">
        <f>(W87-X87)/X87</f>
        <v/>
      </c>
      <c r="Z87" s="506">
        <f>SUMIFS('Social - Promos'!$AF:$AF,'Social - Promos'!$A:$A,"p7")</f>
        <v/>
      </c>
      <c r="AA87" s="504">
        <f>SUMIFS('Social - Promos'!$AG:$AG,'Social - Promos'!$A:$A,"p7")</f>
        <v/>
      </c>
      <c r="AB87" s="378">
        <f>(Z87-AA87)/AA87</f>
        <v/>
      </c>
      <c r="AC87" s="506">
        <f>SUMIFS('Social - Promos'!$AI:$AI,'Social - Promos'!$A:$A,"p7")</f>
        <v/>
      </c>
      <c r="AD87" s="504">
        <f>SUMIFS('Social - Promos'!$AJ:$AJ,'Social - Promos'!$A:$A,"p7")</f>
        <v/>
      </c>
      <c r="AE87" s="378">
        <f>(AC87-AD87)/AD87</f>
        <v/>
      </c>
      <c r="AF87" s="505">
        <f>Z87/AC87</f>
        <v/>
      </c>
      <c r="AG87" s="505">
        <f>AA87/AD87</f>
        <v/>
      </c>
      <c r="AH87" s="378">
        <f>(AF87-AG87)/AG87</f>
        <v/>
      </c>
    </row>
    <row outlineLevel="1" r="88" s="452" spans="1:34">
      <c r="A88" s="373" t="s">
        <v>39</v>
      </c>
      <c r="B88" s="502">
        <f>SUMIFS('Social - Remarketing'!$D:$D,'Social - Remarketing'!$A:$A,"P7")</f>
        <v/>
      </c>
      <c r="C88" s="502">
        <f>SUMIFS('Social - Remarketing'!$E:$E,'Social - Remarketing'!$A:$A,"P7")</f>
        <v/>
      </c>
      <c r="D88" s="369">
        <f>(B88-C88)/C88</f>
        <v/>
      </c>
      <c r="E88" s="502">
        <f>SUMIFS('Social - Remarketing'!$H:$H,'Social - Remarketing'!$A:$A,"P7")</f>
        <v/>
      </c>
      <c r="F88" s="502">
        <f>SUMIFS('Social - Remarketing'!$I:$I,'Social - Remarketing'!$A:$A,"P7")</f>
        <v/>
      </c>
      <c r="G88" s="369">
        <f>(E88-F88)/F88</f>
        <v/>
      </c>
      <c r="H88" s="484">
        <f>B88/E88</f>
        <v/>
      </c>
      <c r="I88" s="484">
        <f>C88/F88</f>
        <v/>
      </c>
      <c r="J88" s="369">
        <f>(H88-I88)/I88</f>
        <v/>
      </c>
      <c r="K88" s="504">
        <f>SUMIFS('Social - Remarketing'!$X:$X,'Social - Remarketing'!$A:$A,"P7")</f>
        <v/>
      </c>
      <c r="L88" s="504">
        <f>SUMIFS('Social - Remarketing'!$Y:$Y,'Social - Remarketing'!$A:$A,"P7")</f>
        <v/>
      </c>
      <c r="M88" s="375">
        <f>(K88-L88)/L88</f>
        <v/>
      </c>
      <c r="N88" s="504">
        <f>SUMIFS('Social - Remarketing'!$AB:$AB,'Social - Remarketing'!$A:$A,"P7")</f>
        <v/>
      </c>
      <c r="O88" s="504">
        <f>SUMIFS('Social - Remarketing'!$AC:$AC,'Social - Remarketing'!$A:$A,"P7")</f>
        <v/>
      </c>
      <c r="P88" s="378">
        <f>(N88-O88)/O88</f>
        <v/>
      </c>
      <c r="Q88" s="505">
        <f>N88/K88</f>
        <v/>
      </c>
      <c r="R88" s="505">
        <f>O88/L88</f>
        <v/>
      </c>
      <c r="S88" s="378">
        <f>(Q88-R88)/R88</f>
        <v/>
      </c>
      <c r="T88" s="502">
        <f>E88/N88</f>
        <v/>
      </c>
      <c r="U88" s="502">
        <f>F88/O88</f>
        <v/>
      </c>
      <c r="V88" s="375">
        <f>(T88-U88)/U88</f>
        <v/>
      </c>
      <c r="W88" s="502">
        <f>B88/N88</f>
        <v/>
      </c>
      <c r="X88" s="502">
        <f>C88/O88</f>
        <v/>
      </c>
      <c r="Y88" s="378">
        <f>(W88-X88)/X88</f>
        <v/>
      </c>
      <c r="Z88" s="506">
        <f>SUMIFS('Social - Remarketing'!$AN:$AN,'Social - Remarketing'!$A:$A,"P7")</f>
        <v/>
      </c>
      <c r="AA88" s="504">
        <f>SUMIFS('Social - Remarketing'!$AO:$AO,'Social - Remarketing'!$A:$A,"P7")</f>
        <v/>
      </c>
      <c r="AB88" s="378">
        <f>(Z88-AA88)/AA88</f>
        <v/>
      </c>
      <c r="AC88" s="506">
        <f>SUMIFS('Social - Remarketing'!$AR:$AR,'Social - Remarketing'!$A:$A,"P7")</f>
        <v/>
      </c>
      <c r="AD88" s="504">
        <f>SUMIFS('Social - Remarketing'!$AS:$AS,'Social - Remarketing'!$A:$A,"P7")</f>
        <v/>
      </c>
      <c r="AE88" s="378">
        <f>(AC88-AD88)/AD88</f>
        <v/>
      </c>
      <c r="AF88" s="505">
        <f>Z88/AC88</f>
        <v/>
      </c>
      <c r="AG88" s="505">
        <f>AA88/AD88</f>
        <v/>
      </c>
      <c r="AH88" s="378">
        <f>(AF88-AG88)/AG88</f>
        <v/>
      </c>
    </row>
    <row customFormat="1" customHeight="1" ht="21" r="89" s="367" spans="1:34">
      <c r="A89" s="367" t="s">
        <v>29</v>
      </c>
      <c r="B89" s="497">
        <f>SUM(B90:B91)</f>
        <v/>
      </c>
      <c r="C89" s="497">
        <f>SUM(C90:C91)</f>
        <v/>
      </c>
      <c r="D89" s="369">
        <f>(B89-C89)/C89</f>
        <v/>
      </c>
      <c r="E89" s="497">
        <f>SUM(E90:E91)</f>
        <v/>
      </c>
      <c r="F89" s="497">
        <f>SUM(F90:F91)</f>
        <v/>
      </c>
      <c r="G89" s="369">
        <f>(E89-F89)/F89</f>
        <v/>
      </c>
      <c r="H89" s="498">
        <f>B89/E89</f>
        <v/>
      </c>
      <c r="I89" s="498">
        <f>C89/F89</f>
        <v/>
      </c>
      <c r="J89" s="369">
        <f>(H89-I89)/I89</f>
        <v/>
      </c>
      <c r="K89" s="499">
        <f>SUM(K90:K91)</f>
        <v/>
      </c>
      <c r="L89" s="499">
        <f>SUM(L90:L91)</f>
        <v/>
      </c>
      <c r="M89" s="369">
        <f>(K89-L89)/L89</f>
        <v/>
      </c>
      <c r="N89" s="499">
        <f>SUM(N90:N91)</f>
        <v/>
      </c>
      <c r="O89" s="499">
        <f>SUM(O90:O91)</f>
        <v/>
      </c>
      <c r="P89" s="381">
        <f>(N89-O89)/O89</f>
        <v/>
      </c>
      <c r="Q89" s="507">
        <f>N89/K89</f>
        <v/>
      </c>
      <c r="R89" s="507">
        <f>O89/L89</f>
        <v/>
      </c>
      <c r="S89" s="381">
        <f>(Q89-R89)/R89</f>
        <v/>
      </c>
      <c r="T89" s="508">
        <f>E89/N89</f>
        <v/>
      </c>
      <c r="U89" s="508">
        <f>F89/O89</f>
        <v/>
      </c>
      <c r="V89" s="369">
        <f>(T89-U89)/U89</f>
        <v/>
      </c>
      <c r="W89" s="508">
        <f>B89/N89</f>
        <v/>
      </c>
      <c r="X89" s="508">
        <f>C89/O89</f>
        <v/>
      </c>
      <c r="Y89" s="381">
        <f>(W89-X89)/X89</f>
        <v/>
      </c>
      <c r="Z89" s="501">
        <f>SUM(Z90:Z91)</f>
        <v/>
      </c>
      <c r="AA89" s="499">
        <f>SUM(AA90:AA91)</f>
        <v/>
      </c>
      <c r="AB89" s="381">
        <f>(Z89-AA89)/AA89</f>
        <v/>
      </c>
      <c r="AC89" s="501">
        <f>SUM(AC90:AC91)</f>
        <v/>
      </c>
      <c r="AD89" s="499">
        <f>SUM(AD90:AD91)</f>
        <v/>
      </c>
      <c r="AE89" s="381">
        <f>(AC89-AD89)/AD89</f>
        <v/>
      </c>
      <c r="AF89" s="507">
        <f>Z89/AC89</f>
        <v/>
      </c>
      <c r="AG89" s="507">
        <f>AA89/AD89</f>
        <v/>
      </c>
      <c r="AH89" s="381">
        <f>(AF89-AG89)/AG89</f>
        <v/>
      </c>
    </row>
    <row outlineLevel="1" r="90" s="452" spans="1:34">
      <c r="A90" s="373" t="s">
        <v>38</v>
      </c>
      <c r="B90" s="502">
        <f>SUMIFS('Display - Promos'!$E:$E,'Display - Promos'!$A:$A,"P7")</f>
        <v/>
      </c>
      <c r="C90" s="502">
        <f>SUMIFS('Display - Promos'!$F:$F,'Display - Promos'!$A:$A,"P7")</f>
        <v/>
      </c>
      <c r="D90" s="375">
        <f>(B90-C90)/C90</f>
        <v/>
      </c>
      <c r="E90" s="502">
        <f>SUMIFS('Display - Promos'!$H:$H,'Display - Promos'!$A:$A,"p7")</f>
        <v/>
      </c>
      <c r="F90" s="502">
        <f>SUMIFS('Display - Promos'!$I:$I,'Display - Promos'!$A:$A,"p7")</f>
        <v/>
      </c>
      <c r="G90" s="375">
        <f>(E90-F90)/F90</f>
        <v/>
      </c>
      <c r="H90" s="484">
        <f>B90/E90</f>
        <v/>
      </c>
      <c r="I90" s="484">
        <f>C90/F90</f>
        <v/>
      </c>
      <c r="J90" s="369">
        <f>(H90-I90)/I90</f>
        <v/>
      </c>
      <c r="K90" s="504">
        <f>SUMIFS('Display - Promos'!$N:$N,'Display - Promos'!$A:$A,"p7")</f>
        <v/>
      </c>
      <c r="L90" s="504">
        <f>SUMIFS('Display - Promos'!$O:$O,'Display - Promos'!$A:$A,"p7")</f>
        <v/>
      </c>
      <c r="M90" s="375">
        <f>(K90-L90)/L90</f>
        <v/>
      </c>
      <c r="N90" s="504">
        <f>SUMIFS('Display - Promos'!$Q:$Q,'Display - Promos'!$A:$A,"p7")</f>
        <v/>
      </c>
      <c r="O90" s="504">
        <f>SUMIFS('Display - Promos'!$R:$R,'Display - Promos'!$A:$A,"p7")</f>
        <v/>
      </c>
      <c r="P90" s="378">
        <f>(N90-O90)/O90</f>
        <v/>
      </c>
      <c r="Q90" s="505">
        <f>N90/K90</f>
        <v/>
      </c>
      <c r="R90" s="505">
        <f>O90/L90</f>
        <v/>
      </c>
      <c r="S90" s="378">
        <f>(Q90-R90)/R90</f>
        <v/>
      </c>
      <c r="T90" s="502">
        <f>E90/N90</f>
        <v/>
      </c>
      <c r="U90" s="502">
        <f>F90/O90</f>
        <v/>
      </c>
      <c r="V90" s="375">
        <f>(T90-U90)/U90</f>
        <v/>
      </c>
      <c r="W90" s="502">
        <f>B90/N90</f>
        <v/>
      </c>
      <c r="X90" s="502">
        <f>C90/O90</f>
        <v/>
      </c>
      <c r="Y90" s="378">
        <f>(W90-X90)/X90</f>
        <v/>
      </c>
      <c r="Z90" s="506">
        <f>SUMIFS('Display - Promos'!$W:$W,'Display - Promos'!$A:$A,"p7")</f>
        <v/>
      </c>
      <c r="AA90" s="504">
        <f>SUMIFS('Display - Promos'!$X:$X,'Display - Promos'!$A:$A,"p7")</f>
        <v/>
      </c>
      <c r="AB90" s="378">
        <f>(Z90-AA90)/AA90</f>
        <v/>
      </c>
      <c r="AC90" s="506">
        <f>SUMIFS('Display - Promos'!$Z:$Z,'Display - Promos'!$A:$A,"p7")</f>
        <v/>
      </c>
      <c r="AD90" s="504">
        <f>SUMIFS('Display - Promos'!$AA:$AA,'Display - Promos'!$A:$A,"p7")</f>
        <v/>
      </c>
      <c r="AE90" s="378">
        <f>(AC90-AD90)/AD90</f>
        <v/>
      </c>
      <c r="AF90" s="505">
        <f>Z90/AC90</f>
        <v/>
      </c>
      <c r="AG90" s="505">
        <f>AA90/AD90</f>
        <v/>
      </c>
      <c r="AH90" s="378">
        <f>(AF90-AG90)/AG90</f>
        <v/>
      </c>
    </row>
    <row customHeight="1" ht="19.5" outlineLevel="1" r="91" s="452" spans="1:34" thickBot="1">
      <c r="A91" s="373" t="s">
        <v>39</v>
      </c>
      <c r="B91" s="502">
        <f>SUMIFS('Display - Remarketing'!$D:$D,'Display - Remarketing'!$A:$A,"P7")</f>
        <v/>
      </c>
      <c r="C91" s="502">
        <f>SUMIFS('Display - Remarketing'!$E:$E,'Display - Remarketing'!$A:$A,"P7")</f>
        <v/>
      </c>
      <c r="D91" s="369">
        <f>(B91-C91)/C91</f>
        <v/>
      </c>
      <c r="E91" s="502">
        <f>SUMIFS('Display - Remarketing'!$H:$H,'Display - Remarketing'!$A:$A,"P7")</f>
        <v/>
      </c>
      <c r="F91" s="502">
        <f>SUMIFS('Display - Remarketing'!$I:$I,'Display - Remarketing'!$A:$A,"P7")</f>
        <v/>
      </c>
      <c r="G91" s="369">
        <f>(E91-F91)/F91</f>
        <v/>
      </c>
      <c r="H91" s="484">
        <f>B91/E91</f>
        <v/>
      </c>
      <c r="I91" s="484">
        <f>C91/F91</f>
        <v/>
      </c>
      <c r="J91" s="369">
        <f>(H91-I91)/I91</f>
        <v/>
      </c>
      <c r="K91" s="504">
        <f>SUMIFS('Display - Remarketing'!$P:$P,'Display - Remarketing'!$A:$A,"P7")</f>
        <v/>
      </c>
      <c r="L91" s="504">
        <f>SUMIFS('Display - Remarketing'!$Q:$Q,'Display - Remarketing'!$A:$A,"P7")</f>
        <v/>
      </c>
      <c r="M91" s="375">
        <f>(K91-L91)/L91</f>
        <v/>
      </c>
      <c r="N91" s="504">
        <f>SUMIFS('Display - Remarketing'!$T:$T,'Display - Remarketing'!$A:$A,"P7")</f>
        <v/>
      </c>
      <c r="O91" s="504">
        <f>SUMIFS('Display - Remarketing'!$U:$U,'Display - Remarketing'!$A:$A,"P7")</f>
        <v/>
      </c>
      <c r="P91" s="378">
        <f>(N91-O91)/O91</f>
        <v/>
      </c>
      <c r="Q91" s="505">
        <f>N91/K91</f>
        <v/>
      </c>
      <c r="R91" s="505">
        <f>O91/L91</f>
        <v/>
      </c>
      <c r="S91" s="378">
        <f>(Q91-R91)/R91</f>
        <v/>
      </c>
      <c r="T91" s="502">
        <f>E91/N91</f>
        <v/>
      </c>
      <c r="U91" s="502">
        <f>F91/O91</f>
        <v/>
      </c>
      <c r="V91" s="375">
        <f>(T91-U91)/U91</f>
        <v/>
      </c>
      <c r="W91" s="502">
        <f>B91/N91</f>
        <v/>
      </c>
      <c r="X91" s="502">
        <f>C91/O91</f>
        <v/>
      </c>
      <c r="Y91" s="378">
        <f>(W91-X91)/X91</f>
        <v/>
      </c>
      <c r="Z91" s="506">
        <f>SUMIFS('Display - Remarketing'!$AB:$AB,'Display - Remarketing'!$A:$A,"p7")</f>
        <v/>
      </c>
      <c r="AA91" s="504">
        <f>SUMIFS('Display - Remarketing'!$AC:$AC,'Display - Remarketing'!$A:$A,"P7")</f>
        <v/>
      </c>
      <c r="AB91" s="378">
        <f>(Z91-AA91)/AA91</f>
        <v/>
      </c>
      <c r="AC91" s="506">
        <f>SUMIFS('Display - Remarketing'!$AF:$AF,'Display - Remarketing'!$A:$A,"P7")</f>
        <v/>
      </c>
      <c r="AD91" s="504">
        <f>SUMIFS('Display - Remarketing'!$AG:$AG,'Display - Remarketing'!$A:$A,"P7")</f>
        <v/>
      </c>
      <c r="AE91" s="378">
        <f>(AC91-AD91)/AD91</f>
        <v/>
      </c>
      <c r="AF91" s="505">
        <f>Z91/AC91</f>
        <v/>
      </c>
      <c r="AG91" s="505">
        <f>AA91/AD91</f>
        <v/>
      </c>
      <c r="AH91" s="378">
        <f>(AF91-AG91)/AG91</f>
        <v/>
      </c>
    </row>
    <row customFormat="1" customHeight="1" ht="22.5" r="92" s="395" spans="1:34" thickBot="1" thickTop="1">
      <c r="A92" s="387" t="s">
        <v>40</v>
      </c>
      <c r="B92" s="511">
        <f>B81+B85+B86+B89</f>
        <v/>
      </c>
      <c r="C92" s="511">
        <f>C81+C85+C86+C89</f>
        <v/>
      </c>
      <c r="D92" s="389">
        <f>(B92-C92)/C92</f>
        <v/>
      </c>
      <c r="E92" s="511">
        <f>E81+E85+E86+E89</f>
        <v/>
      </c>
      <c r="F92" s="511">
        <f>F81+F85+F86+F89</f>
        <v/>
      </c>
      <c r="G92" s="390">
        <f>(E92-F92)/F92</f>
        <v/>
      </c>
      <c r="H92" s="512">
        <f>B92/E92</f>
        <v/>
      </c>
      <c r="I92" s="512">
        <f>C92/F92</f>
        <v/>
      </c>
      <c r="J92" s="390">
        <f>(H92-I92)/I92</f>
        <v/>
      </c>
      <c r="K92" s="513">
        <f>K81+K85+K86+K89</f>
        <v/>
      </c>
      <c r="L92" s="513">
        <f>L81+L85+L86+L89</f>
        <v/>
      </c>
      <c r="M92" s="390">
        <f>(K92-L92)/L92</f>
        <v/>
      </c>
      <c r="N92" s="513">
        <f>N81+N85+N86+N89</f>
        <v/>
      </c>
      <c r="O92" s="513">
        <f>O81+O85+O86+O89</f>
        <v/>
      </c>
      <c r="P92" s="389">
        <f>(N92-O92)/O92</f>
        <v/>
      </c>
      <c r="Q92" s="514">
        <f>N92/K92</f>
        <v/>
      </c>
      <c r="R92" s="514">
        <f>O92/L92</f>
        <v/>
      </c>
      <c r="S92" s="389">
        <f>(Q92-R92)/R92</f>
        <v/>
      </c>
      <c r="T92" s="511">
        <f>E92/N92</f>
        <v/>
      </c>
      <c r="U92" s="511">
        <f>F92/O92</f>
        <v/>
      </c>
      <c r="V92" s="390">
        <f>(T92-U92)/U92</f>
        <v/>
      </c>
      <c r="W92" s="511">
        <f>B92/N92</f>
        <v/>
      </c>
      <c r="X92" s="511">
        <f>C92/O92</f>
        <v/>
      </c>
      <c r="Y92" s="389">
        <f>(W92-X92)/X92</f>
        <v/>
      </c>
      <c r="Z92" s="515">
        <f>Z81+Z85+Z86+Z89</f>
        <v/>
      </c>
      <c r="AA92" s="516">
        <f>AA81+AA85+AA86+AA89</f>
        <v/>
      </c>
      <c r="AB92" s="389">
        <f>(Z92-AA92)/AA92</f>
        <v/>
      </c>
      <c r="AC92" s="515">
        <f>AC81+AC85+AC86+AC89</f>
        <v/>
      </c>
      <c r="AD92" s="513">
        <f>AD81+AD85+AD86+AD89</f>
        <v/>
      </c>
      <c r="AE92" s="389">
        <f>(AC92-AD92)/AD92</f>
        <v/>
      </c>
      <c r="AF92" s="514">
        <f>Z92/AC92</f>
        <v/>
      </c>
      <c r="AG92" s="514">
        <f>AA92/AD92</f>
        <v/>
      </c>
      <c r="AH92" s="389">
        <f>(AF92-AG92)/AG92</f>
        <v/>
      </c>
    </row>
    <row r="93" spans="1:34">
      <c r="A93" s="359" t="s">
        <v>47</v>
      </c>
      <c r="B93" s="488" t="s">
        <v>1</v>
      </c>
      <c r="C93" s="488" t="s">
        <v>2</v>
      </c>
      <c r="D93" s="489" t="s">
        <v>3</v>
      </c>
      <c r="E93" s="488" t="s">
        <v>4</v>
      </c>
      <c r="F93" s="488" t="s">
        <v>5</v>
      </c>
      <c r="G93" s="489" t="s">
        <v>3</v>
      </c>
      <c r="H93" s="490" t="s">
        <v>6</v>
      </c>
      <c r="I93" s="490" t="s">
        <v>7</v>
      </c>
      <c r="J93" s="489" t="s">
        <v>3</v>
      </c>
      <c r="K93" s="490" t="s">
        <v>8</v>
      </c>
      <c r="L93" s="491" t="s">
        <v>9</v>
      </c>
      <c r="M93" s="489" t="s">
        <v>3</v>
      </c>
      <c r="N93" s="491" t="s">
        <v>10</v>
      </c>
      <c r="O93" s="491" t="s">
        <v>11</v>
      </c>
      <c r="P93" s="489" t="s">
        <v>3</v>
      </c>
      <c r="Q93" s="491" t="s">
        <v>12</v>
      </c>
      <c r="R93" s="491" t="s">
        <v>13</v>
      </c>
      <c r="S93" s="489" t="s">
        <v>3</v>
      </c>
      <c r="T93" s="492" t="s">
        <v>14</v>
      </c>
      <c r="U93" s="492" t="s">
        <v>15</v>
      </c>
      <c r="V93" s="489" t="s">
        <v>3</v>
      </c>
      <c r="W93" s="492" t="s">
        <v>16</v>
      </c>
      <c r="X93" s="492" t="s">
        <v>17</v>
      </c>
      <c r="Y93" s="489" t="s">
        <v>3</v>
      </c>
      <c r="Z93" s="493" t="s">
        <v>18</v>
      </c>
      <c r="AA93" s="491" t="s">
        <v>19</v>
      </c>
      <c r="AB93" s="489" t="s">
        <v>3</v>
      </c>
      <c r="AC93" s="494" t="s">
        <v>33</v>
      </c>
      <c r="AD93" s="495" t="s">
        <v>34</v>
      </c>
      <c r="AE93" s="489" t="s">
        <v>3</v>
      </c>
      <c r="AF93" s="496" t="s">
        <v>22</v>
      </c>
      <c r="AG93" s="496" t="s">
        <v>23</v>
      </c>
      <c r="AH93" s="489" t="s">
        <v>3</v>
      </c>
    </row>
    <row customFormat="1" customHeight="1" ht="20.1" r="94" s="367" spans="1:34">
      <c r="A94" s="367" t="s">
        <v>24</v>
      </c>
      <c r="B94" s="497">
        <f>SUM(B95:B97)</f>
        <v/>
      </c>
      <c r="C94" s="497">
        <f>SUM(C95:C97)</f>
        <v/>
      </c>
      <c r="D94" s="369">
        <f>(B94-C94)/C94</f>
        <v/>
      </c>
      <c r="E94" s="497">
        <f>SUM(E95:E97)</f>
        <v/>
      </c>
      <c r="F94" s="497">
        <f>SUM(F95:F97)</f>
        <v/>
      </c>
      <c r="G94" s="369">
        <f>(E94-F94)/F94</f>
        <v/>
      </c>
      <c r="H94" s="498">
        <f>B94/E94</f>
        <v/>
      </c>
      <c r="I94" s="498">
        <f>C94/F94</f>
        <v/>
      </c>
      <c r="J94" s="369">
        <f>(H94-I94)/I94</f>
        <v/>
      </c>
      <c r="K94" s="371">
        <f>SUM(K95:K97)</f>
        <v/>
      </c>
      <c r="L94" s="371">
        <f>SUM(L95:L97)</f>
        <v/>
      </c>
      <c r="M94" s="369">
        <f>(K94-L94)/L94</f>
        <v/>
      </c>
      <c r="N94" s="371">
        <f>SUM(N95:N97)</f>
        <v/>
      </c>
      <c r="O94" s="371">
        <f>SUM(O95:O97)</f>
        <v/>
      </c>
      <c r="P94" s="369">
        <f>(N94-O94)/O94</f>
        <v/>
      </c>
      <c r="Q94" s="500">
        <f>N94/K94</f>
        <v/>
      </c>
      <c r="R94" s="500">
        <f>O94/L94</f>
        <v/>
      </c>
      <c r="S94" s="369">
        <f>(Q94-R94)/R94</f>
        <v/>
      </c>
      <c r="T94" s="497">
        <f>E94/N94</f>
        <v/>
      </c>
      <c r="U94" s="497">
        <f>F94/O94</f>
        <v/>
      </c>
      <c r="V94" s="369">
        <f>(T94-U94)/U94</f>
        <v/>
      </c>
      <c r="W94" s="497">
        <f>B94/N94</f>
        <v/>
      </c>
      <c r="X94" s="497">
        <f>C94/O94</f>
        <v/>
      </c>
      <c r="Y94" s="369">
        <f>(W94-X94)/X94</f>
        <v/>
      </c>
      <c r="Z94" s="501">
        <f>SUM(Z95:Z97)</f>
        <v/>
      </c>
      <c r="AA94" s="371">
        <f>SUM(AA95:AA97)</f>
        <v/>
      </c>
      <c r="AB94" s="369">
        <f>(Z94-AA94)/AA94</f>
        <v/>
      </c>
      <c r="AC94" s="501">
        <f>SUM(AC95:AC97)</f>
        <v/>
      </c>
      <c r="AD94" s="371">
        <f>SUM(AD95:AD97)</f>
        <v/>
      </c>
      <c r="AE94" s="369">
        <f>(AC94-AD94)/AD94</f>
        <v/>
      </c>
      <c r="AF94" s="500">
        <f>Z94/AC94</f>
        <v/>
      </c>
      <c r="AG94" s="500">
        <f>AA94/AD94</f>
        <v/>
      </c>
      <c r="AH94" s="369">
        <f>(AF94-AG94)/AG94</f>
        <v/>
      </c>
    </row>
    <row outlineLevel="1" r="95" s="452" spans="1:34">
      <c r="A95" s="373" t="s">
        <v>35</v>
      </c>
      <c r="B95" s="502">
        <f>Search!E115+Search!E119+Search!E123+Search!E127</f>
        <v/>
      </c>
      <c r="C95" s="502">
        <f>Search!F115+Search!F119+Search!F123+Search!F127</f>
        <v/>
      </c>
      <c r="D95" s="369">
        <f>(B95-C95)/C95</f>
        <v/>
      </c>
      <c r="E95" s="502">
        <f>Search!I115+Search!I119+Search!I123+Search!I127</f>
        <v/>
      </c>
      <c r="F95" s="502">
        <f>Search!J115+Search!J119+Search!J123+Search!J127</f>
        <v/>
      </c>
      <c r="G95" s="375">
        <f>(E95-F95)/F95</f>
        <v/>
      </c>
      <c r="H95" s="503">
        <f>B95/E95</f>
        <v/>
      </c>
      <c r="I95" s="503">
        <f>C95/F95</f>
        <v/>
      </c>
      <c r="J95" s="375">
        <f>(H95-I95)/I95</f>
        <v/>
      </c>
      <c r="K95" s="377">
        <f>Search!Q115+Search!Q119+Search!Q123+Search!Q127</f>
        <v/>
      </c>
      <c r="L95" s="377">
        <f>Search!R115+Search!R119+Search!R123+Search!R127</f>
        <v/>
      </c>
      <c r="M95" s="375">
        <f>(K95-L95)/L95</f>
        <v/>
      </c>
      <c r="N95" s="377">
        <f>Search!U115+Search!U119+Search!U123+Search!U127</f>
        <v/>
      </c>
      <c r="O95" s="377">
        <f>Search!V115+Search!V119+Search!V123+Search!V127</f>
        <v/>
      </c>
      <c r="P95" s="378">
        <f>(N95-O95)/O95</f>
        <v/>
      </c>
      <c r="Q95" s="505">
        <f>N95/K95</f>
        <v/>
      </c>
      <c r="R95" s="505">
        <f>O95/L95</f>
        <v/>
      </c>
      <c r="S95" s="378">
        <f>(Q95-R95)/R95</f>
        <v/>
      </c>
      <c r="T95" s="502">
        <f>E95/N95</f>
        <v/>
      </c>
      <c r="U95" s="502">
        <f>F95/O95</f>
        <v/>
      </c>
      <c r="V95" s="375">
        <f>(T95-U95)/U95</f>
        <v/>
      </c>
      <c r="W95" s="502">
        <f>B95/N95</f>
        <v/>
      </c>
      <c r="X95" s="502">
        <f>C95/O95</f>
        <v/>
      </c>
      <c r="Y95" s="378">
        <f>(W95-X95)/X95</f>
        <v/>
      </c>
      <c r="Z95" s="506">
        <f>Search!AG115+Search!AG119+Search!AG123+Search!AG127</f>
        <v/>
      </c>
      <c r="AA95" s="377">
        <f>Search!AH115+Search!AH119+Search!AH123+Search!AH127</f>
        <v/>
      </c>
      <c r="AB95" s="378">
        <f>(Z95-AA95)/AA95</f>
        <v/>
      </c>
      <c r="AC95" s="506">
        <f>Search!AK115+Search!AK119+Search!AK123+Search!AK127</f>
        <v/>
      </c>
      <c r="AD95" s="377">
        <f>Search!AL115+Search!AL119+Search!AL123+Search!AL127</f>
        <v/>
      </c>
      <c r="AE95" s="378">
        <f>(AC95-AD95)/AD95</f>
        <v/>
      </c>
      <c r="AF95" s="505">
        <f>Z95/AC95</f>
        <v/>
      </c>
      <c r="AG95" s="505">
        <f>AA95/AD95</f>
        <v/>
      </c>
      <c r="AH95" s="378">
        <f>(AF95-AG95)/AG95</f>
        <v/>
      </c>
    </row>
    <row outlineLevel="1" r="96" s="452" spans="1:34">
      <c r="A96" s="373" t="s">
        <v>36</v>
      </c>
      <c r="B96" s="502">
        <f>Search!E116+Search!E120+Search!E124+Search!E128</f>
        <v/>
      </c>
      <c r="C96" s="502">
        <f>Search!F116+Search!F120+Search!F124+Search!F128</f>
        <v/>
      </c>
      <c r="D96" s="369">
        <f>(B96-C96)/C96</f>
        <v/>
      </c>
      <c r="E96" s="502">
        <f>Search!I116+Search!I120+Search!I124+Search!I128</f>
        <v/>
      </c>
      <c r="F96" s="502">
        <f>Search!J116+Search!J120+Search!J124+Search!J128</f>
        <v/>
      </c>
      <c r="G96" s="375">
        <f>(E96-F96)/F96</f>
        <v/>
      </c>
      <c r="H96" s="503">
        <f>B96/E96</f>
        <v/>
      </c>
      <c r="I96" s="503">
        <f>C96/F96</f>
        <v/>
      </c>
      <c r="J96" s="375">
        <f>(H96-I96)/I96</f>
        <v/>
      </c>
      <c r="K96" s="377">
        <f>Search!Q116+Search!Q120+Search!Q124+Search!Q128</f>
        <v/>
      </c>
      <c r="L96" s="377">
        <f>Search!R116+Search!R120+Search!R124+Search!R128</f>
        <v/>
      </c>
      <c r="M96" s="375">
        <f>(K96-L96)/L96</f>
        <v/>
      </c>
      <c r="N96" s="377">
        <f>Search!U116+Search!U120+Search!U124+Search!U128</f>
        <v/>
      </c>
      <c r="O96" s="377">
        <f>Search!V116+Search!V120+Search!V124+Search!V128</f>
        <v/>
      </c>
      <c r="P96" s="378">
        <f>(N96-O96)/O96</f>
        <v/>
      </c>
      <c r="Q96" s="505">
        <f>N96/K96</f>
        <v/>
      </c>
      <c r="R96" s="505">
        <f>O96/L96</f>
        <v/>
      </c>
      <c r="S96" s="378">
        <f>(Q96-R96)/R96</f>
        <v/>
      </c>
      <c r="T96" s="502">
        <f>E96/N96</f>
        <v/>
      </c>
      <c r="U96" s="502">
        <f>F96/O96</f>
        <v/>
      </c>
      <c r="V96" s="375">
        <f>(T96-U96)/U96</f>
        <v/>
      </c>
      <c r="W96" s="502">
        <f>B96/N96</f>
        <v/>
      </c>
      <c r="X96" s="502">
        <f>C96/O96</f>
        <v/>
      </c>
      <c r="Y96" s="378">
        <f>(W96-X96)/X96</f>
        <v/>
      </c>
      <c r="Z96" s="506">
        <f>Search!AG116+Search!AG120+Search!AG124+Search!AG128</f>
        <v/>
      </c>
      <c r="AA96" s="377">
        <f>Search!AH116+Search!AH120+Search!AH124+Search!AH128</f>
        <v/>
      </c>
      <c r="AB96" s="378">
        <f>(Z96-AA96)/AA96</f>
        <v/>
      </c>
      <c r="AC96" s="506">
        <f>Search!AK116+Search!AK120+Search!AK124+Search!AK128</f>
        <v/>
      </c>
      <c r="AD96" s="377">
        <f>Search!AL116+Search!AL120+Search!AL124+Search!AL128</f>
        <v/>
      </c>
      <c r="AE96" s="378">
        <f>(AC96-AD96)/AD96</f>
        <v/>
      </c>
      <c r="AF96" s="505">
        <f>Z96/AC96</f>
        <v/>
      </c>
      <c r="AG96" s="505">
        <f>AA96/AD96</f>
        <v/>
      </c>
      <c r="AH96" s="378">
        <f>(AF96-AG96)/AG96</f>
        <v/>
      </c>
    </row>
    <row outlineLevel="1" r="97" s="452" spans="1:34">
      <c r="A97" s="373" t="s">
        <v>37</v>
      </c>
      <c r="B97" s="502">
        <f>Search!E117+Search!E121+Search!E125+Search!E129</f>
        <v/>
      </c>
      <c r="C97" s="502">
        <f>Search!F117+Search!F121+Search!F125+Search!F129</f>
        <v/>
      </c>
      <c r="D97" s="369">
        <f>(B97-C97)/C97</f>
        <v/>
      </c>
      <c r="E97" s="502">
        <f>Search!I117+Search!I121+Search!I125+Search!I129</f>
        <v/>
      </c>
      <c r="F97" s="502">
        <f>Search!J117+Search!J121+Search!J125+Search!J129</f>
        <v/>
      </c>
      <c r="G97" s="375">
        <f>(E97-F97)/F97</f>
        <v/>
      </c>
      <c r="H97" s="503">
        <f>B97/E97</f>
        <v/>
      </c>
      <c r="I97" s="503">
        <f>C97/F97</f>
        <v/>
      </c>
      <c r="J97" s="375">
        <f>(H97-I97)/I97</f>
        <v/>
      </c>
      <c r="K97" s="377">
        <f>Search!Q117+Search!Q121+Search!Q125+Search!Q129</f>
        <v/>
      </c>
      <c r="L97" s="377">
        <f>Search!R117+Search!R121+Search!R125+Search!R129</f>
        <v/>
      </c>
      <c r="M97" s="375">
        <f>(K97-L97)/L97</f>
        <v/>
      </c>
      <c r="N97" s="377">
        <f>Search!U117+Search!U121+Search!U125+Search!U129</f>
        <v/>
      </c>
      <c r="O97" s="377">
        <f>Search!V117+Search!V121+Search!V125+Search!V129</f>
        <v/>
      </c>
      <c r="P97" s="378">
        <f>(N97-O97)/O97</f>
        <v/>
      </c>
      <c r="Q97" s="505">
        <f>N97/K97</f>
        <v/>
      </c>
      <c r="R97" s="505">
        <f>O97/L97</f>
        <v/>
      </c>
      <c r="S97" s="378">
        <f>(Q97-R97)/R97</f>
        <v/>
      </c>
      <c r="T97" s="502">
        <f>E97/N97</f>
        <v/>
      </c>
      <c r="U97" s="502">
        <f>F97/O97</f>
        <v/>
      </c>
      <c r="V97" s="375">
        <f>(T97-U97)/U97</f>
        <v/>
      </c>
      <c r="W97" s="502">
        <f>B97/N97</f>
        <v/>
      </c>
      <c r="X97" s="502">
        <f>C97/O97</f>
        <v/>
      </c>
      <c r="Y97" s="378">
        <f>(W97-X97)/X97</f>
        <v/>
      </c>
      <c r="Z97" s="506">
        <f>Search!AG117+Search!AG121+Search!AG125+Search!AG129</f>
        <v/>
      </c>
      <c r="AA97" s="377">
        <f>Search!AH117+Search!AH121+Search!AH125+Search!AH129</f>
        <v/>
      </c>
      <c r="AB97" s="378">
        <f>(Z97-AA97)/AA97</f>
        <v/>
      </c>
      <c r="AC97" s="506">
        <f>Search!AK117+Search!AK121+Search!AK125+Search!AK129</f>
        <v/>
      </c>
      <c r="AD97" s="377">
        <f>Search!AL117+Search!AL121+Search!AL125+Search!AL129</f>
        <v/>
      </c>
      <c r="AE97" s="378">
        <f>(AC97-AD97)/AD97</f>
        <v/>
      </c>
      <c r="AF97" s="505">
        <f>Z97/AC97</f>
        <v/>
      </c>
      <c r="AG97" s="505">
        <f>AA97/AD97</f>
        <v/>
      </c>
      <c r="AH97" s="378">
        <f>(AF97-AG97)/AG97</f>
        <v/>
      </c>
    </row>
    <row customFormat="1" customHeight="1" ht="21" r="98" s="367" spans="1:34">
      <c r="A98" s="380" t="s">
        <v>27</v>
      </c>
      <c r="B98" s="497">
        <f>Affiliate!D30+Affiliate!D31+Affiliate!D32+Affiliate!D33</f>
        <v/>
      </c>
      <c r="C98" s="497">
        <f>Affiliate!E30+Affiliate!E31+Affiliate!E32+Affiliate!E33</f>
        <v/>
      </c>
      <c r="D98" s="369">
        <f>(B98-C98)/C98</f>
        <v/>
      </c>
      <c r="E98" s="497">
        <f>Affiliate!H30+Affiliate!H31+Affiliate!H32+Affiliate!H33</f>
        <v/>
      </c>
      <c r="F98" s="497">
        <f>Affiliate!I30+Affiliate!I31+Affiliate!I32+Affiliate!I33</f>
        <v/>
      </c>
      <c r="G98" s="369">
        <f>(E98-F98)/F98</f>
        <v/>
      </c>
      <c r="H98" s="498">
        <f>B98/E98</f>
        <v/>
      </c>
      <c r="I98" s="498">
        <f>C98/F98</f>
        <v/>
      </c>
      <c r="J98" s="369">
        <f>(H98-I98)/I98</f>
        <v/>
      </c>
      <c r="K98" s="371">
        <f>Affiliate!AF30+Affiliate!AF31+Affiliate!AF32+Affiliate!AF33</f>
        <v/>
      </c>
      <c r="L98" s="371">
        <f>Affiliate!AG30+Affiliate!AG31+Affiliate!AG32+Affiliate!AG33</f>
        <v/>
      </c>
      <c r="M98" s="369">
        <f>(K98-L98)/L98</f>
        <v/>
      </c>
      <c r="N98" s="371">
        <f>Affiliate!AJ30+Affiliate!AJ31+Affiliate!AJ32+Affiliate!AJ33</f>
        <v/>
      </c>
      <c r="O98" s="371">
        <f>Affiliate!AK30+Affiliate!AK31+Affiliate!AK32+Affiliate!AK33</f>
        <v/>
      </c>
      <c r="P98" s="381">
        <f>(N98-O98)/O98</f>
        <v/>
      </c>
      <c r="Q98" s="507">
        <f>N98/K98</f>
        <v/>
      </c>
      <c r="R98" s="507">
        <f>O98/L98</f>
        <v/>
      </c>
      <c r="S98" s="381">
        <f>(Q98-R98)/R98</f>
        <v/>
      </c>
      <c r="T98" s="508">
        <f>E98/N98</f>
        <v/>
      </c>
      <c r="U98" s="508">
        <f>F98/O98</f>
        <v/>
      </c>
      <c r="V98" s="369">
        <f>(T98-U98)/U98</f>
        <v/>
      </c>
      <c r="W98" s="508">
        <f>B98/N98</f>
        <v/>
      </c>
      <c r="X98" s="508">
        <f>C98/O98</f>
        <v/>
      </c>
      <c r="Y98" s="381">
        <f>(W98-X98)/X98</f>
        <v/>
      </c>
      <c r="Z98" s="509" t="n"/>
      <c r="AA98" s="384" t="n"/>
      <c r="AB98" s="381">
        <f>(Z98-AA98)/AA98</f>
        <v/>
      </c>
      <c r="AC98" s="509" t="n"/>
      <c r="AD98" s="384" t="n"/>
      <c r="AE98" s="381">
        <f>(AC98-AD98)/AD98</f>
        <v/>
      </c>
      <c r="AF98" s="510" t="n"/>
      <c r="AG98" s="510" t="n"/>
      <c r="AH98" s="381">
        <f>(AF98-AG98)/AG98</f>
        <v/>
      </c>
    </row>
    <row customFormat="1" customHeight="1" ht="20.1" r="99" s="367" spans="1:34">
      <c r="A99" s="367" t="s">
        <v>28</v>
      </c>
      <c r="B99" s="497">
        <f>SUM(B100:B101)</f>
        <v/>
      </c>
      <c r="C99" s="497">
        <f>SUM(C100:C101)</f>
        <v/>
      </c>
      <c r="D99" s="369">
        <f>(B99-C99)/C99</f>
        <v/>
      </c>
      <c r="E99" s="497">
        <f>SUM(E100:E101)</f>
        <v/>
      </c>
      <c r="F99" s="497">
        <f>SUM(F100:F101)</f>
        <v/>
      </c>
      <c r="G99" s="369">
        <f>(E99-F99)/F99</f>
        <v/>
      </c>
      <c r="H99" s="498">
        <f>B99/E99</f>
        <v/>
      </c>
      <c r="I99" s="498">
        <f>C99/F99</f>
        <v/>
      </c>
      <c r="J99" s="369">
        <f>(H99-I99)/I99</f>
        <v/>
      </c>
      <c r="K99" s="371">
        <f>SUM(K100:K101)</f>
        <v/>
      </c>
      <c r="L99" s="371">
        <f>SUM(L100:L101)</f>
        <v/>
      </c>
      <c r="M99" s="369">
        <f>(K99-L99)/L99</f>
        <v/>
      </c>
      <c r="N99" s="371">
        <f>SUM(N100:N101)</f>
        <v/>
      </c>
      <c r="O99" s="371">
        <f>SUM(O100:O101)</f>
        <v/>
      </c>
      <c r="P99" s="381">
        <f>(N99-O99)/O99</f>
        <v/>
      </c>
      <c r="Q99" s="507">
        <f>N99/K99</f>
        <v/>
      </c>
      <c r="R99" s="507">
        <f>O99/L99</f>
        <v/>
      </c>
      <c r="S99" s="381">
        <f>(Q99-R99)/R99</f>
        <v/>
      </c>
      <c r="T99" s="508">
        <f>E99/N99</f>
        <v/>
      </c>
      <c r="U99" s="508">
        <f>F99/O99</f>
        <v/>
      </c>
      <c r="V99" s="369">
        <f>(T99-U99)/U99</f>
        <v/>
      </c>
      <c r="W99" s="508">
        <f>B99/N99</f>
        <v/>
      </c>
      <c r="X99" s="508">
        <f>C99/O99</f>
        <v/>
      </c>
      <c r="Y99" s="381">
        <f>(W99-X99)/X99</f>
        <v/>
      </c>
      <c r="Z99" s="501">
        <f>SUM(Z100:Z101)</f>
        <v/>
      </c>
      <c r="AA99" s="371">
        <f>SUM(AA100:AA101)</f>
        <v/>
      </c>
      <c r="AB99" s="381">
        <f>(Z99-AA99)/AA99</f>
        <v/>
      </c>
      <c r="AC99" s="501">
        <f>SUM(AC100:AC101)</f>
        <v/>
      </c>
      <c r="AD99" s="371">
        <f>SUM(AD100:AD101)</f>
        <v/>
      </c>
      <c r="AE99" s="381">
        <f>(AC99-AD99)/AD99</f>
        <v/>
      </c>
      <c r="AF99" s="507">
        <f>Z99/AC99</f>
        <v/>
      </c>
      <c r="AG99" s="507">
        <f>AA99/AD99</f>
        <v/>
      </c>
      <c r="AH99" s="381">
        <f>(AF99-AG99)/AG99</f>
        <v/>
      </c>
    </row>
    <row outlineLevel="1" r="100" s="452" spans="1:34">
      <c r="A100" s="373" t="s">
        <v>38</v>
      </c>
      <c r="B100" s="502">
        <f>'Social - Promos'!E170+'Social - Promos'!E176+'Social - Promos'!E182+'Social - Promos'!E188</f>
        <v/>
      </c>
      <c r="C100" s="502">
        <f>'Social - Promos'!F170+'Social - Promos'!F176+'Social - Promos'!F182+'Social - Promos'!F188</f>
        <v/>
      </c>
      <c r="D100" s="369">
        <f>(B100-C100)/C100</f>
        <v/>
      </c>
      <c r="E100" s="502">
        <f>'Social - Promos'!K170+'Social - Promos'!K176+'Social - Promos'!K182+'Social - Promos'!K188</f>
        <v/>
      </c>
      <c r="F100" s="502">
        <f>'Social - Promos'!L170+'Social - Promos'!L176+'Social - Promos'!L182+'Social - Promos'!L188</f>
        <v/>
      </c>
      <c r="G100" s="375">
        <f>(E100-F100)/F100</f>
        <v/>
      </c>
      <c r="H100" s="484">
        <f>B100/E100</f>
        <v/>
      </c>
      <c r="I100" s="484">
        <f>C100/F100</f>
        <v/>
      </c>
      <c r="J100" s="375">
        <f>(H100-I100)/I100</f>
        <v/>
      </c>
      <c r="K100" s="377">
        <f>'Social - Promos'!T170+'Social - Promos'!T176+'Social - Promos'!T182+'Social - Promos'!T188</f>
        <v/>
      </c>
      <c r="L100" s="377">
        <f>'Social - Promos'!U170+'Social - Promos'!U176+'Social - Promos'!U182+'Social - Promos'!U188</f>
        <v/>
      </c>
      <c r="M100" s="375">
        <f>(K100-L100)/L100</f>
        <v/>
      </c>
      <c r="N100" s="377">
        <f>'Social - Promos'!W170+'Social - Promos'!W176+'Social - Promos'!W182+'Social - Promos'!W188</f>
        <v/>
      </c>
      <c r="O100" s="377">
        <f>'Social - Promos'!X170+'Social - Promos'!X176+'Social - Promos'!X182+'Social - Promos'!X188</f>
        <v/>
      </c>
      <c r="P100" s="378">
        <f>(N100-O100)/O100</f>
        <v/>
      </c>
      <c r="Q100" s="505">
        <f>N100/K100</f>
        <v/>
      </c>
      <c r="R100" s="505">
        <f>O100/L100</f>
        <v/>
      </c>
      <c r="S100" s="378">
        <f>(Q100-R100)/R100</f>
        <v/>
      </c>
      <c r="T100" s="502">
        <f>E100/N100</f>
        <v/>
      </c>
      <c r="U100" s="502">
        <f>F100/O100</f>
        <v/>
      </c>
      <c r="V100" s="375">
        <f>(T100-U100)/U100</f>
        <v/>
      </c>
      <c r="W100" s="502">
        <f>B100/N100</f>
        <v/>
      </c>
      <c r="X100" s="502">
        <f>C100/O100</f>
        <v/>
      </c>
      <c r="Y100" s="378">
        <f>(W100-X100)/X100</f>
        <v/>
      </c>
      <c r="Z100" s="506">
        <f>'Social - Promos'!AF170+'Social - Promos'!AF176+'Social - Promos'!AF182+'Social - Promos'!AF188</f>
        <v/>
      </c>
      <c r="AA100" s="377">
        <f>'Social - Promos'!AG170+'Social - Promos'!AG176+'Social - Promos'!AG182+'Social - Promos'!AG188</f>
        <v/>
      </c>
      <c r="AB100" s="378">
        <f>(Z100-AA100)/AA100</f>
        <v/>
      </c>
      <c r="AC100" s="506">
        <f>'Social - Promos'!AI170+'Social - Promos'!AI176+'Social - Promos'!AI182+'Social - Promos'!AI188</f>
        <v/>
      </c>
      <c r="AD100" s="377">
        <f>'Social - Promos'!AJ170+'Social - Promos'!AJ176+'Social - Promos'!AJ182+'Social - Promos'!AJ188</f>
        <v/>
      </c>
      <c r="AE100" s="378">
        <f>(AC100-AD100)/AD100</f>
        <v/>
      </c>
      <c r="AF100" s="505">
        <f>Z100/AC100</f>
        <v/>
      </c>
      <c r="AG100" s="505">
        <f>AA100/AD100</f>
        <v/>
      </c>
      <c r="AH100" s="378">
        <f>(AF100-AG100)/AG100</f>
        <v/>
      </c>
    </row>
    <row outlineLevel="1" r="101" s="452" spans="1:34">
      <c r="A101" s="373" t="s">
        <v>39</v>
      </c>
      <c r="B101" s="502">
        <f>'Social - Remarketing'!D30+'Social - Remarketing'!D31+'Social - Remarketing'!D32+'Social - Remarketing'!D33</f>
        <v/>
      </c>
      <c r="C101" s="502">
        <f>'Social - Remarketing'!E30+'Social - Remarketing'!E31+'Social - Remarketing'!E32+'Social - Remarketing'!E33</f>
        <v/>
      </c>
      <c r="D101" s="369">
        <f>(B101-C101)/C101</f>
        <v/>
      </c>
      <c r="E101" s="502">
        <f>'Social - Remarketing'!H30+'Social - Remarketing'!H31+'Social - Remarketing'!H32+'Social - Remarketing'!H33</f>
        <v/>
      </c>
      <c r="F101" s="502">
        <f>'Social - Remarketing'!I30+'Social - Remarketing'!I31+'Social - Remarketing'!I32+'Social - Remarketing'!I33</f>
        <v/>
      </c>
      <c r="G101" s="369">
        <f>(E101-F101)/F101</f>
        <v/>
      </c>
      <c r="H101" s="484">
        <f>B101/E101</f>
        <v/>
      </c>
      <c r="I101" s="484">
        <f>C101/F101</f>
        <v/>
      </c>
      <c r="J101" s="369">
        <f>(H101-I101)/I101</f>
        <v/>
      </c>
      <c r="K101" s="377">
        <f>'Social - Remarketing'!X30+'Social - Remarketing'!X31+'Social - Remarketing'!X32+'Social - Remarketing'!X33</f>
        <v/>
      </c>
      <c r="L101" s="377">
        <f>'Social - Remarketing'!Y30+'Social - Remarketing'!Y31+'Social - Remarketing'!Y32+'Social - Remarketing'!Y33</f>
        <v/>
      </c>
      <c r="M101" s="375">
        <f>(K101-L101)/L101</f>
        <v/>
      </c>
      <c r="N101" s="377">
        <f>'Social - Remarketing'!AB30+'Social - Remarketing'!AB31+'Social - Remarketing'!AB32+'Social - Remarketing'!AB33</f>
        <v/>
      </c>
      <c r="O101" s="377">
        <f>'Social - Remarketing'!AC30+'Social - Remarketing'!AC31+'Social - Remarketing'!AC32+'Social - Remarketing'!AC33</f>
        <v/>
      </c>
      <c r="P101" s="378">
        <f>(N101-O101)/O101</f>
        <v/>
      </c>
      <c r="Q101" s="505">
        <f>N101/K101</f>
        <v/>
      </c>
      <c r="R101" s="505">
        <f>O101/L101</f>
        <v/>
      </c>
      <c r="S101" s="378">
        <f>(Q101-R101)/R101</f>
        <v/>
      </c>
      <c r="T101" s="502">
        <f>E101/N101</f>
        <v/>
      </c>
      <c r="U101" s="502">
        <f>F101/O101</f>
        <v/>
      </c>
      <c r="V101" s="375">
        <f>(T101-U101)/U101</f>
        <v/>
      </c>
      <c r="W101" s="502">
        <f>B101/N101</f>
        <v/>
      </c>
      <c r="X101" s="502">
        <f>C101/O101</f>
        <v/>
      </c>
      <c r="Y101" s="378">
        <f>(W101-X101)/X101</f>
        <v/>
      </c>
      <c r="Z101" s="506">
        <f>'Social - Remarketing'!AN30+'Social - Remarketing'!AN31+'Social - Remarketing'!AN32+'Social - Remarketing'!AN33</f>
        <v/>
      </c>
      <c r="AA101" s="377">
        <f>'Social - Remarketing'!AO30+'Social - Remarketing'!AO31+'Social - Remarketing'!AO32+'Social - Remarketing'!AO33</f>
        <v/>
      </c>
      <c r="AB101" s="378">
        <f>(Z101-AA101)/AA101</f>
        <v/>
      </c>
      <c r="AC101" s="506">
        <f>'Social - Remarketing'!AR30+'Social - Remarketing'!AR31+'Social - Remarketing'!AR32+'Social - Remarketing'!AR33</f>
        <v/>
      </c>
      <c r="AD101" s="377">
        <f>'Social - Remarketing'!AS30+'Social - Remarketing'!AS31+'Social - Remarketing'!AS32+'Social - Remarketing'!AS33</f>
        <v/>
      </c>
      <c r="AE101" s="378">
        <f>(AC101-AD101)/AD101</f>
        <v/>
      </c>
      <c r="AF101" s="505">
        <f>Z101/AC101</f>
        <v/>
      </c>
      <c r="AG101" s="505">
        <f>AA101/AD101</f>
        <v/>
      </c>
      <c r="AH101" s="378">
        <f>(AF101-AG101)/AG101</f>
        <v/>
      </c>
    </row>
    <row customFormat="1" customHeight="1" ht="21" r="102" s="367" spans="1:34">
      <c r="A102" s="367" t="s">
        <v>29</v>
      </c>
      <c r="B102" s="497">
        <f>SUM(B103:B104)</f>
        <v/>
      </c>
      <c r="C102" s="497">
        <f>SUM(C103:C104)</f>
        <v/>
      </c>
      <c r="D102" s="369">
        <f>(B102-C102)/C102</f>
        <v/>
      </c>
      <c r="E102" s="497">
        <f>SUM(E103:E104)</f>
        <v/>
      </c>
      <c r="F102" s="497">
        <f>SUM(F103:F104)</f>
        <v/>
      </c>
      <c r="G102" s="369">
        <f>(E102-F102)/F102</f>
        <v/>
      </c>
      <c r="H102" s="498">
        <f>B102/E102</f>
        <v/>
      </c>
      <c r="I102" s="498">
        <f>C102/F102</f>
        <v/>
      </c>
      <c r="J102" s="369">
        <f>(H102-I102)/I102</f>
        <v/>
      </c>
      <c r="K102" s="371">
        <f>SUM(K103:K104)</f>
        <v/>
      </c>
      <c r="L102" s="371">
        <f>SUM(L103:L104)</f>
        <v/>
      </c>
      <c r="M102" s="369">
        <f>(K102-L102)/L102</f>
        <v/>
      </c>
      <c r="N102" s="371">
        <f>SUM(N103:N104)</f>
        <v/>
      </c>
      <c r="O102" s="371">
        <f>SUM(O103:O104)</f>
        <v/>
      </c>
      <c r="P102" s="381">
        <f>(N102-O102)/O102</f>
        <v/>
      </c>
      <c r="Q102" s="507">
        <f>N102/K102</f>
        <v/>
      </c>
      <c r="R102" s="507">
        <f>O102/L102</f>
        <v/>
      </c>
      <c r="S102" s="381">
        <f>(Q102-R102)/R102</f>
        <v/>
      </c>
      <c r="T102" s="508">
        <f>E102/N102</f>
        <v/>
      </c>
      <c r="U102" s="508">
        <f>F102/O102</f>
        <v/>
      </c>
      <c r="V102" s="369">
        <f>(T102-U102)/U102</f>
        <v/>
      </c>
      <c r="W102" s="508">
        <f>B102/N102</f>
        <v/>
      </c>
      <c r="X102" s="508">
        <f>C102/O102</f>
        <v/>
      </c>
      <c r="Y102" s="381">
        <f>(W102-X102)/X102</f>
        <v/>
      </c>
      <c r="Z102" s="501">
        <f>SUM(Z103:Z104)</f>
        <v/>
      </c>
      <c r="AA102" s="371">
        <f>SUM(AA103:AA104)</f>
        <v/>
      </c>
      <c r="AB102" s="381">
        <f>(Z102-AA102)/AA102</f>
        <v/>
      </c>
      <c r="AC102" s="501">
        <f>SUM(AC103:AC104)</f>
        <v/>
      </c>
      <c r="AD102" s="371">
        <f>SUM(AD103:AD104)</f>
        <v/>
      </c>
      <c r="AE102" s="381">
        <f>(AC102-AD102)/AD102</f>
        <v/>
      </c>
      <c r="AF102" s="507">
        <f>Z102/AC102</f>
        <v/>
      </c>
      <c r="AG102" s="507">
        <f>AA102/AD102</f>
        <v/>
      </c>
      <c r="AH102" s="381">
        <f>(AF102-AG102)/AG102</f>
        <v/>
      </c>
    </row>
    <row outlineLevel="1" r="103" s="452" spans="1:34">
      <c r="A103" s="373" t="s">
        <v>38</v>
      </c>
      <c r="B103" s="502">
        <f>'Display - Promos'!E114+'Display - Promos'!E118+'Display - Promos'!E122+'Display - Promos'!E126</f>
        <v/>
      </c>
      <c r="C103" s="502">
        <f>'Display - Promos'!F114+'Display - Promos'!F118+'Display - Promos'!F122+'Display - Promos'!F126</f>
        <v/>
      </c>
      <c r="D103" s="375">
        <f>(B103-C103)/C103</f>
        <v/>
      </c>
      <c r="E103" s="502">
        <f>'Display - Promos'!H114+'Display - Promos'!H118+'Display - Promos'!H122+'Display - Promos'!H126</f>
        <v/>
      </c>
      <c r="F103" s="502">
        <f>'Display - Promos'!I114+'Display - Promos'!I118+'Display - Promos'!I122+'Display - Promos'!I126</f>
        <v/>
      </c>
      <c r="G103" s="375">
        <f>(E103-F103)/F103</f>
        <v/>
      </c>
      <c r="H103" s="484">
        <f>B103/E103</f>
        <v/>
      </c>
      <c r="I103" s="484">
        <f>C103/F103</f>
        <v/>
      </c>
      <c r="J103" s="369">
        <f>(H103-I103)/I103</f>
        <v/>
      </c>
      <c r="K103" s="377">
        <f>'Display - Promos'!N114+'Display - Promos'!N118+'Display - Promos'!N122+'Display - Promos'!N126</f>
        <v/>
      </c>
      <c r="L103" s="377">
        <f>'Display - Promos'!O114+'Display - Promos'!O118+'Display - Promos'!O122+'Display - Promos'!O126</f>
        <v/>
      </c>
      <c r="M103" s="375">
        <f>(K103-L103)/L103</f>
        <v/>
      </c>
      <c r="N103" s="377">
        <f>'Display - Promos'!Q114+'Display - Promos'!Q118+'Display - Promos'!Q122+'Display - Promos'!Q126</f>
        <v/>
      </c>
      <c r="O103" s="377">
        <f>'Display - Promos'!R114+'Display - Promos'!R118+'Display - Promos'!R122+'Display - Promos'!R126</f>
        <v/>
      </c>
      <c r="P103" s="378">
        <f>(N103-O103)/O103</f>
        <v/>
      </c>
      <c r="Q103" s="505">
        <f>N103/K103</f>
        <v/>
      </c>
      <c r="R103" s="505">
        <f>O103/L103</f>
        <v/>
      </c>
      <c r="S103" s="378">
        <f>(Q103-R103)/R103</f>
        <v/>
      </c>
      <c r="T103" s="502">
        <f>E103/N103</f>
        <v/>
      </c>
      <c r="U103" s="502">
        <f>F103/O103</f>
        <v/>
      </c>
      <c r="V103" s="375">
        <f>(T103-U103)/U103</f>
        <v/>
      </c>
      <c r="W103" s="502">
        <f>B103/N103</f>
        <v/>
      </c>
      <c r="X103" s="502">
        <f>C103/O103</f>
        <v/>
      </c>
      <c r="Y103" s="378">
        <f>(W103-X103)/X103</f>
        <v/>
      </c>
      <c r="Z103" s="506">
        <f>'Display - Promos'!W114+'Display - Promos'!W118+'Display - Promos'!W122+'Display - Promos'!W126</f>
        <v/>
      </c>
      <c r="AA103" s="377">
        <f>'Display - Promos'!X114+'Display - Promos'!X118+'Display - Promos'!X122+'Display - Promos'!X126</f>
        <v/>
      </c>
      <c r="AB103" s="378">
        <f>(Z103-AA103)/AA103</f>
        <v/>
      </c>
      <c r="AC103" s="506">
        <f>'Display - Promos'!Z114+'Display - Promos'!Z118+'Display - Promos'!Z122+'Display - Promos'!Z126</f>
        <v/>
      </c>
      <c r="AD103" s="377">
        <f>'Display - Promos'!AA114+'Display - Promos'!AA118+'Display - Promos'!AA122+'Display - Promos'!AA126</f>
        <v/>
      </c>
      <c r="AE103" s="378">
        <f>(AC103-AD103)/AD103</f>
        <v/>
      </c>
      <c r="AF103" s="505">
        <f>Z103/AC103</f>
        <v/>
      </c>
      <c r="AG103" s="505">
        <f>AA103/AD103</f>
        <v/>
      </c>
      <c r="AH103" s="378">
        <f>(AF103-AG103)/AG103</f>
        <v/>
      </c>
    </row>
    <row customHeight="1" ht="19.5" outlineLevel="1" r="104" s="452" spans="1:34" thickBot="1">
      <c r="A104" s="373" t="s">
        <v>39</v>
      </c>
      <c r="B104" s="502">
        <f>'Display - Remarketing'!D30+'Display - Remarketing'!D31+'Display - Remarketing'!D32+'Display - Remarketing'!D33</f>
        <v/>
      </c>
      <c r="C104" s="502">
        <f>'Display - Remarketing'!E30+'Display - Remarketing'!E31+'Display - Remarketing'!E32+'Display - Remarketing'!E33</f>
        <v/>
      </c>
      <c r="D104" s="369">
        <f>(B104-C104)/C104</f>
        <v/>
      </c>
      <c r="E104" s="502">
        <f>'Display - Remarketing'!H30+'Display - Remarketing'!H31+'Display - Remarketing'!H32+'Display - Remarketing'!H33</f>
        <v/>
      </c>
      <c r="F104" s="502">
        <f>'Display - Remarketing'!I30+'Display - Remarketing'!I31+'Display - Remarketing'!I32+'Display - Remarketing'!I33</f>
        <v/>
      </c>
      <c r="G104" s="369">
        <f>(E104-F104)/F104</f>
        <v/>
      </c>
      <c r="H104" s="484">
        <f>B104/E104</f>
        <v/>
      </c>
      <c r="I104" s="484">
        <f>C104/F104</f>
        <v/>
      </c>
      <c r="J104" s="369">
        <f>(H104-I104)/I104</f>
        <v/>
      </c>
      <c r="K104" s="377">
        <f>'Display - Remarketing'!P30+'Display - Remarketing'!P31+'Display - Remarketing'!P32+'Display - Remarketing'!P33</f>
        <v/>
      </c>
      <c r="L104" s="377">
        <f>'Display - Remarketing'!Q30+'Display - Remarketing'!Q31+'Display - Remarketing'!Q32+'Display - Remarketing'!Q33</f>
        <v/>
      </c>
      <c r="M104" s="375">
        <f>(K104-L104)/L104</f>
        <v/>
      </c>
      <c r="N104" s="377">
        <f>'Display - Remarketing'!T30+'Display - Remarketing'!T31+'Display - Remarketing'!T32+'Display - Remarketing'!T33</f>
        <v/>
      </c>
      <c r="O104" s="377">
        <f>'Display - Remarketing'!U30+'Display - Remarketing'!U31+'Display - Remarketing'!U32+'Display - Remarketing'!U33</f>
        <v/>
      </c>
      <c r="P104" s="378">
        <f>(N104-O104)/O104</f>
        <v/>
      </c>
      <c r="Q104" s="505">
        <f>N104/K104</f>
        <v/>
      </c>
      <c r="R104" s="505">
        <f>O104/L104</f>
        <v/>
      </c>
      <c r="S104" s="378">
        <f>(Q104-R104)/R104</f>
        <v/>
      </c>
      <c r="T104" s="502">
        <f>E104/N104</f>
        <v/>
      </c>
      <c r="U104" s="502">
        <f>F104/O104</f>
        <v/>
      </c>
      <c r="V104" s="375">
        <f>(T104-U104)/U104</f>
        <v/>
      </c>
      <c r="W104" s="502">
        <f>B104/N104</f>
        <v/>
      </c>
      <c r="X104" s="502">
        <f>C104/O104</f>
        <v/>
      </c>
      <c r="Y104" s="378">
        <f>(W104-X104)/X104</f>
        <v/>
      </c>
      <c r="Z104" s="506">
        <f>'Display - Remarketing'!AB30+'Display - Remarketing'!AB31+'Display - Remarketing'!AB32+'Display - Remarketing'!AB33</f>
        <v/>
      </c>
      <c r="AA104" s="377">
        <f>'Display - Remarketing'!AC30+'Display - Remarketing'!AC31+'Display - Remarketing'!AC32+'Display - Remarketing'!AC33</f>
        <v/>
      </c>
      <c r="AB104" s="378">
        <f>(Z104-AA104)/AA104</f>
        <v/>
      </c>
      <c r="AC104" s="506">
        <f>'Display - Remarketing'!AF30+'Display - Remarketing'!AF31+'Display - Remarketing'!AF32+'Display - Remarketing'!AF33</f>
        <v/>
      </c>
      <c r="AD104" s="377">
        <f>'Display - Remarketing'!AG30+'Display - Remarketing'!AG31+'Display - Remarketing'!AG32+'Display - Remarketing'!AG33</f>
        <v/>
      </c>
      <c r="AE104" s="378">
        <f>(AC104-AD104)/AD104</f>
        <v/>
      </c>
      <c r="AF104" s="505">
        <f>Z104/AC104</f>
        <v/>
      </c>
      <c r="AG104" s="505">
        <f>AA104/AD104</f>
        <v/>
      </c>
      <c r="AH104" s="378">
        <f>(AF104-AG104)/AG104</f>
        <v/>
      </c>
    </row>
    <row customFormat="1" customHeight="1" ht="22.5" r="105" s="395" spans="1:34" thickBot="1" thickTop="1">
      <c r="A105" s="387" t="s">
        <v>40</v>
      </c>
      <c r="B105" s="511">
        <f>B94+B98+B99+B102</f>
        <v/>
      </c>
      <c r="C105" s="511">
        <f>C94+C98+C99+C102</f>
        <v/>
      </c>
      <c r="D105" s="389">
        <f>(B105-C105)/C105</f>
        <v/>
      </c>
      <c r="E105" s="511">
        <f>E94+E98+E99+E102</f>
        <v/>
      </c>
      <c r="F105" s="511">
        <f>F94+F98+F99+F102</f>
        <v/>
      </c>
      <c r="G105" s="390">
        <f>(E105-F105)/F105</f>
        <v/>
      </c>
      <c r="H105" s="512">
        <f>B105/E105</f>
        <v/>
      </c>
      <c r="I105" s="512">
        <f>C105/F105</f>
        <v/>
      </c>
      <c r="J105" s="390">
        <f>(H105-I105)/I105</f>
        <v/>
      </c>
      <c r="K105" s="513">
        <f>K94+K98+K99+K102</f>
        <v/>
      </c>
      <c r="L105" s="513">
        <f>L94+L98+L99+L102</f>
        <v/>
      </c>
      <c r="M105" s="390">
        <f>(K105-L105)/L105</f>
        <v/>
      </c>
      <c r="N105" s="513">
        <f>N94+N98+N99+N102</f>
        <v/>
      </c>
      <c r="O105" s="513">
        <f>O94+O98+O99+O102</f>
        <v/>
      </c>
      <c r="P105" s="389">
        <f>(N105-O105)/O105</f>
        <v/>
      </c>
      <c r="Q105" s="514">
        <f>N105/K105</f>
        <v/>
      </c>
      <c r="R105" s="514">
        <f>O105/L105</f>
        <v/>
      </c>
      <c r="S105" s="389">
        <f>(Q105-R105)/R105</f>
        <v/>
      </c>
      <c r="T105" s="511">
        <f>E105/N105</f>
        <v/>
      </c>
      <c r="U105" s="511">
        <f>F105/O105</f>
        <v/>
      </c>
      <c r="V105" s="390">
        <f>(T105-U105)/U105</f>
        <v/>
      </c>
      <c r="W105" s="511">
        <f>B105/N105</f>
        <v/>
      </c>
      <c r="X105" s="511">
        <f>C105/O105</f>
        <v/>
      </c>
      <c r="Y105" s="389">
        <f>(W105-X105)/X105</f>
        <v/>
      </c>
      <c r="Z105" s="515">
        <f>Z94+Z98+Z99+Z102</f>
        <v/>
      </c>
      <c r="AA105" s="516">
        <f>AA94+AA98+AA99+AA102</f>
        <v/>
      </c>
      <c r="AB105" s="389">
        <f>(Z105-AA105)/AA105</f>
        <v/>
      </c>
      <c r="AC105" s="515">
        <f>AC94+AC98+AC99+AC102</f>
        <v/>
      </c>
      <c r="AD105" s="513">
        <f>AD94+AD98+AD99+AD102</f>
        <v/>
      </c>
      <c r="AE105" s="389">
        <f>(AC105-AD105)/AD105</f>
        <v/>
      </c>
      <c r="AF105" s="514">
        <f>Z105/AC105</f>
        <v/>
      </c>
      <c r="AG105" s="514">
        <f>AA105/AD105</f>
        <v/>
      </c>
      <c r="AH105" s="389">
        <f>(AF105-AG105)/AG105</f>
        <v/>
      </c>
    </row>
    <row r="106" spans="1:34">
      <c r="A106" s="359" t="s">
        <v>48</v>
      </c>
      <c r="B106" s="488" t="s">
        <v>1</v>
      </c>
      <c r="C106" s="488" t="s">
        <v>2</v>
      </c>
      <c r="D106" s="489" t="s">
        <v>3</v>
      </c>
      <c r="E106" s="488" t="s">
        <v>4</v>
      </c>
      <c r="F106" s="488" t="s">
        <v>5</v>
      </c>
      <c r="G106" s="489" t="s">
        <v>3</v>
      </c>
      <c r="H106" s="490" t="s">
        <v>6</v>
      </c>
      <c r="I106" s="490" t="s">
        <v>7</v>
      </c>
      <c r="J106" s="489" t="s">
        <v>3</v>
      </c>
      <c r="K106" s="490" t="s">
        <v>8</v>
      </c>
      <c r="L106" s="491" t="s">
        <v>9</v>
      </c>
      <c r="M106" s="489" t="s">
        <v>3</v>
      </c>
      <c r="N106" s="491" t="s">
        <v>10</v>
      </c>
      <c r="O106" s="491" t="s">
        <v>11</v>
      </c>
      <c r="P106" s="489" t="s">
        <v>3</v>
      </c>
      <c r="Q106" s="491" t="s">
        <v>12</v>
      </c>
      <c r="R106" s="491" t="s">
        <v>13</v>
      </c>
      <c r="S106" s="489" t="s">
        <v>3</v>
      </c>
      <c r="T106" s="492" t="s">
        <v>14</v>
      </c>
      <c r="U106" s="492" t="s">
        <v>15</v>
      </c>
      <c r="V106" s="489" t="s">
        <v>3</v>
      </c>
      <c r="W106" s="492" t="s">
        <v>16</v>
      </c>
      <c r="X106" s="492" t="s">
        <v>17</v>
      </c>
      <c r="Y106" s="489" t="s">
        <v>3</v>
      </c>
      <c r="Z106" s="493" t="s">
        <v>18</v>
      </c>
      <c r="AA106" s="491" t="s">
        <v>19</v>
      </c>
      <c r="AB106" s="489" t="s">
        <v>3</v>
      </c>
      <c r="AC106" s="494" t="s">
        <v>33</v>
      </c>
      <c r="AD106" s="495" t="s">
        <v>34</v>
      </c>
      <c r="AE106" s="489" t="s">
        <v>3</v>
      </c>
      <c r="AF106" s="496" t="s">
        <v>22</v>
      </c>
      <c r="AG106" s="496" t="s">
        <v>23</v>
      </c>
      <c r="AH106" s="489" t="s">
        <v>3</v>
      </c>
    </row>
    <row customFormat="1" customHeight="1" ht="20.1" r="107" s="367" spans="1:34">
      <c r="A107" s="367" t="s">
        <v>24</v>
      </c>
      <c r="B107" s="497">
        <f>SUM(B108:B110)</f>
        <v/>
      </c>
      <c r="C107" s="497">
        <f>SUM(C108:C110)</f>
        <v/>
      </c>
      <c r="D107" s="369">
        <f>(B107-C107)/C107</f>
        <v/>
      </c>
      <c r="E107" s="497">
        <f>SUM(E108:E110)</f>
        <v/>
      </c>
      <c r="F107" s="497">
        <f>SUM(F108:F110)</f>
        <v/>
      </c>
      <c r="G107" s="369">
        <f>(E107-F107)/F107</f>
        <v/>
      </c>
      <c r="H107" s="498">
        <f>B107/E107</f>
        <v/>
      </c>
      <c r="I107" s="498">
        <f>C107/F107</f>
        <v/>
      </c>
      <c r="J107" s="369">
        <f>(H107-I107)/I107</f>
        <v/>
      </c>
      <c r="K107" s="371">
        <f>SUM(K108:K110)</f>
        <v/>
      </c>
      <c r="L107" s="371">
        <f>SUM(L108:L110)</f>
        <v/>
      </c>
      <c r="M107" s="369">
        <f>(K107-L107)/L107</f>
        <v/>
      </c>
      <c r="N107" s="371">
        <f>SUM(N108:N110)</f>
        <v/>
      </c>
      <c r="O107" s="371">
        <f>SUM(O108:O110)</f>
        <v/>
      </c>
      <c r="P107" s="369">
        <f>(N107-O107)/O107</f>
        <v/>
      </c>
      <c r="Q107" s="500">
        <f>N107/K107</f>
        <v/>
      </c>
      <c r="R107" s="500">
        <f>O107/L107</f>
        <v/>
      </c>
      <c r="S107" s="369">
        <f>(Q107-R107)/R107</f>
        <v/>
      </c>
      <c r="T107" s="497">
        <f>E107/N107</f>
        <v/>
      </c>
      <c r="U107" s="497">
        <f>F107/O107</f>
        <v/>
      </c>
      <c r="V107" s="369">
        <f>(T107-U107)/U107</f>
        <v/>
      </c>
      <c r="W107" s="497">
        <f>B107/N107</f>
        <v/>
      </c>
      <c r="X107" s="497">
        <f>C107/O107</f>
        <v/>
      </c>
      <c r="Y107" s="369">
        <f>(W107-X107)/X107</f>
        <v/>
      </c>
      <c r="Z107" s="501">
        <f>SUM(Z108:Z110)</f>
        <v/>
      </c>
      <c r="AA107" s="371">
        <f>SUM(AA108:AA110)</f>
        <v/>
      </c>
      <c r="AB107" s="369">
        <f>(Z107-AA107)/AA107</f>
        <v/>
      </c>
      <c r="AC107" s="501">
        <f>SUM(AC108:AC110)</f>
        <v/>
      </c>
      <c r="AD107" s="371">
        <f>SUM(AD108:AD110)</f>
        <v/>
      </c>
      <c r="AE107" s="369">
        <f>(AC107-AD107)/AD107</f>
        <v/>
      </c>
      <c r="AF107" s="500">
        <f>Z107/AC107</f>
        <v/>
      </c>
      <c r="AG107" s="500">
        <f>AA107/AD107</f>
        <v/>
      </c>
      <c r="AH107" s="369">
        <f>(AF107-AG107)/AG107</f>
        <v/>
      </c>
    </row>
    <row outlineLevel="1" r="108" s="452" spans="1:34">
      <c r="A108" s="373" t="s">
        <v>35</v>
      </c>
      <c r="B108" s="502">
        <f>Search!E131+Search!E135+Search!E139+Search!E143</f>
        <v/>
      </c>
      <c r="C108" s="502">
        <f>Search!F131+Search!F135+Search!F139+Search!F143</f>
        <v/>
      </c>
      <c r="D108" s="369">
        <f>(B108-C108)/C108</f>
        <v/>
      </c>
      <c r="E108" s="502">
        <f>Search!I131+Search!I135+Search!I139+Search!I143</f>
        <v/>
      </c>
      <c r="F108" s="502">
        <f>Search!J131+Search!J135+Search!J139+Search!J143</f>
        <v/>
      </c>
      <c r="G108" s="375">
        <f>(E108-F108)/F108</f>
        <v/>
      </c>
      <c r="H108" s="503">
        <f>B108/E108</f>
        <v/>
      </c>
      <c r="I108" s="503">
        <f>C108/F108</f>
        <v/>
      </c>
      <c r="J108" s="375">
        <f>(H108-I108)/I108</f>
        <v/>
      </c>
      <c r="K108" s="377">
        <f>Search!Q131+Search!Q135+Search!Q139+Search!Q143</f>
        <v/>
      </c>
      <c r="L108" s="377">
        <f>Search!R131+Search!R135+Search!R139+Search!R143</f>
        <v/>
      </c>
      <c r="M108" s="375">
        <f>(K108-L108)/L108</f>
        <v/>
      </c>
      <c r="N108" s="377">
        <f>Search!U131+Search!U135+Search!U139+Search!U143</f>
        <v/>
      </c>
      <c r="O108" s="377">
        <f>Search!V131+Search!V135+Search!V139+Search!V143</f>
        <v/>
      </c>
      <c r="P108" s="378">
        <f>(N108-O108)/O108</f>
        <v/>
      </c>
      <c r="Q108" s="505">
        <f>N108/K108</f>
        <v/>
      </c>
      <c r="R108" s="505">
        <f>O108/L108</f>
        <v/>
      </c>
      <c r="S108" s="378">
        <f>(Q108-R108)/R108</f>
        <v/>
      </c>
      <c r="T108" s="502">
        <f>E108/N108</f>
        <v/>
      </c>
      <c r="U108" s="502">
        <f>F108/O108</f>
        <v/>
      </c>
      <c r="V108" s="375">
        <f>(T108-U108)/U108</f>
        <v/>
      </c>
      <c r="W108" s="502">
        <f>B108/N108</f>
        <v/>
      </c>
      <c r="X108" s="502">
        <f>C108/O108</f>
        <v/>
      </c>
      <c r="Y108" s="378">
        <f>(W108-X108)/X108</f>
        <v/>
      </c>
      <c r="Z108" s="506">
        <f>Search!AG131+Search!AG135+Search!AG139+Search!AG143</f>
        <v/>
      </c>
      <c r="AA108" s="377">
        <f>Search!AH131+Search!AH135+Search!AH139+Search!AH143</f>
        <v/>
      </c>
      <c r="AB108" s="378">
        <f>(Z108-AA108)/AA108</f>
        <v/>
      </c>
      <c r="AC108" s="506">
        <f>Search!AK131+Search!AK135+Search!AK139+Search!AK143</f>
        <v/>
      </c>
      <c r="AD108" s="377">
        <f>Search!AL131+Search!AL135+Search!AL139+Search!AL143</f>
        <v/>
      </c>
      <c r="AE108" s="378">
        <f>(AC108-AD108)/AD108</f>
        <v/>
      </c>
      <c r="AF108" s="505">
        <f>Z108/AC108</f>
        <v/>
      </c>
      <c r="AG108" s="505">
        <f>AA108/AD108</f>
        <v/>
      </c>
      <c r="AH108" s="378">
        <f>(AF108-AG108)/AG108</f>
        <v/>
      </c>
    </row>
    <row outlineLevel="1" r="109" s="452" spans="1:34">
      <c r="A109" s="373" t="s">
        <v>36</v>
      </c>
      <c r="B109" s="502">
        <f>Search!E132+Search!E136+Search!E140+Search!E144</f>
        <v/>
      </c>
      <c r="C109" s="502">
        <f>Search!F132+Search!F136+Search!F140+Search!F144</f>
        <v/>
      </c>
      <c r="D109" s="369">
        <f>(B109-C109)/C109</f>
        <v/>
      </c>
      <c r="E109" s="502">
        <f>Search!I132+Search!I136+Search!I140+Search!I144</f>
        <v/>
      </c>
      <c r="F109" s="502">
        <f>Search!J132+Search!J136+Search!J140+Search!J144</f>
        <v/>
      </c>
      <c r="G109" s="375">
        <f>(E109-F109)/F109</f>
        <v/>
      </c>
      <c r="H109" s="503">
        <f>B109/E109</f>
        <v/>
      </c>
      <c r="I109" s="503">
        <f>C109/F109</f>
        <v/>
      </c>
      <c r="J109" s="375">
        <f>(H109-I109)/I109</f>
        <v/>
      </c>
      <c r="K109" s="377">
        <f>Search!Q132+Search!Q136+Search!Q140+Search!Q144</f>
        <v/>
      </c>
      <c r="L109" s="377">
        <f>Search!R132+Search!R136+Search!R140+Search!R144</f>
        <v/>
      </c>
      <c r="M109" s="375">
        <f>(K109-L109)/L109</f>
        <v/>
      </c>
      <c r="N109" s="377">
        <f>Search!U132+Search!U136+Search!U140+Search!U144</f>
        <v/>
      </c>
      <c r="O109" s="377">
        <f>Search!V132+Search!V136+Search!V140+Search!V144</f>
        <v/>
      </c>
      <c r="P109" s="378">
        <f>(N109-O109)/O109</f>
        <v/>
      </c>
      <c r="Q109" s="505">
        <f>N109/K109</f>
        <v/>
      </c>
      <c r="R109" s="505">
        <f>O109/L109</f>
        <v/>
      </c>
      <c r="S109" s="378">
        <f>(Q109-R109)/R109</f>
        <v/>
      </c>
      <c r="T109" s="502">
        <f>E109/N109</f>
        <v/>
      </c>
      <c r="U109" s="502">
        <f>F109/O109</f>
        <v/>
      </c>
      <c r="V109" s="375">
        <f>(T109-U109)/U109</f>
        <v/>
      </c>
      <c r="W109" s="502">
        <f>B109/N109</f>
        <v/>
      </c>
      <c r="X109" s="502">
        <f>C109/O109</f>
        <v/>
      </c>
      <c r="Y109" s="378">
        <f>(W109-X109)/X109</f>
        <v/>
      </c>
      <c r="Z109" s="506">
        <f>Search!AG132+Search!AG136+Search!AG140+Search!AG144</f>
        <v/>
      </c>
      <c r="AA109" s="377">
        <f>Search!AH132+Search!AH136+Search!AH140+Search!AH144</f>
        <v/>
      </c>
      <c r="AB109" s="378">
        <f>(Z109-AA109)/AA109</f>
        <v/>
      </c>
      <c r="AC109" s="506">
        <f>Search!AK132+Search!AK136+Search!AK140+Search!AK144</f>
        <v/>
      </c>
      <c r="AD109" s="377">
        <f>Search!AL132+Search!AL136+Search!AL140+Search!AL144</f>
        <v/>
      </c>
      <c r="AE109" s="378">
        <f>(AC109-AD109)/AD109</f>
        <v/>
      </c>
      <c r="AF109" s="505">
        <f>Z109/AC109</f>
        <v/>
      </c>
      <c r="AG109" s="505">
        <f>AA109/AD109</f>
        <v/>
      </c>
      <c r="AH109" s="378">
        <f>(AF109-AG109)/AG109</f>
        <v/>
      </c>
    </row>
    <row outlineLevel="1" r="110" s="452" spans="1:34">
      <c r="A110" s="373" t="s">
        <v>37</v>
      </c>
      <c r="B110" s="502">
        <f>Search!E133+Search!E137+Search!E141+Search!E145</f>
        <v/>
      </c>
      <c r="C110" s="502">
        <f>Search!F133+Search!F137+Search!F141+Search!F145</f>
        <v/>
      </c>
      <c r="D110" s="369">
        <f>(B110-C110)/C110</f>
        <v/>
      </c>
      <c r="E110" s="502">
        <f>Search!I133+Search!I137+Search!I141+Search!I145</f>
        <v/>
      </c>
      <c r="F110" s="502">
        <f>Search!J133+Search!J137+Search!J141+Search!J145</f>
        <v/>
      </c>
      <c r="G110" s="375">
        <f>(E110-F110)/F110</f>
        <v/>
      </c>
      <c r="H110" s="503">
        <f>B110/E110</f>
        <v/>
      </c>
      <c r="I110" s="503">
        <f>C110/F110</f>
        <v/>
      </c>
      <c r="J110" s="375">
        <f>(H110-I110)/I110</f>
        <v/>
      </c>
      <c r="K110" s="377">
        <f>Search!Q133+Search!Q137+Search!Q141+Search!Q145</f>
        <v/>
      </c>
      <c r="L110" s="377">
        <f>Search!R133+Search!R137+Search!R141+Search!R145</f>
        <v/>
      </c>
      <c r="M110" s="375">
        <f>(K110-L110)/L110</f>
        <v/>
      </c>
      <c r="N110" s="377">
        <f>Search!U133+Search!U137+Search!U141+Search!U145</f>
        <v/>
      </c>
      <c r="O110" s="377">
        <f>Search!V133+Search!V137+Search!V141+Search!V145</f>
        <v/>
      </c>
      <c r="P110" s="378">
        <f>(N110-O110)/O110</f>
        <v/>
      </c>
      <c r="Q110" s="505">
        <f>N110/K110</f>
        <v/>
      </c>
      <c r="R110" s="505">
        <f>O110/L110</f>
        <v/>
      </c>
      <c r="S110" s="378">
        <f>(Q110-R110)/R110</f>
        <v/>
      </c>
      <c r="T110" s="502">
        <f>E110/N110</f>
        <v/>
      </c>
      <c r="U110" s="502">
        <f>F110/O110</f>
        <v/>
      </c>
      <c r="V110" s="375">
        <f>(T110-U110)/U110</f>
        <v/>
      </c>
      <c r="W110" s="502">
        <f>B110/N110</f>
        <v/>
      </c>
      <c r="X110" s="502">
        <f>C110/O110</f>
        <v/>
      </c>
      <c r="Y110" s="378">
        <f>(W110-X110)/X110</f>
        <v/>
      </c>
      <c r="Z110" s="506">
        <f>Search!AG133+Search!AG137+Search!AG141+Search!AG145</f>
        <v/>
      </c>
      <c r="AA110" s="377">
        <f>Search!AH133+Search!AH137+Search!AH141+Search!AH145</f>
        <v/>
      </c>
      <c r="AB110" s="378">
        <f>(Z110-AA110)/AA110</f>
        <v/>
      </c>
      <c r="AC110" s="506">
        <f>Search!AK133+Search!AK137+Search!AK141+Search!AK145</f>
        <v/>
      </c>
      <c r="AD110" s="377">
        <f>Search!AL133+Search!AL137+Search!AL141+Search!AL145</f>
        <v/>
      </c>
      <c r="AE110" s="378">
        <f>(AC110-AD110)/AD110</f>
        <v/>
      </c>
      <c r="AF110" s="505">
        <f>Z110/AC110</f>
        <v/>
      </c>
      <c r="AG110" s="505">
        <f>AA110/AD110</f>
        <v/>
      </c>
      <c r="AH110" s="378">
        <f>(AF110-AG110)/AG110</f>
        <v/>
      </c>
    </row>
    <row customFormat="1" customHeight="1" ht="21" r="111" s="367" spans="1:34">
      <c r="A111" s="380" t="s">
        <v>27</v>
      </c>
      <c r="B111" s="497">
        <f>Affiliate!D34+Affiliate!D35+Affiliate!D36+Affiliate!D37</f>
        <v/>
      </c>
      <c r="C111" s="497">
        <f>Affiliate!E34+Affiliate!E35+Affiliate!E36+Affiliate!E37</f>
        <v/>
      </c>
      <c r="D111" s="369">
        <f>(B111-C111)/C111</f>
        <v/>
      </c>
      <c r="E111" s="497">
        <f>Affiliate!H34+Affiliate!H35+Affiliate!H36+Affiliate!H37</f>
        <v/>
      </c>
      <c r="F111" s="497">
        <f>Affiliate!I34+Affiliate!I35+Affiliate!I36+Affiliate!I37</f>
        <v/>
      </c>
      <c r="G111" s="369">
        <f>(E111-F111)/F111</f>
        <v/>
      </c>
      <c r="H111" s="498">
        <f>B111/E111</f>
        <v/>
      </c>
      <c r="I111" s="498">
        <f>C111/F111</f>
        <v/>
      </c>
      <c r="J111" s="369">
        <f>(H111-I111)/I111</f>
        <v/>
      </c>
      <c r="K111" s="371">
        <f>Affiliate!AF34+Affiliate!AF35+Affiliate!AF36+Affiliate!AF37</f>
        <v/>
      </c>
      <c r="L111" s="371">
        <f>Affiliate!AG34+Affiliate!AG35+Affiliate!AG36+Affiliate!AG37</f>
        <v/>
      </c>
      <c r="M111" s="369">
        <f>(K111-L111)/L111</f>
        <v/>
      </c>
      <c r="N111" s="371">
        <f>Affiliate!AJ34+Affiliate!AJ35+Affiliate!AJ36+Affiliate!AJ37</f>
        <v/>
      </c>
      <c r="O111" s="371">
        <f>Affiliate!AK34+Affiliate!AK35+Affiliate!AK36+Affiliate!AK37</f>
        <v/>
      </c>
      <c r="P111" s="381">
        <f>(N111-O111)/O111</f>
        <v/>
      </c>
      <c r="Q111" s="507">
        <f>N111/K111</f>
        <v/>
      </c>
      <c r="R111" s="507">
        <f>O111/L111</f>
        <v/>
      </c>
      <c r="S111" s="381">
        <f>(Q111-R111)/R111</f>
        <v/>
      </c>
      <c r="T111" s="508">
        <f>E111/N111</f>
        <v/>
      </c>
      <c r="U111" s="508">
        <f>F111/O111</f>
        <v/>
      </c>
      <c r="V111" s="369">
        <f>(T111-U111)/U111</f>
        <v/>
      </c>
      <c r="W111" s="508">
        <f>B111/N111</f>
        <v/>
      </c>
      <c r="X111" s="508">
        <f>C111/O111</f>
        <v/>
      </c>
      <c r="Y111" s="381">
        <f>(W111-X111)/X111</f>
        <v/>
      </c>
      <c r="Z111" s="509" t="n"/>
      <c r="AA111" s="384" t="n"/>
      <c r="AB111" s="381">
        <f>(Z111-AA111)/AA111</f>
        <v/>
      </c>
      <c r="AC111" s="509" t="n"/>
      <c r="AD111" s="384" t="n"/>
      <c r="AE111" s="381">
        <f>(AC111-AD111)/AD111</f>
        <v/>
      </c>
      <c r="AF111" s="510" t="n"/>
      <c r="AG111" s="510" t="n"/>
      <c r="AH111" s="381">
        <f>(AF111-AG111)/AG111</f>
        <v/>
      </c>
    </row>
    <row customFormat="1" customHeight="1" ht="20.1" r="112" s="367" spans="1:34">
      <c r="A112" s="367" t="s">
        <v>28</v>
      </c>
      <c r="B112" s="497">
        <f>SUM(B113:B114)</f>
        <v/>
      </c>
      <c r="C112" s="497">
        <f>SUM(C113:C114)</f>
        <v/>
      </c>
      <c r="D112" s="369">
        <f>(B112-C112)/C112</f>
        <v/>
      </c>
      <c r="E112" s="497">
        <f>SUM(E113:E114)</f>
        <v/>
      </c>
      <c r="F112" s="497">
        <f>SUM(F113:F114)</f>
        <v/>
      </c>
      <c r="G112" s="369">
        <f>(E112-F112)/F112</f>
        <v/>
      </c>
      <c r="H112" s="498">
        <f>B112/E112</f>
        <v/>
      </c>
      <c r="I112" s="498">
        <f>C112/F112</f>
        <v/>
      </c>
      <c r="J112" s="369">
        <f>(H112-I112)/I112</f>
        <v/>
      </c>
      <c r="K112" s="371">
        <f>SUM(K113:K114)</f>
        <v/>
      </c>
      <c r="L112" s="371">
        <f>SUM(L113:L114)</f>
        <v/>
      </c>
      <c r="M112" s="369">
        <f>(K112-L112)/L112</f>
        <v/>
      </c>
      <c r="N112" s="371">
        <f>SUM(N113:N114)</f>
        <v/>
      </c>
      <c r="O112" s="371">
        <f>SUM(O113:O114)</f>
        <v/>
      </c>
      <c r="P112" s="381">
        <f>(N112-O112)/O112</f>
        <v/>
      </c>
      <c r="Q112" s="507">
        <f>N112/K112</f>
        <v/>
      </c>
      <c r="R112" s="507">
        <f>O112/L112</f>
        <v/>
      </c>
      <c r="S112" s="381">
        <f>(Q112-R112)/R112</f>
        <v/>
      </c>
      <c r="T112" s="508">
        <f>E112/N112</f>
        <v/>
      </c>
      <c r="U112" s="508">
        <f>F112/O112</f>
        <v/>
      </c>
      <c r="V112" s="369">
        <f>(T112-U112)/U112</f>
        <v/>
      </c>
      <c r="W112" s="508">
        <f>B112/N112</f>
        <v/>
      </c>
      <c r="X112" s="508">
        <f>C112/O112</f>
        <v/>
      </c>
      <c r="Y112" s="381">
        <f>(W112-X112)/X112</f>
        <v/>
      </c>
      <c r="Z112" s="501">
        <f>SUM(Z113:Z114)</f>
        <v/>
      </c>
      <c r="AA112" s="371">
        <f>SUM(AA113:AA114)</f>
        <v/>
      </c>
      <c r="AB112" s="381">
        <f>(Z112-AA112)/AA112</f>
        <v/>
      </c>
      <c r="AC112" s="501">
        <f>SUM(AC113:AC114)</f>
        <v/>
      </c>
      <c r="AD112" s="371">
        <f>SUM(AD113:AD114)</f>
        <v/>
      </c>
      <c r="AE112" s="381">
        <f>(AC112-AD112)/AD112</f>
        <v/>
      </c>
      <c r="AF112" s="507">
        <f>Z112/AC112</f>
        <v/>
      </c>
      <c r="AG112" s="507">
        <f>AA112/AD112</f>
        <v/>
      </c>
      <c r="AH112" s="381">
        <f>(AF112-AG112)/AG112</f>
        <v/>
      </c>
    </row>
    <row outlineLevel="1" r="113" s="452" spans="1:34">
      <c r="A113" s="373" t="s">
        <v>38</v>
      </c>
      <c r="B113" s="502">
        <f>'Social - Promos'!E194+'Social - Promos'!E200+'Social - Promos'!E206+'Social - Promos'!E212</f>
        <v/>
      </c>
      <c r="C113" s="502">
        <f>'Social - Promos'!F194+'Social - Promos'!F200+'Social - Promos'!F206+'Social - Promos'!F212</f>
        <v/>
      </c>
      <c r="D113" s="369">
        <f>(B113-C113)/C113</f>
        <v/>
      </c>
      <c r="E113" s="502">
        <f>'Social - Promos'!K194+'Social - Promos'!K200+'Social - Promos'!K206+'Social - Promos'!K212</f>
        <v/>
      </c>
      <c r="F113" s="502">
        <f>'Social - Promos'!L194+'Social - Promos'!L200+'Social - Promos'!L206+'Social - Promos'!L212</f>
        <v/>
      </c>
      <c r="G113" s="375">
        <f>(E113-F113)/F113</f>
        <v/>
      </c>
      <c r="H113" s="484">
        <f>B113/E113</f>
        <v/>
      </c>
      <c r="I113" s="484">
        <f>C113/F113</f>
        <v/>
      </c>
      <c r="J113" s="375">
        <f>(H113-I113)/I113</f>
        <v/>
      </c>
      <c r="K113" s="377">
        <f>'Social - Promos'!T194+'Social - Promos'!T200+'Social - Promos'!T206+'Social - Promos'!T212</f>
        <v/>
      </c>
      <c r="L113" s="377">
        <f>'Social - Promos'!U194+'Social - Promos'!U200+'Social - Promos'!U206+'Social - Promos'!U212</f>
        <v/>
      </c>
      <c r="M113" s="375">
        <f>(K113-L113)/L113</f>
        <v/>
      </c>
      <c r="N113" s="377">
        <f>'Social - Promos'!W194+'Social - Promos'!W200+'Social - Promos'!W206+'Social - Promos'!W212</f>
        <v/>
      </c>
      <c r="O113" s="377">
        <f>'Social - Promos'!X194+'Social - Promos'!X200+'Social - Promos'!X206+'Social - Promos'!X212</f>
        <v/>
      </c>
      <c r="P113" s="378">
        <f>(N113-O113)/O113</f>
        <v/>
      </c>
      <c r="Q113" s="505">
        <f>N113/K113</f>
        <v/>
      </c>
      <c r="R113" s="505">
        <f>O113/L113</f>
        <v/>
      </c>
      <c r="S113" s="378">
        <f>(Q113-R113)/R113</f>
        <v/>
      </c>
      <c r="T113" s="502">
        <f>E113/N113</f>
        <v/>
      </c>
      <c r="U113" s="502">
        <f>F113/O113</f>
        <v/>
      </c>
      <c r="V113" s="375">
        <f>(T113-U113)/U113</f>
        <v/>
      </c>
      <c r="W113" s="502">
        <f>B113/N113</f>
        <v/>
      </c>
      <c r="X113" s="502">
        <f>C113/O113</f>
        <v/>
      </c>
      <c r="Y113" s="378">
        <f>(W113-X113)/X113</f>
        <v/>
      </c>
      <c r="Z113" s="506">
        <f>'Social - Promos'!AF194+'Social - Promos'!AF200+'Social - Promos'!AF206+'Social - Promos'!AF212</f>
        <v/>
      </c>
      <c r="AA113" s="377">
        <f>'Social - Promos'!AG194+'Social - Promos'!AG200+'Social - Promos'!AG206+'Social - Promos'!AG212</f>
        <v/>
      </c>
      <c r="AB113" s="378">
        <f>(Z113-AA113)/AA113</f>
        <v/>
      </c>
      <c r="AC113" s="506">
        <f>'Social - Promos'!AI194+'Social - Promos'!AI200+'Social - Promos'!AI206+'Social - Promos'!AI212</f>
        <v/>
      </c>
      <c r="AD113" s="377">
        <f>'Social - Promos'!AJ194+'Social - Promos'!AJ200+'Social - Promos'!AJ206+'Social - Promos'!AJ212</f>
        <v/>
      </c>
      <c r="AE113" s="378">
        <f>(AC113-AD113)/AD113</f>
        <v/>
      </c>
      <c r="AF113" s="505">
        <f>Z113/AC113</f>
        <v/>
      </c>
      <c r="AG113" s="505">
        <f>AA113/AD113</f>
        <v/>
      </c>
      <c r="AH113" s="378">
        <f>(AF113-AG113)/AG113</f>
        <v/>
      </c>
    </row>
    <row outlineLevel="1" r="114" s="452" spans="1:34">
      <c r="A114" s="373" t="s">
        <v>39</v>
      </c>
      <c r="B114" s="502">
        <f>'Social - Remarketing'!D34+'Social - Remarketing'!D35+'Social - Remarketing'!D36+'Social - Remarketing'!D37</f>
        <v/>
      </c>
      <c r="C114" s="502">
        <f>'Social - Remarketing'!E34+'Social - Remarketing'!E35+'Social - Remarketing'!E36+'Social - Remarketing'!E37</f>
        <v/>
      </c>
      <c r="D114" s="369">
        <f>(B114-C114)/C114</f>
        <v/>
      </c>
      <c r="E114" s="502">
        <f>'Social - Remarketing'!H34+'Social - Remarketing'!H35+'Social - Remarketing'!H36+'Social - Remarketing'!H37</f>
        <v/>
      </c>
      <c r="F114" s="502">
        <f>'Social - Remarketing'!I34+'Social - Remarketing'!I35+'Social - Remarketing'!I36+'Social - Remarketing'!I37</f>
        <v/>
      </c>
      <c r="G114" s="369">
        <f>(E114-F114)/F114</f>
        <v/>
      </c>
      <c r="H114" s="484">
        <f>B114/E114</f>
        <v/>
      </c>
      <c r="I114" s="484">
        <f>C114/F114</f>
        <v/>
      </c>
      <c r="J114" s="369">
        <f>(H114-I114)/I114</f>
        <v/>
      </c>
      <c r="K114" s="377">
        <f>'Social - Remarketing'!X34+'Social - Remarketing'!X35+'Social - Remarketing'!X36+'Social - Remarketing'!X37</f>
        <v/>
      </c>
      <c r="L114" s="377">
        <f>'Social - Remarketing'!Y34+'Social - Remarketing'!Y35+'Social - Remarketing'!Y36+'Social - Remarketing'!Y37</f>
        <v/>
      </c>
      <c r="M114" s="375">
        <f>(K114-L114)/L114</f>
        <v/>
      </c>
      <c r="N114" s="377">
        <f>'Social - Remarketing'!AB34+'Social - Remarketing'!AB35+'Social - Remarketing'!AB36+'Social - Remarketing'!AB37</f>
        <v/>
      </c>
      <c r="O114" s="377">
        <f>'Social - Remarketing'!AC34+'Social - Remarketing'!AC35+'Social - Remarketing'!AC36+'Social - Remarketing'!AC37</f>
        <v/>
      </c>
      <c r="P114" s="378">
        <f>(N114-O114)/O114</f>
        <v/>
      </c>
      <c r="Q114" s="505">
        <f>N114/K114</f>
        <v/>
      </c>
      <c r="R114" s="505">
        <f>O114/L114</f>
        <v/>
      </c>
      <c r="S114" s="378">
        <f>(Q114-R114)/R114</f>
        <v/>
      </c>
      <c r="T114" s="502">
        <f>E114/N114</f>
        <v/>
      </c>
      <c r="U114" s="502">
        <f>F114/O114</f>
        <v/>
      </c>
      <c r="V114" s="375">
        <f>(T114-U114)/U114</f>
        <v/>
      </c>
      <c r="W114" s="502">
        <f>B114/N114</f>
        <v/>
      </c>
      <c r="X114" s="502">
        <f>C114/O114</f>
        <v/>
      </c>
      <c r="Y114" s="378">
        <f>(W114-X114)/X114</f>
        <v/>
      </c>
      <c r="Z114" s="506">
        <f>'Social - Remarketing'!AN34+'Social - Remarketing'!AN35+'Social - Remarketing'!AN36+'Social - Remarketing'!AN37</f>
        <v/>
      </c>
      <c r="AA114" s="377">
        <f>'Social - Remarketing'!AO34+'Social - Remarketing'!AO35+'Social - Remarketing'!AO36+'Social - Remarketing'!AO37</f>
        <v/>
      </c>
      <c r="AB114" s="378">
        <f>(Z114-AA114)/AA114</f>
        <v/>
      </c>
      <c r="AC114" s="506">
        <f>'Social - Remarketing'!AR34+'Social - Remarketing'!AR35+'Social - Remarketing'!AR36+'Social - Remarketing'!AR37</f>
        <v/>
      </c>
      <c r="AD114" s="377">
        <f>'Social - Remarketing'!AS34+'Social - Remarketing'!AS35+'Social - Remarketing'!AS36+'Social - Remarketing'!AS37</f>
        <v/>
      </c>
      <c r="AE114" s="378">
        <f>(AC114-AD114)/AD114</f>
        <v/>
      </c>
      <c r="AF114" s="505">
        <f>Z114/AC114</f>
        <v/>
      </c>
      <c r="AG114" s="505">
        <f>AA114/AD114</f>
        <v/>
      </c>
      <c r="AH114" s="378">
        <f>(AF114-AG114)/AG114</f>
        <v/>
      </c>
    </row>
    <row customFormat="1" customHeight="1" ht="21" r="115" s="367" spans="1:34">
      <c r="A115" s="367" t="s">
        <v>29</v>
      </c>
      <c r="B115" s="497">
        <f>SUM(B116:B117)</f>
        <v/>
      </c>
      <c r="C115" s="497">
        <f>SUM(C116:C117)</f>
        <v/>
      </c>
      <c r="D115" s="369">
        <f>(B115-C115)/C115</f>
        <v/>
      </c>
      <c r="E115" s="497">
        <f>SUM(E116:E117)</f>
        <v/>
      </c>
      <c r="F115" s="497">
        <f>SUM(F116:F117)</f>
        <v/>
      </c>
      <c r="G115" s="369">
        <f>(E115-F115)/F115</f>
        <v/>
      </c>
      <c r="H115" s="498">
        <f>B115/E115</f>
        <v/>
      </c>
      <c r="I115" s="498">
        <f>C115/F115</f>
        <v/>
      </c>
      <c r="J115" s="369">
        <f>(H115-I115)/I115</f>
        <v/>
      </c>
      <c r="K115" s="371">
        <f>SUM(K116:K117)</f>
        <v/>
      </c>
      <c r="L115" s="371">
        <f>SUM(L116:L117)</f>
        <v/>
      </c>
      <c r="M115" s="369">
        <f>(K115-L115)/L115</f>
        <v/>
      </c>
      <c r="N115" s="371">
        <f>SUM(N116:N117)</f>
        <v/>
      </c>
      <c r="O115" s="371">
        <f>SUM(O116:O117)</f>
        <v/>
      </c>
      <c r="P115" s="381">
        <f>(N115-O115)/O115</f>
        <v/>
      </c>
      <c r="Q115" s="507">
        <f>N115/K115</f>
        <v/>
      </c>
      <c r="R115" s="507">
        <f>O115/L115</f>
        <v/>
      </c>
      <c r="S115" s="381">
        <f>(Q115-R115)/R115</f>
        <v/>
      </c>
      <c r="T115" s="508">
        <f>E115/N115</f>
        <v/>
      </c>
      <c r="U115" s="508">
        <f>F115/O115</f>
        <v/>
      </c>
      <c r="V115" s="369">
        <f>(T115-U115)/U115</f>
        <v/>
      </c>
      <c r="W115" s="508">
        <f>B115/N115</f>
        <v/>
      </c>
      <c r="X115" s="508">
        <f>C115/O115</f>
        <v/>
      </c>
      <c r="Y115" s="381">
        <f>(W115-X115)/X115</f>
        <v/>
      </c>
      <c r="Z115" s="501">
        <f>SUM(Z116:Z117)</f>
        <v/>
      </c>
      <c r="AA115" s="371">
        <f>SUM(AA116:AA117)</f>
        <v/>
      </c>
      <c r="AB115" s="381">
        <f>(Z115-AA115)/AA115</f>
        <v/>
      </c>
      <c r="AC115" s="501">
        <f>SUM(AC116:AC117)</f>
        <v/>
      </c>
      <c r="AD115" s="371">
        <f>SUM(AD116:AD117)</f>
        <v/>
      </c>
      <c r="AE115" s="381">
        <f>(AC115-AD115)/AD115</f>
        <v/>
      </c>
      <c r="AF115" s="507">
        <f>Z115/AC115</f>
        <v/>
      </c>
      <c r="AG115" s="507">
        <f>AA115/AD115</f>
        <v/>
      </c>
      <c r="AH115" s="381">
        <f>(AF115-AG115)/AG115</f>
        <v/>
      </c>
    </row>
    <row outlineLevel="1" r="116" s="452" spans="1:34">
      <c r="A116" s="373" t="s">
        <v>38</v>
      </c>
      <c r="B116" s="502">
        <f>'Display - Promos'!E130+'Display - Promos'!E134+'Display - Promos'!E138+'Display - Promos'!E142</f>
        <v/>
      </c>
      <c r="C116" s="502">
        <f>'Display - Promos'!F130+'Display - Promos'!F134+'Display - Promos'!F138+'Display - Promos'!F142</f>
        <v/>
      </c>
      <c r="D116" s="375">
        <f>(B116-C116)/C116</f>
        <v/>
      </c>
      <c r="E116" s="502">
        <f>'Display - Promos'!H130+'Display - Promos'!H134+'Display - Promos'!H138+'Display - Promos'!H142</f>
        <v/>
      </c>
      <c r="F116" s="502">
        <f>'Display - Promos'!I130+'Display - Promos'!I134+'Display - Promos'!I138+'Display - Promos'!I142</f>
        <v/>
      </c>
      <c r="G116" s="375">
        <f>(E116-F116)/F116</f>
        <v/>
      </c>
      <c r="H116" s="484">
        <f>B116/E116</f>
        <v/>
      </c>
      <c r="I116" s="484">
        <f>C116/F116</f>
        <v/>
      </c>
      <c r="J116" s="369">
        <f>(H116-I116)/I116</f>
        <v/>
      </c>
      <c r="K116" s="377">
        <f>'Display - Promos'!N130+'Display - Promos'!N134+'Display - Promos'!N138+'Display - Promos'!N142</f>
        <v/>
      </c>
      <c r="L116" s="377">
        <f>'Display - Promos'!O130+'Display - Promos'!O134+'Display - Promos'!O138+'Display - Promos'!O142</f>
        <v/>
      </c>
      <c r="M116" s="375">
        <f>(K116-L116)/L116</f>
        <v/>
      </c>
      <c r="N116" s="377">
        <f>'Display - Promos'!Q130+'Display - Promos'!Q134+'Display - Promos'!Q138+'Display - Promos'!Q142</f>
        <v/>
      </c>
      <c r="O116" s="377">
        <f>'Display - Promos'!R130+'Display - Promos'!R134+'Display - Promos'!R138+'Display - Promos'!R142</f>
        <v/>
      </c>
      <c r="P116" s="378">
        <f>(N116-O116)/O116</f>
        <v/>
      </c>
      <c r="Q116" s="505">
        <f>N116/K116</f>
        <v/>
      </c>
      <c r="R116" s="505">
        <f>O116/L116</f>
        <v/>
      </c>
      <c r="S116" s="378">
        <f>(Q116-R116)/R116</f>
        <v/>
      </c>
      <c r="T116" s="502">
        <f>E116/N116</f>
        <v/>
      </c>
      <c r="U116" s="502">
        <f>F116/O116</f>
        <v/>
      </c>
      <c r="V116" s="375">
        <f>(T116-U116)/U116</f>
        <v/>
      </c>
      <c r="W116" s="502">
        <f>B116/N116</f>
        <v/>
      </c>
      <c r="X116" s="502">
        <f>C116/O116</f>
        <v/>
      </c>
      <c r="Y116" s="378">
        <f>(W116-X116)/X116</f>
        <v/>
      </c>
      <c r="Z116" s="506">
        <f>'Display - Promos'!W130+'Display - Promos'!W134+'Display - Promos'!W138+'Display - Promos'!W142</f>
        <v/>
      </c>
      <c r="AA116" s="377">
        <f>'Display - Promos'!X130+'Display - Promos'!X134+'Display - Promos'!X138+'Display - Promos'!X142</f>
        <v/>
      </c>
      <c r="AB116" s="378">
        <f>(Z116-AA116)/AA116</f>
        <v/>
      </c>
      <c r="AC116" s="506">
        <f>'Display - Promos'!Z130+'Display - Promos'!Z134+'Display - Promos'!Z138+'Display - Promos'!Z142</f>
        <v/>
      </c>
      <c r="AD116" s="377">
        <f>'Display - Promos'!AA130+'Display - Promos'!AA134+'Display - Promos'!AA138+'Display - Promos'!AA142</f>
        <v/>
      </c>
      <c r="AE116" s="378">
        <f>(AC116-AD116)/AD116</f>
        <v/>
      </c>
      <c r="AF116" s="505">
        <f>Z116/AC116</f>
        <v/>
      </c>
      <c r="AG116" s="505">
        <f>AA116/AD116</f>
        <v/>
      </c>
      <c r="AH116" s="378">
        <f>(AF116-AG116)/AG116</f>
        <v/>
      </c>
    </row>
    <row customHeight="1" ht="19.5" outlineLevel="1" r="117" s="452" spans="1:34" thickBot="1">
      <c r="A117" s="373" t="s">
        <v>39</v>
      </c>
      <c r="B117" s="502">
        <f>'Display - Remarketing'!D34+'Display - Remarketing'!D35+'Display - Remarketing'!D36+'Display - Remarketing'!D37</f>
        <v/>
      </c>
      <c r="C117" s="502">
        <f>'Display - Remarketing'!E34+'Display - Remarketing'!E35+'Display - Remarketing'!E36+'Display - Remarketing'!E37</f>
        <v/>
      </c>
      <c r="D117" s="369">
        <f>(B117-C117)/C117</f>
        <v/>
      </c>
      <c r="E117" s="502">
        <f>'Display - Remarketing'!H34+'Display - Remarketing'!H35+'Display - Remarketing'!H36+'Display - Remarketing'!H37</f>
        <v/>
      </c>
      <c r="F117" s="502">
        <f>'Display - Remarketing'!I34+'Display - Remarketing'!I35+'Display - Remarketing'!I36+'Display - Remarketing'!I37</f>
        <v/>
      </c>
      <c r="G117" s="369">
        <f>(E117-F117)/F117</f>
        <v/>
      </c>
      <c r="H117" s="484">
        <f>B117/E117</f>
        <v/>
      </c>
      <c r="I117" s="484">
        <f>C117/F117</f>
        <v/>
      </c>
      <c r="J117" s="369">
        <f>(H117-I117)/I117</f>
        <v/>
      </c>
      <c r="K117" s="377">
        <f>'Display - Remarketing'!H34+'Display - Remarketing'!H35+'Display - Remarketing'!H36+'Display - Remarketing'!H37</f>
        <v/>
      </c>
      <c r="L117" s="377">
        <f>'Display - Remarketing'!I34+'Display - Remarketing'!I35+'Display - Remarketing'!I36+'Display - Remarketing'!I37</f>
        <v/>
      </c>
      <c r="M117" s="375">
        <f>(K117-L117)/L117</f>
        <v/>
      </c>
      <c r="N117" s="377">
        <f>'Display - Remarketing'!T34+'Display - Remarketing'!T35+'Display - Remarketing'!T36+'Display - Remarketing'!T37</f>
        <v/>
      </c>
      <c r="O117" s="377">
        <f>'Display - Remarketing'!U34+'Display - Remarketing'!U35+'Display - Remarketing'!U36+'Display - Remarketing'!U37</f>
        <v/>
      </c>
      <c r="P117" s="378">
        <f>(N117-O117)/O117</f>
        <v/>
      </c>
      <c r="Q117" s="505">
        <f>N117/K117</f>
        <v/>
      </c>
      <c r="R117" s="505">
        <f>O117/L117</f>
        <v/>
      </c>
      <c r="S117" s="378">
        <f>(Q117-R117)/R117</f>
        <v/>
      </c>
      <c r="T117" s="502">
        <f>E117/N117</f>
        <v/>
      </c>
      <c r="U117" s="502">
        <f>F117/O117</f>
        <v/>
      </c>
      <c r="V117" s="375">
        <f>(T117-U117)/U117</f>
        <v/>
      </c>
      <c r="W117" s="502">
        <f>B117/N117</f>
        <v/>
      </c>
      <c r="X117" s="502">
        <f>C117/O117</f>
        <v/>
      </c>
      <c r="Y117" s="378">
        <f>(W117-X117)/X117</f>
        <v/>
      </c>
      <c r="Z117" s="506">
        <f>'Display - Remarketing'!AB34+'Display - Remarketing'!AB35+'Display - Remarketing'!AB36+'Display - Remarketing'!AB37</f>
        <v/>
      </c>
      <c r="AA117" s="377">
        <f>'Display - Remarketing'!AC34+'Display - Remarketing'!AC35+'Display - Remarketing'!AC36+'Display - Remarketing'!AC37</f>
        <v/>
      </c>
      <c r="AB117" s="378">
        <f>(Z117-AA117)/AA117</f>
        <v/>
      </c>
      <c r="AC117" s="506">
        <f>'Display - Remarketing'!AF34+'Display - Remarketing'!AF35+'Display - Remarketing'!AF36+'Display - Remarketing'!AF37</f>
        <v/>
      </c>
      <c r="AD117" s="377" t="n"/>
      <c r="AE117" s="378">
        <f>(AC117-AD117)/AD117</f>
        <v/>
      </c>
      <c r="AF117" s="505">
        <f>Z117/AC117</f>
        <v/>
      </c>
      <c r="AG117" s="505">
        <f>AA117/AD117</f>
        <v/>
      </c>
      <c r="AH117" s="378">
        <f>(AF117-AG117)/AG117</f>
        <v/>
      </c>
    </row>
    <row customFormat="1" customHeight="1" ht="22.5" r="118" s="395" spans="1:34" thickBot="1" thickTop="1">
      <c r="A118" s="387" t="s">
        <v>40</v>
      </c>
      <c r="B118" s="511">
        <f>B107+B111+B112+B115</f>
        <v/>
      </c>
      <c r="C118" s="511">
        <f>C107+C111+C112+C115</f>
        <v/>
      </c>
      <c r="D118" s="389">
        <f>(B118-C118)/C118</f>
        <v/>
      </c>
      <c r="E118" s="511">
        <f>E107+E111+E112+E115</f>
        <v/>
      </c>
      <c r="F118" s="511">
        <f>F107+F111+F112+F115</f>
        <v/>
      </c>
      <c r="G118" s="390">
        <f>(E118-F118)/F118</f>
        <v/>
      </c>
      <c r="H118" s="512">
        <f>B118/E118</f>
        <v/>
      </c>
      <c r="I118" s="512">
        <f>C118/F118</f>
        <v/>
      </c>
      <c r="J118" s="390">
        <f>(H118-I118)/I118</f>
        <v/>
      </c>
      <c r="K118" s="513">
        <f>K107+K111+K112+K115</f>
        <v/>
      </c>
      <c r="L118" s="513">
        <f>L107+L111+L112+L115</f>
        <v/>
      </c>
      <c r="M118" s="390">
        <f>(K118-L118)/L118</f>
        <v/>
      </c>
      <c r="N118" s="513">
        <f>N107+N111+N112+N115</f>
        <v/>
      </c>
      <c r="O118" s="513">
        <f>O107+O111+O112+O115</f>
        <v/>
      </c>
      <c r="P118" s="389">
        <f>(N118-O118)/O118</f>
        <v/>
      </c>
      <c r="Q118" s="514">
        <f>N118/K118</f>
        <v/>
      </c>
      <c r="R118" s="514">
        <f>O118/L118</f>
        <v/>
      </c>
      <c r="S118" s="389">
        <f>(Q118-R118)/R118</f>
        <v/>
      </c>
      <c r="T118" s="511">
        <f>E118/N118</f>
        <v/>
      </c>
      <c r="U118" s="511">
        <f>F118/O118</f>
        <v/>
      </c>
      <c r="V118" s="390">
        <f>(T118-U118)/U118</f>
        <v/>
      </c>
      <c r="W118" s="511">
        <f>B118/N118</f>
        <v/>
      </c>
      <c r="X118" s="511">
        <f>C118/O118</f>
        <v/>
      </c>
      <c r="Y118" s="389">
        <f>(W118-X118)/X118</f>
        <v/>
      </c>
      <c r="Z118" s="515">
        <f>Z107+Z111+Z112+Z115</f>
        <v/>
      </c>
      <c r="AA118" s="516">
        <f>AA107+AA111+AA112+AA115</f>
        <v/>
      </c>
      <c r="AB118" s="389">
        <f>(Z118-AA118)/AA118</f>
        <v/>
      </c>
      <c r="AC118" s="515">
        <f>AC107+AC111+AC112+AC115</f>
        <v/>
      </c>
      <c r="AD118" s="513">
        <f>AD107+AD111+AD112+AD115</f>
        <v/>
      </c>
      <c r="AE118" s="389">
        <f>(AC118-AD118)/AD118</f>
        <v/>
      </c>
      <c r="AF118" s="514">
        <f>Z118/AC118</f>
        <v/>
      </c>
      <c r="AG118" s="514">
        <f>AA118/AD118</f>
        <v/>
      </c>
      <c r="AH118" s="389">
        <f>(AF118-AG118)/AG118</f>
        <v/>
      </c>
    </row>
    <row r="119" spans="1:34">
      <c r="A119" s="359" t="s">
        <v>49</v>
      </c>
      <c r="B119" s="488" t="s">
        <v>1</v>
      </c>
      <c r="C119" s="488" t="s">
        <v>2</v>
      </c>
      <c r="D119" s="489" t="s">
        <v>3</v>
      </c>
      <c r="E119" s="488" t="s">
        <v>4</v>
      </c>
      <c r="F119" s="488" t="s">
        <v>5</v>
      </c>
      <c r="G119" s="489" t="s">
        <v>3</v>
      </c>
      <c r="H119" s="490" t="s">
        <v>6</v>
      </c>
      <c r="I119" s="490" t="s">
        <v>7</v>
      </c>
      <c r="J119" s="489" t="s">
        <v>3</v>
      </c>
      <c r="K119" s="490" t="s">
        <v>8</v>
      </c>
      <c r="L119" s="491" t="s">
        <v>9</v>
      </c>
      <c r="M119" s="489" t="s">
        <v>3</v>
      </c>
      <c r="N119" s="491" t="s">
        <v>10</v>
      </c>
      <c r="O119" s="491" t="s">
        <v>11</v>
      </c>
      <c r="P119" s="489" t="s">
        <v>3</v>
      </c>
      <c r="Q119" s="491" t="s">
        <v>12</v>
      </c>
      <c r="R119" s="491" t="s">
        <v>13</v>
      </c>
      <c r="S119" s="489" t="s">
        <v>3</v>
      </c>
      <c r="T119" s="492" t="s">
        <v>14</v>
      </c>
      <c r="U119" s="492" t="s">
        <v>15</v>
      </c>
      <c r="V119" s="489" t="s">
        <v>3</v>
      </c>
      <c r="W119" s="492" t="s">
        <v>16</v>
      </c>
      <c r="X119" s="492" t="s">
        <v>17</v>
      </c>
      <c r="Y119" s="489" t="s">
        <v>3</v>
      </c>
      <c r="Z119" s="493" t="s">
        <v>18</v>
      </c>
      <c r="AA119" s="491" t="s">
        <v>19</v>
      </c>
      <c r="AB119" s="489" t="s">
        <v>3</v>
      </c>
      <c r="AC119" s="494" t="s">
        <v>33</v>
      </c>
      <c r="AD119" s="495" t="s">
        <v>34</v>
      </c>
      <c r="AE119" s="489" t="s">
        <v>3</v>
      </c>
      <c r="AF119" s="496" t="s">
        <v>22</v>
      </c>
      <c r="AG119" s="496" t="s">
        <v>23</v>
      </c>
      <c r="AH119" s="489" t="s">
        <v>3</v>
      </c>
    </row>
    <row customFormat="1" customHeight="1" ht="20.1" r="120" s="367" spans="1:34">
      <c r="A120" s="367" t="s">
        <v>24</v>
      </c>
      <c r="B120" s="497">
        <f>SUM(B121:B123)</f>
        <v/>
      </c>
      <c r="C120" s="497">
        <f>SUM(C121:C123)</f>
        <v/>
      </c>
      <c r="D120" s="369">
        <f>(B120-C120)/C120</f>
        <v/>
      </c>
      <c r="E120" s="497">
        <f>SUM(E121:E123)</f>
        <v/>
      </c>
      <c r="F120" s="497">
        <f>SUM(F121:F123)</f>
        <v/>
      </c>
      <c r="G120" s="369">
        <f>(E120-F120)/F120</f>
        <v/>
      </c>
      <c r="H120" s="498">
        <f>B120/E120</f>
        <v/>
      </c>
      <c r="I120" s="498">
        <f>C120/F120</f>
        <v/>
      </c>
      <c r="J120" s="369">
        <f>(H120-I120)/I120</f>
        <v/>
      </c>
      <c r="K120" s="499">
        <f>SUM(K121:K123)</f>
        <v/>
      </c>
      <c r="L120" s="499">
        <f>SUM(L121:L123)</f>
        <v/>
      </c>
      <c r="M120" s="369">
        <f>(K120-L120)/L120</f>
        <v/>
      </c>
      <c r="N120" s="499">
        <f>SUM(N121:N123)</f>
        <v/>
      </c>
      <c r="O120" s="499">
        <f>SUM(O121:O123)</f>
        <v/>
      </c>
      <c r="P120" s="369">
        <f>(N120-O120)/O120</f>
        <v/>
      </c>
      <c r="Q120" s="500">
        <f>N120/K120</f>
        <v/>
      </c>
      <c r="R120" s="500">
        <f>O120/L120</f>
        <v/>
      </c>
      <c r="S120" s="369">
        <f>(Q120-R120)/R120</f>
        <v/>
      </c>
      <c r="T120" s="497">
        <f>E120/N120</f>
        <v/>
      </c>
      <c r="U120" s="497">
        <f>F120/O120</f>
        <v/>
      </c>
      <c r="V120" s="369">
        <f>(T120-U120)/U120</f>
        <v/>
      </c>
      <c r="W120" s="497">
        <f>B120/N120</f>
        <v/>
      </c>
      <c r="X120" s="497">
        <f>C120/O120</f>
        <v/>
      </c>
      <c r="Y120" s="369">
        <f>(W120-X120)/X120</f>
        <v/>
      </c>
      <c r="Z120" s="501">
        <f>SUM(Z121:Z123)</f>
        <v/>
      </c>
      <c r="AA120" s="499">
        <f>SUM(AA121:AA123)</f>
        <v/>
      </c>
      <c r="AB120" s="369">
        <f>(Z120-AA120)/AA120</f>
        <v/>
      </c>
      <c r="AC120" s="501">
        <f>SUM(AC121:AC123)</f>
        <v/>
      </c>
      <c r="AD120" s="499">
        <f>SUM(AD121:AD123)</f>
        <v/>
      </c>
      <c r="AE120" s="369">
        <f>(AC120-AD120)/AD120</f>
        <v/>
      </c>
      <c r="AF120" s="500">
        <f>Z120/AC120</f>
        <v/>
      </c>
      <c r="AG120" s="500">
        <f>AA120/AD120</f>
        <v/>
      </c>
      <c r="AH120" s="369">
        <f>(AF120-AG120)/AG120</f>
        <v/>
      </c>
    </row>
    <row outlineLevel="1" r="121" s="452" spans="1:34">
      <c r="A121" s="373" t="s">
        <v>35</v>
      </c>
      <c r="B121" s="502">
        <f>SUMIFS(Search!$E:$E,Search!$A:$A,"P10",Search!$D:$D,"Brand")</f>
        <v/>
      </c>
      <c r="C121" s="502">
        <f>SUMIFS(Search!$F:$F,Search!$A:$A,"P10",Search!$D:$D,"Brand")</f>
        <v/>
      </c>
      <c r="D121" s="369">
        <f>(B121-C121)/C121</f>
        <v/>
      </c>
      <c r="E121" s="502">
        <f>SUMIFS(Search!$I:$I,Search!$A:$A,"P10",Search!$D:$D,"Brand")</f>
        <v/>
      </c>
      <c r="F121" s="502">
        <f>SUMIFS(Search!$J:$J,Search!$A:$A,"P10",Search!$D:$D,"Brand")</f>
        <v/>
      </c>
      <c r="G121" s="375">
        <f>(E121-F121)/F121</f>
        <v/>
      </c>
      <c r="H121" s="503">
        <f>B121/E121</f>
        <v/>
      </c>
      <c r="I121" s="503">
        <f>C121/F121</f>
        <v/>
      </c>
      <c r="J121" s="375">
        <f>(H121-I121)/I121</f>
        <v/>
      </c>
      <c r="K121" s="504">
        <f>SUMIFS(Search!$Q:$Q,Search!$A:$A,"P10",Search!$D:$D,"Brand")</f>
        <v/>
      </c>
      <c r="L121" s="504">
        <f>SUMIFS(Search!$R:$R,Search!$A:$A,"P10",Search!$D:$D,"Brand")</f>
        <v/>
      </c>
      <c r="M121" s="375">
        <f>(K121-L121)/L121</f>
        <v/>
      </c>
      <c r="N121" s="504">
        <f>SUMIFS(Search!$U:$U,Search!$A:$A,"P10",Search!$D:$D,"Brand")</f>
        <v/>
      </c>
      <c r="O121" s="504">
        <f>SUMIFS(Search!$V:$V,Search!$A:$A,"P10",Search!$D:$D,"Brand")</f>
        <v/>
      </c>
      <c r="P121" s="378">
        <f>(N121-O121)/O121</f>
        <v/>
      </c>
      <c r="Q121" s="505">
        <f>N121/K121</f>
        <v/>
      </c>
      <c r="R121" s="505">
        <f>O121/L121</f>
        <v/>
      </c>
      <c r="S121" s="378">
        <f>(Q121-R121)/R121</f>
        <v/>
      </c>
      <c r="T121" s="502">
        <f>E121/N121</f>
        <v/>
      </c>
      <c r="U121" s="502">
        <f>F121/O121</f>
        <v/>
      </c>
      <c r="V121" s="375">
        <f>(T121-U121)/U121</f>
        <v/>
      </c>
      <c r="W121" s="502">
        <f>B121/N121</f>
        <v/>
      </c>
      <c r="X121" s="502">
        <f>C121/O121</f>
        <v/>
      </c>
      <c r="Y121" s="378">
        <f>(W121-X121)/X121</f>
        <v/>
      </c>
      <c r="Z121" s="506">
        <f>SUMIFS(Search!$AG:$AG,Search!$A:$A,"P10",Search!$D:$D,"Brand")</f>
        <v/>
      </c>
      <c r="AA121" s="504">
        <f>SUMIFS(Search!$AH:$AH,Search!$A:$A,"P10",Search!$D:$D,"Brand")</f>
        <v/>
      </c>
      <c r="AB121" s="378">
        <f>(Z121-AA121)/AA121</f>
        <v/>
      </c>
      <c r="AC121" s="506">
        <f>SUMIFS(Search!$AK:$AK,Search!$A:$A,"P10",Search!$D:$D,"Brand")</f>
        <v/>
      </c>
      <c r="AD121" s="504">
        <f>SUMIFS(Search!$AL:$AL,Search!$A:$A,"P10",Search!$D:$D,"Brand")</f>
        <v/>
      </c>
      <c r="AE121" s="378">
        <f>(AC121-AD121)/AD121</f>
        <v/>
      </c>
      <c r="AF121" s="505">
        <f>Z121/AC121</f>
        <v/>
      </c>
      <c r="AG121" s="505">
        <f>AA121/AD121</f>
        <v/>
      </c>
      <c r="AH121" s="378">
        <f>(AF121-AG121)/AG121</f>
        <v/>
      </c>
    </row>
    <row outlineLevel="1" r="122" s="452" spans="1:34">
      <c r="A122" s="373" t="s">
        <v>36</v>
      </c>
      <c r="B122" s="502">
        <f>SUMIFS(Search!$E:$E,Search!$A:$A,"P10",Search!$D:$D,"Non-Brand")</f>
        <v/>
      </c>
      <c r="C122" s="502">
        <f>SUMIFS(Search!$F:$F,Search!$A:$A,"P10",Search!$D:$D,"Non-Brand")</f>
        <v/>
      </c>
      <c r="D122" s="369">
        <f>(B122-C122)/C122</f>
        <v/>
      </c>
      <c r="E122" s="502">
        <f>SUMIFS(Search!$I:$I,Search!$A:$A,"P10",Search!$D:$D,"Non-Brand")</f>
        <v/>
      </c>
      <c r="F122" s="502">
        <f>SUMIFS(Search!$J:$J,Search!$A:$A,"P10",Search!$D:$D,"Non-Brand")</f>
        <v/>
      </c>
      <c r="G122" s="375">
        <f>(E122-F122)/F122</f>
        <v/>
      </c>
      <c r="H122" s="503">
        <f>B122/E122</f>
        <v/>
      </c>
      <c r="I122" s="503">
        <f>C122/F122</f>
        <v/>
      </c>
      <c r="J122" s="375">
        <f>(H122-I122)/I122</f>
        <v/>
      </c>
      <c r="K122" s="504">
        <f>SUMIFS(Search!$Q:$Q,Search!$A:$A,"P10",Search!$D:$D,"Non-Brand")</f>
        <v/>
      </c>
      <c r="L122" s="504">
        <f>SUMIFS(Search!$R:$R,Search!$A:$A,"P10",Search!$D:$D,"Non-Brand")</f>
        <v/>
      </c>
      <c r="M122" s="375">
        <f>(K122-L122)/L122</f>
        <v/>
      </c>
      <c r="N122" s="504">
        <f>SUMIFS(Search!$U:$U,Search!$A:$A,"P10",Search!$D:$D,"Non-Brand")</f>
        <v/>
      </c>
      <c r="O122" s="504">
        <f>SUMIFS(Search!$V:$V,Search!$A:$A,"P10",Search!$D:$D,"Non-Brand")</f>
        <v/>
      </c>
      <c r="P122" s="378">
        <f>(N122-O122)/O122</f>
        <v/>
      </c>
      <c r="Q122" s="505">
        <f>N122/K122</f>
        <v/>
      </c>
      <c r="R122" s="505">
        <f>O122/L122</f>
        <v/>
      </c>
      <c r="S122" s="378">
        <f>(Q122-R122)/R122</f>
        <v/>
      </c>
      <c r="T122" s="502">
        <f>E122/N122</f>
        <v/>
      </c>
      <c r="U122" s="502">
        <f>F122/O122</f>
        <v/>
      </c>
      <c r="V122" s="375">
        <f>(T122-U122)/U122</f>
        <v/>
      </c>
      <c r="W122" s="502">
        <f>B122/N122</f>
        <v/>
      </c>
      <c r="X122" s="502">
        <f>C122/O122</f>
        <v/>
      </c>
      <c r="Y122" s="378">
        <f>(W122-X122)/X122</f>
        <v/>
      </c>
      <c r="Z122" s="506">
        <f>SUMIFS(Search!$AG:$AG,Search!$A:$A,"P10",Search!$D:$D,"Non-Brand")</f>
        <v/>
      </c>
      <c r="AA122" s="504">
        <f>SUMIFS(Search!$AH:$AH,Search!$A:$A,"P10",Search!$D:$D,"Non-Brand")</f>
        <v/>
      </c>
      <c r="AB122" s="378">
        <f>(Z122-AA122)/AA122</f>
        <v/>
      </c>
      <c r="AC122" s="506">
        <f>SUMIFS(Search!$AK:$AK,Search!$A:$A,"P10",Search!$D:$D,"Non-Brand")</f>
        <v/>
      </c>
      <c r="AD122" s="504">
        <f>SUMIFS(Search!$AL:$AL,Search!$A:$A,"P10",Search!$D:$D,"Non-Brand")</f>
        <v/>
      </c>
      <c r="AE122" s="378">
        <f>(AC122-AD122)/AD122</f>
        <v/>
      </c>
      <c r="AF122" s="505">
        <f>Z122/AC122</f>
        <v/>
      </c>
      <c r="AG122" s="505">
        <f>AA122/AD122</f>
        <v/>
      </c>
      <c r="AH122" s="378">
        <f>(AF122-AG122)/AG122</f>
        <v/>
      </c>
    </row>
    <row outlineLevel="1" r="123" s="452" spans="1:34">
      <c r="A123" s="373" t="s">
        <v>37</v>
      </c>
      <c r="B123" s="502">
        <f>SUMIFS(Search!$E:$E,Search!$A:$A,"P10",Search!$D:$D,"Shopping Campaigns")</f>
        <v/>
      </c>
      <c r="C123" s="502">
        <f>SUMIFS(Search!$F:$F,Search!$A:$A,"P10",Search!$D:$D,"Shopping Campaigns")</f>
        <v/>
      </c>
      <c r="D123" s="369">
        <f>(B123-C123)/C123</f>
        <v/>
      </c>
      <c r="E123" s="502">
        <f>SUMIFS(Search!$I:$I,Search!$A:$A,"P10",Search!$D:$D,"Shopping Campaigns")</f>
        <v/>
      </c>
      <c r="F123" s="502">
        <f>SUMIFS(Search!$J:$J,Search!$A:$A,"P10",Search!$D:$D,"Shopping Campaigns")</f>
        <v/>
      </c>
      <c r="G123" s="375">
        <f>(E123-F123)/F123</f>
        <v/>
      </c>
      <c r="H123" s="503">
        <f>B123/E123</f>
        <v/>
      </c>
      <c r="I123" s="503">
        <f>C123/F123</f>
        <v/>
      </c>
      <c r="J123" s="375">
        <f>(H123-I123)/I123</f>
        <v/>
      </c>
      <c r="K123" s="504">
        <f>SUMIFS(Search!$Q:$Q,Search!$A:$A,"P10",Search!$D:$D,"Shopping Campaigns")</f>
        <v/>
      </c>
      <c r="L123" s="504">
        <f>SUMIFS(Search!$R:$R,Search!$A:$A,"P10",Search!$D:$D,"Shopping Campaigns")</f>
        <v/>
      </c>
      <c r="M123" s="375">
        <f>(K123-L123)/L123</f>
        <v/>
      </c>
      <c r="N123" s="504">
        <f>SUMIFS(Search!$U:$U,Search!$A:$A,"P10",Search!$D:$D,"Shopping Campaigns")</f>
        <v/>
      </c>
      <c r="O123" s="504">
        <f>SUMIFS(Search!$V:$V,Search!$A:$A,"P10",Search!$D:$D,"Shopping Campaigns")</f>
        <v/>
      </c>
      <c r="P123" s="378">
        <f>(N123-O123)/O123</f>
        <v/>
      </c>
      <c r="Q123" s="505">
        <f>N123/K123</f>
        <v/>
      </c>
      <c r="R123" s="505">
        <f>O123/L123</f>
        <v/>
      </c>
      <c r="S123" s="378">
        <f>(Q123-R123)/R123</f>
        <v/>
      </c>
      <c r="T123" s="502">
        <f>E123/N123</f>
        <v/>
      </c>
      <c r="U123" s="502">
        <f>F123/O123</f>
        <v/>
      </c>
      <c r="V123" s="375">
        <f>(T123-U123)/U123</f>
        <v/>
      </c>
      <c r="W123" s="502">
        <f>B123/N123</f>
        <v/>
      </c>
      <c r="X123" s="502">
        <f>C123/O123</f>
        <v/>
      </c>
      <c r="Y123" s="378">
        <f>(W123-X123)/X123</f>
        <v/>
      </c>
      <c r="Z123" s="506">
        <f>SUMIFS(Search!$AG:$AG,Search!$A:$A,"P10",Search!$D:$D,"Shopping Campaigns")</f>
        <v/>
      </c>
      <c r="AA123" s="504">
        <f>SUMIFS(Search!$AH:$AH,Search!$A:$A,"P10",Search!$D:$D,"Shopping Campaigns")</f>
        <v/>
      </c>
      <c r="AB123" s="378">
        <f>(Z123-AA123)/AA123</f>
        <v/>
      </c>
      <c r="AC123" s="506">
        <f>SUMIFS(Search!$AK:$AK,Search!$A:$A,"P10",Search!$D:$D,"Shopping Campaigns")</f>
        <v/>
      </c>
      <c r="AD123" s="504">
        <f>SUMIFS(Search!$AL:$AL,Search!$A:$A,"P10",Search!$D:$D,"Shopping Campaigns")</f>
        <v/>
      </c>
      <c r="AE123" s="378">
        <f>(AC123-AD123)/AD123</f>
        <v/>
      </c>
      <c r="AF123" s="505">
        <f>Z123/AC123</f>
        <v/>
      </c>
      <c r="AG123" s="505">
        <f>AA123/AD123</f>
        <v/>
      </c>
      <c r="AH123" s="378">
        <f>(AF123-AG123)/AG123</f>
        <v/>
      </c>
    </row>
    <row customFormat="1" customHeight="1" ht="21" r="124" s="367" spans="1:34">
      <c r="A124" s="380" t="s">
        <v>27</v>
      </c>
      <c r="B124" s="497">
        <f>SUMIFS(Affiliate!D:D,Affiliate!$A:$A,"P10")</f>
        <v/>
      </c>
      <c r="C124" s="497">
        <f>SUMIFS(Affiliate!E:E,Affiliate!$A:$A,"P10")</f>
        <v/>
      </c>
      <c r="D124" s="369">
        <f>(B124-C124)/C124</f>
        <v/>
      </c>
      <c r="E124" s="497">
        <f>SUMIFS(Affiliate!H:H,Affiliate!$A:$A,"P10")</f>
        <v/>
      </c>
      <c r="F124" s="497">
        <f>SUMIFS(Affiliate!I:I,Affiliate!$A:$A,"P10")</f>
        <v/>
      </c>
      <c r="G124" s="369">
        <f>(E124-F124)/F124</f>
        <v/>
      </c>
      <c r="H124" s="498">
        <f>B124/E124</f>
        <v/>
      </c>
      <c r="I124" s="498">
        <f>C124/F124</f>
        <v/>
      </c>
      <c r="J124" s="369">
        <f>(H124-I124)/I124</f>
        <v/>
      </c>
      <c r="K124" s="499">
        <f>SUMIFS(Affiliate!$AF:$AF,Affiliate!$A:$A,"P10")</f>
        <v/>
      </c>
      <c r="L124" s="499">
        <f>SUMIFS(Affiliate!$AG:$AG,Affiliate!$A:$A,"P10")</f>
        <v/>
      </c>
      <c r="M124" s="369">
        <f>(K124-L124)/L124</f>
        <v/>
      </c>
      <c r="N124" s="499">
        <f>SUMIFS(Affiliate!$AJ:$AJ,Affiliate!$A:$A,"P10")</f>
        <v/>
      </c>
      <c r="O124" s="499">
        <f>SUMIFS(Affiliate!$AK:$AK,Affiliate!$A:$A,"P10")</f>
        <v/>
      </c>
      <c r="P124" s="381">
        <f>(N124-O124)/O124</f>
        <v/>
      </c>
      <c r="Q124" s="507">
        <f>N124/K124</f>
        <v/>
      </c>
      <c r="R124" s="507">
        <f>O124/L124</f>
        <v/>
      </c>
      <c r="S124" s="381">
        <f>(Q124-R124)/R124</f>
        <v/>
      </c>
      <c r="T124" s="508">
        <f>E124/N124</f>
        <v/>
      </c>
      <c r="U124" s="508">
        <f>F124/O124</f>
        <v/>
      </c>
      <c r="V124" s="369">
        <f>(T124-U124)/U124</f>
        <v/>
      </c>
      <c r="W124" s="508">
        <f>B124/N124</f>
        <v/>
      </c>
      <c r="X124" s="508">
        <f>C124/O124</f>
        <v/>
      </c>
      <c r="Y124" s="381">
        <f>(W124-X124)/X124</f>
        <v/>
      </c>
      <c r="Z124" s="509" t="n"/>
      <c r="AA124" s="384" t="n"/>
      <c r="AB124" s="381">
        <f>(Z124-AA124)/AA124</f>
        <v/>
      </c>
      <c r="AC124" s="509" t="n"/>
      <c r="AD124" s="384" t="n"/>
      <c r="AE124" s="381">
        <f>(AC124-AD124)/AD124</f>
        <v/>
      </c>
      <c r="AF124" s="510" t="n"/>
      <c r="AG124" s="510" t="n"/>
      <c r="AH124" s="381">
        <f>(AF124-AG124)/AG124</f>
        <v/>
      </c>
    </row>
    <row customFormat="1" customHeight="1" ht="20.1" r="125" s="367" spans="1:34">
      <c r="A125" s="367" t="s">
        <v>28</v>
      </c>
      <c r="B125" s="497">
        <f>SUM(B126:B127)</f>
        <v/>
      </c>
      <c r="C125" s="497">
        <f>SUM(C126:C127)</f>
        <v/>
      </c>
      <c r="D125" s="369">
        <f>(B125-C125)/C125</f>
        <v/>
      </c>
      <c r="E125" s="497">
        <f>SUM(E126:E127)</f>
        <v/>
      </c>
      <c r="F125" s="497">
        <f>SUM(F126:F127)</f>
        <v/>
      </c>
      <c r="G125" s="369">
        <f>(E125-F125)/F125</f>
        <v/>
      </c>
      <c r="H125" s="498">
        <f>B125/E125</f>
        <v/>
      </c>
      <c r="I125" s="498">
        <f>C125/F125</f>
        <v/>
      </c>
      <c r="J125" s="369">
        <f>(H125-I125)/I125</f>
        <v/>
      </c>
      <c r="K125" s="499">
        <f>SUM(K126:K127)</f>
        <v/>
      </c>
      <c r="L125" s="499">
        <f>SUM(L126:L127)</f>
        <v/>
      </c>
      <c r="M125" s="369">
        <f>(K125-L125)/L125</f>
        <v/>
      </c>
      <c r="N125" s="499">
        <f>SUM(N126:N127)</f>
        <v/>
      </c>
      <c r="O125" s="499">
        <f>SUM(O126:O127)</f>
        <v/>
      </c>
      <c r="P125" s="381">
        <f>(N125-O125)/O125</f>
        <v/>
      </c>
      <c r="Q125" s="507">
        <f>N125/K125</f>
        <v/>
      </c>
      <c r="R125" s="507">
        <f>O125/L125</f>
        <v/>
      </c>
      <c r="S125" s="381">
        <f>(Q125-R125)/R125</f>
        <v/>
      </c>
      <c r="T125" s="508">
        <f>E125/N125</f>
        <v/>
      </c>
      <c r="U125" s="508">
        <f>F125/O125</f>
        <v/>
      </c>
      <c r="V125" s="369">
        <f>(T125-U125)/U125</f>
        <v/>
      </c>
      <c r="W125" s="508">
        <f>B125/N125</f>
        <v/>
      </c>
      <c r="X125" s="508">
        <f>C125/O125</f>
        <v/>
      </c>
      <c r="Y125" s="381">
        <f>(W125-X125)/X125</f>
        <v/>
      </c>
      <c r="Z125" s="501">
        <f>SUM(Z126:Z127)</f>
        <v/>
      </c>
      <c r="AA125" s="499">
        <f>SUM(AA126:AA127)</f>
        <v/>
      </c>
      <c r="AB125" s="381">
        <f>(Z125-AA125)/AA125</f>
        <v/>
      </c>
      <c r="AC125" s="501">
        <f>SUM(AC126:AC127)</f>
        <v/>
      </c>
      <c r="AD125" s="499">
        <f>SUM(AD126:AD127)</f>
        <v/>
      </c>
      <c r="AE125" s="381">
        <f>(AC125-AD125)/AD125</f>
        <v/>
      </c>
      <c r="AF125" s="507">
        <f>Z125/AC125</f>
        <v/>
      </c>
      <c r="AG125" s="507">
        <f>AA125/AD125</f>
        <v/>
      </c>
      <c r="AH125" s="381">
        <f>(AF125-AG125)/AG125</f>
        <v/>
      </c>
    </row>
    <row outlineLevel="1" r="126" s="452" spans="1:34">
      <c r="A126" s="373" t="s">
        <v>38</v>
      </c>
      <c r="B126" s="502">
        <f>SUMIFS('Social - Promos'!$E:$E,'Social - Promos'!$A:$A,"p10")</f>
        <v/>
      </c>
      <c r="C126" s="502">
        <f>SUMIFS('Social - Promos'!$F:$F,'Social - Promos'!$A:$A,"P10")</f>
        <v/>
      </c>
      <c r="D126" s="369">
        <f>(B126-C126)/C126</f>
        <v/>
      </c>
      <c r="E126" s="502">
        <f>SUMIFS('Social - Promos'!$K:$K,'Social - Promos'!$A:$A,"P10")</f>
        <v/>
      </c>
      <c r="F126" s="502">
        <f>SUMIFS('Social - Promos'!$L:$L,'Social - Promos'!$A:$A,"p10")</f>
        <v/>
      </c>
      <c r="G126" s="375">
        <f>(E126-F126)/F126</f>
        <v/>
      </c>
      <c r="H126" s="484">
        <f>B126/E126</f>
        <v/>
      </c>
      <c r="I126" s="484">
        <f>C126/F126</f>
        <v/>
      </c>
      <c r="J126" s="375">
        <f>(H126-I126)/I126</f>
        <v/>
      </c>
      <c r="K126" s="504">
        <f>SUMIFS('Social - Promos'!$T:$T,'Social - Promos'!$A:$A,"p10")</f>
        <v/>
      </c>
      <c r="L126" s="504">
        <f>SUMIFS('Social - Promos'!$U:$U,'Social - Promos'!$A:$A,"p10")</f>
        <v/>
      </c>
      <c r="M126" s="375">
        <f>(K126-L126)/L126</f>
        <v/>
      </c>
      <c r="N126" s="504">
        <f>SUMIFS('Social - Promos'!$W:$W,'Social - Promos'!$A:$A,"p10")</f>
        <v/>
      </c>
      <c r="O126" s="504">
        <f>SUMIFS('Social - Promos'!$X:$X,'Social - Promos'!$A:$A,"p10")</f>
        <v/>
      </c>
      <c r="P126" s="378">
        <f>(N126-O126)/O126</f>
        <v/>
      </c>
      <c r="Q126" s="505">
        <f>N126/K126</f>
        <v/>
      </c>
      <c r="R126" s="505">
        <f>O126/L126</f>
        <v/>
      </c>
      <c r="S126" s="378">
        <f>(Q126-R126)/R126</f>
        <v/>
      </c>
      <c r="T126" s="502">
        <f>E126/N126</f>
        <v/>
      </c>
      <c r="U126" s="502">
        <f>F126/O126</f>
        <v/>
      </c>
      <c r="V126" s="375">
        <f>(T126-U126)/U126</f>
        <v/>
      </c>
      <c r="W126" s="502">
        <f>B126/N126</f>
        <v/>
      </c>
      <c r="X126" s="502">
        <f>C126/O126</f>
        <v/>
      </c>
      <c r="Y126" s="378">
        <f>(W126-X126)/X126</f>
        <v/>
      </c>
      <c r="Z126" s="506">
        <f>SUMIFS('Social - Promos'!$AF:$AF,'Social - Promos'!$A:$A,"p10")</f>
        <v/>
      </c>
      <c r="AA126" s="504">
        <f>SUMIFS('Social - Promos'!$AG:$AG,'Social - Promos'!$A:$A,"p10")</f>
        <v/>
      </c>
      <c r="AB126" s="378">
        <f>(Z126-AA126)/AA126</f>
        <v/>
      </c>
      <c r="AC126" s="506">
        <f>SUMIFS('Social - Promos'!$AI:$AI,'Social - Promos'!$A:$A,"p10")</f>
        <v/>
      </c>
      <c r="AD126" s="504">
        <f>SUMIFS('Social - Promos'!$AJ:$AJ,'Social - Promos'!$A:$A,"p10")</f>
        <v/>
      </c>
      <c r="AE126" s="378">
        <f>(AC126-AD126)/AD126</f>
        <v/>
      </c>
      <c r="AF126" s="505">
        <f>Z126/AC126</f>
        <v/>
      </c>
      <c r="AG126" s="505">
        <f>AA126/AD126</f>
        <v/>
      </c>
      <c r="AH126" s="378">
        <f>(AF126-AG126)/AG126</f>
        <v/>
      </c>
    </row>
    <row outlineLevel="1" r="127" s="452" spans="1:34">
      <c r="A127" s="373" t="s">
        <v>39</v>
      </c>
      <c r="B127" s="502">
        <f>SUMIFS('Social - Remarketing'!$D:$D,'Social - Remarketing'!$A:$A,"P10")</f>
        <v/>
      </c>
      <c r="C127" s="502">
        <f>SUMIFS('Social - Remarketing'!$E:$E,'Social - Remarketing'!$A:$A,"P10")</f>
        <v/>
      </c>
      <c r="D127" s="369">
        <f>(B127-C127)/C127</f>
        <v/>
      </c>
      <c r="E127" s="502">
        <f>SUMIFS('Social - Remarketing'!$H:$H,'Social - Remarketing'!$A:$A,"P10")</f>
        <v/>
      </c>
      <c r="F127" s="502">
        <f>SUMIFS('Social - Remarketing'!$I:$I,'Social - Remarketing'!$A:$A,"P10")</f>
        <v/>
      </c>
      <c r="G127" s="369">
        <f>(E127-F127)/F127</f>
        <v/>
      </c>
      <c r="H127" s="484">
        <f>B127/E127</f>
        <v/>
      </c>
      <c r="I127" s="484">
        <f>C127/F127</f>
        <v/>
      </c>
      <c r="J127" s="369">
        <f>(H127-I127)/I127</f>
        <v/>
      </c>
      <c r="K127" s="504">
        <f>SUMIFS('Social - Remarketing'!$X:$X,'Social - Remarketing'!$A:$A,"P10")</f>
        <v/>
      </c>
      <c r="L127" s="504">
        <f>SUMIFS('Social - Remarketing'!$Y:$Y,'Social - Remarketing'!$A:$A,"P10")</f>
        <v/>
      </c>
      <c r="M127" s="375">
        <f>(K127-L127)/L127</f>
        <v/>
      </c>
      <c r="N127" s="504">
        <f>SUMIFS('Social - Remarketing'!$AB:$AB,'Social - Remarketing'!$A:$A,"P10")</f>
        <v/>
      </c>
      <c r="O127" s="504">
        <f>SUMIFS('Social - Remarketing'!$AC:$AC,'Social - Remarketing'!$A:$A,"P10")</f>
        <v/>
      </c>
      <c r="P127" s="378">
        <f>(N127-O127)/O127</f>
        <v/>
      </c>
      <c r="Q127" s="505">
        <f>N127/K127</f>
        <v/>
      </c>
      <c r="R127" s="505">
        <f>O127/L127</f>
        <v/>
      </c>
      <c r="S127" s="378">
        <f>(Q127-R127)/R127</f>
        <v/>
      </c>
      <c r="T127" s="502">
        <f>E127/N127</f>
        <v/>
      </c>
      <c r="U127" s="502">
        <f>F127/O127</f>
        <v/>
      </c>
      <c r="V127" s="375">
        <f>(T127-U127)/U127</f>
        <v/>
      </c>
      <c r="W127" s="502">
        <f>B127/N127</f>
        <v/>
      </c>
      <c r="X127" s="502">
        <f>C127/O127</f>
        <v/>
      </c>
      <c r="Y127" s="378">
        <f>(W127-X127)/X127</f>
        <v/>
      </c>
      <c r="Z127" s="506">
        <f>SUMIFS('Social - Remarketing'!$AN:$AN,'Social - Remarketing'!$A:$A,"P10")</f>
        <v/>
      </c>
      <c r="AA127" s="504">
        <f>SUMIFS('Social - Remarketing'!$AO:$AO,'Social - Remarketing'!$A:$A,"P10")</f>
        <v/>
      </c>
      <c r="AB127" s="378">
        <f>(Z127-AA127)/AA127</f>
        <v/>
      </c>
      <c r="AC127" s="506">
        <f>SUMIFS('Social - Remarketing'!$AR:$AR,'Social - Remarketing'!$A:$A,"P10")</f>
        <v/>
      </c>
      <c r="AD127" s="504">
        <f>SUMIFS('Social - Remarketing'!$AS:$AS,'Social - Remarketing'!$A:$A,"P10")</f>
        <v/>
      </c>
      <c r="AE127" s="378">
        <f>(AC127-AD127)/AD127</f>
        <v/>
      </c>
      <c r="AF127" s="505">
        <f>Z127/AC127</f>
        <v/>
      </c>
      <c r="AG127" s="505">
        <f>AA127/AD127</f>
        <v/>
      </c>
      <c r="AH127" s="378">
        <f>(AF127-AG127)/AG127</f>
        <v/>
      </c>
    </row>
    <row customFormat="1" customHeight="1" ht="21" r="128" s="367" spans="1:34">
      <c r="A128" s="367" t="s">
        <v>29</v>
      </c>
      <c r="B128" s="497">
        <f>SUM(B129:B130)</f>
        <v/>
      </c>
      <c r="C128" s="497">
        <f>SUM(C129:C130)</f>
        <v/>
      </c>
      <c r="D128" s="369">
        <f>(B128-C128)/C128</f>
        <v/>
      </c>
      <c r="E128" s="497">
        <f>SUM(E129:E130)</f>
        <v/>
      </c>
      <c r="F128" s="497">
        <f>SUM(F129:F130)</f>
        <v/>
      </c>
      <c r="G128" s="369">
        <f>(E128-F128)/F128</f>
        <v/>
      </c>
      <c r="H128" s="498">
        <f>B128/E128</f>
        <v/>
      </c>
      <c r="I128" s="498">
        <f>C128/F128</f>
        <v/>
      </c>
      <c r="J128" s="369">
        <f>(H128-I128)/I128</f>
        <v/>
      </c>
      <c r="K128" s="499">
        <f>SUM(K129:K130)</f>
        <v/>
      </c>
      <c r="L128" s="499">
        <f>SUM(L129:L130)</f>
        <v/>
      </c>
      <c r="M128" s="369">
        <f>(K128-L128)/L128</f>
        <v/>
      </c>
      <c r="N128" s="499">
        <f>SUM(N129:N130)</f>
        <v/>
      </c>
      <c r="O128" s="499">
        <f>SUM(O129:O130)</f>
        <v/>
      </c>
      <c r="P128" s="381">
        <f>(N128-O128)/O128</f>
        <v/>
      </c>
      <c r="Q128" s="507">
        <f>N128/K128</f>
        <v/>
      </c>
      <c r="R128" s="507">
        <f>O128/L128</f>
        <v/>
      </c>
      <c r="S128" s="381">
        <f>(Q128-R128)/R128</f>
        <v/>
      </c>
      <c r="T128" s="508">
        <f>E128/N128</f>
        <v/>
      </c>
      <c r="U128" s="508">
        <f>F128/O128</f>
        <v/>
      </c>
      <c r="V128" s="369">
        <f>(T128-U128)/U128</f>
        <v/>
      </c>
      <c r="W128" s="508">
        <f>B128/N128</f>
        <v/>
      </c>
      <c r="X128" s="508">
        <f>C128/O128</f>
        <v/>
      </c>
      <c r="Y128" s="381">
        <f>(W128-X128)/X128</f>
        <v/>
      </c>
      <c r="Z128" s="501">
        <f>SUM(Z129:Z130)</f>
        <v/>
      </c>
      <c r="AA128" s="499">
        <f>SUM(AA129:AA130)</f>
        <v/>
      </c>
      <c r="AB128" s="381">
        <f>(Z128-AA128)/AA128</f>
        <v/>
      </c>
      <c r="AC128" s="501">
        <f>SUM(AC129:AC130)</f>
        <v/>
      </c>
      <c r="AD128" s="499">
        <f>SUM(AD129:AD130)</f>
        <v/>
      </c>
      <c r="AE128" s="381">
        <f>(AC128-AD128)/AD128</f>
        <v/>
      </c>
      <c r="AF128" s="507">
        <f>Z128/AC128</f>
        <v/>
      </c>
      <c r="AG128" s="507">
        <f>AA128/AD128</f>
        <v/>
      </c>
      <c r="AH128" s="381">
        <f>(AF128-AG128)/AG128</f>
        <v/>
      </c>
    </row>
    <row outlineLevel="1" r="129" s="452" spans="1:34">
      <c r="A129" s="373" t="s">
        <v>38</v>
      </c>
      <c r="B129" s="502">
        <f>SUMIFS('Display - Promos'!$E:$E,'Display - Promos'!$A:$A,"P10")</f>
        <v/>
      </c>
      <c r="C129" s="502">
        <f>SUMIFS('Display - Promos'!$F:$F,'Display - Promos'!$A:$A,"P10")</f>
        <v/>
      </c>
      <c r="D129" s="375">
        <f>(B129-C129)/C129</f>
        <v/>
      </c>
      <c r="E129" s="502">
        <f>SUMIFS('Display - Promos'!$H:$H,'Display - Promos'!$A:$A,"p10")</f>
        <v/>
      </c>
      <c r="F129" s="502">
        <f>SUMIFS('Display - Promos'!$I:$I,'Display - Promos'!$A:$A,"p10")</f>
        <v/>
      </c>
      <c r="G129" s="375">
        <f>(E129-F129)/F129</f>
        <v/>
      </c>
      <c r="H129" s="484">
        <f>B129/E129</f>
        <v/>
      </c>
      <c r="I129" s="484">
        <f>C129/F129</f>
        <v/>
      </c>
      <c r="J129" s="369">
        <f>(H129-I129)/I129</f>
        <v/>
      </c>
      <c r="K129" s="504">
        <f>SUMIFS('Display - Promos'!$N:$N,'Display - Promos'!$A:$A,"p10")</f>
        <v/>
      </c>
      <c r="L129" s="504">
        <f>SUMIFS('Display - Promos'!$O:$O,'Display - Promos'!$A:$A,"p10")</f>
        <v/>
      </c>
      <c r="M129" s="375">
        <f>(K129-L129)/L129</f>
        <v/>
      </c>
      <c r="N129" s="504">
        <f>SUMIFS('Display - Promos'!$Q:$Q,'Display - Promos'!$A:$A,"p10")</f>
        <v/>
      </c>
      <c r="O129" s="504">
        <f>SUMIFS('Display - Promos'!$R:$R,'Display - Promos'!$A:$A,"p10")</f>
        <v/>
      </c>
      <c r="P129" s="378">
        <f>(N129-O129)/O129</f>
        <v/>
      </c>
      <c r="Q129" s="505">
        <f>N129/K129</f>
        <v/>
      </c>
      <c r="R129" s="505">
        <f>O129/L129</f>
        <v/>
      </c>
      <c r="S129" s="378">
        <f>(Q129-R129)/R129</f>
        <v/>
      </c>
      <c r="T129" s="502">
        <f>E129/N129</f>
        <v/>
      </c>
      <c r="U129" s="502">
        <f>F129/O129</f>
        <v/>
      </c>
      <c r="V129" s="375">
        <f>(T129-U129)/U129</f>
        <v/>
      </c>
      <c r="W129" s="502">
        <f>B129/N129</f>
        <v/>
      </c>
      <c r="X129" s="502">
        <f>C129/O129</f>
        <v/>
      </c>
      <c r="Y129" s="378">
        <f>(W129-X129)/X129</f>
        <v/>
      </c>
      <c r="Z129" s="506">
        <f>SUMIFS('Display - Promos'!$W:$W,'Display - Promos'!$A:$A,"p10")</f>
        <v/>
      </c>
      <c r="AA129" s="504">
        <f>SUMIFS('Display - Promos'!$X:$X,'Display - Promos'!$A:$A,"p10")</f>
        <v/>
      </c>
      <c r="AB129" s="378">
        <f>(Z129-AA129)/AA129</f>
        <v/>
      </c>
      <c r="AC129" s="506">
        <f>SUMIFS('Display - Promos'!$Z:$Z,'Display - Promos'!$A:$A,"p10")</f>
        <v/>
      </c>
      <c r="AD129" s="504">
        <f>SUMIFS('Display - Promos'!$AA:$AA,'Display - Promos'!$A:$A,"p10")</f>
        <v/>
      </c>
      <c r="AE129" s="378">
        <f>(AC129-AD129)/AD129</f>
        <v/>
      </c>
      <c r="AF129" s="505">
        <f>Z129/AC129</f>
        <v/>
      </c>
      <c r="AG129" s="505">
        <f>AA129/AD129</f>
        <v/>
      </c>
      <c r="AH129" s="378">
        <f>(AF129-AG129)/AG129</f>
        <v/>
      </c>
    </row>
    <row customHeight="1" ht="19.5" outlineLevel="1" r="130" s="452" spans="1:34" thickBot="1">
      <c r="A130" s="373" t="s">
        <v>39</v>
      </c>
      <c r="B130" s="502">
        <f>SUMIFS('Display - Remarketing'!$D:$D,'Display - Remarketing'!$A:$A,"P10")</f>
        <v/>
      </c>
      <c r="C130" s="502">
        <f>SUMIFS('Display - Remarketing'!$E:$E,'Display - Remarketing'!$A:$A,"P10")</f>
        <v/>
      </c>
      <c r="D130" s="369">
        <f>(B130-C130)/C130</f>
        <v/>
      </c>
      <c r="E130" s="502">
        <f>SUMIFS('Display - Remarketing'!$H:$H,'Display - Remarketing'!$A:$A,"P10")</f>
        <v/>
      </c>
      <c r="F130" s="502">
        <f>SUMIFS('Display - Remarketing'!$I:$I,'Display - Remarketing'!$A:$A,"P10")</f>
        <v/>
      </c>
      <c r="G130" s="369">
        <f>(E130-F130)/F130</f>
        <v/>
      </c>
      <c r="H130" s="484">
        <f>B130/E130</f>
        <v/>
      </c>
      <c r="I130" s="484">
        <f>C130/F130</f>
        <v/>
      </c>
      <c r="J130" s="369">
        <f>(H130-I130)/I130</f>
        <v/>
      </c>
      <c r="K130" s="504">
        <f>SUMIFS('Display - Remarketing'!$P:$P,'Display - Remarketing'!$A:$A,"P10")</f>
        <v/>
      </c>
      <c r="L130" s="504">
        <f>SUMIFS('Display - Remarketing'!$Q:$Q,'Display - Remarketing'!$A:$A,"P10")</f>
        <v/>
      </c>
      <c r="M130" s="375">
        <f>(K130-L130)/L130</f>
        <v/>
      </c>
      <c r="N130" s="504">
        <f>SUMIFS('Display - Remarketing'!$T:$T,'Display - Remarketing'!$A:$A,"P10")</f>
        <v/>
      </c>
      <c r="O130" s="504">
        <f>SUMIFS('Display - Remarketing'!$U:$U,'Display - Remarketing'!$A:$A,"P10")</f>
        <v/>
      </c>
      <c r="P130" s="378">
        <f>(N130-O130)/O130</f>
        <v/>
      </c>
      <c r="Q130" s="505">
        <f>N130/K130</f>
        <v/>
      </c>
      <c r="R130" s="505">
        <f>O130/L130</f>
        <v/>
      </c>
      <c r="S130" s="378">
        <f>(Q130-R130)/R130</f>
        <v/>
      </c>
      <c r="T130" s="502">
        <f>E130/N130</f>
        <v/>
      </c>
      <c r="U130" s="502">
        <f>F130/O130</f>
        <v/>
      </c>
      <c r="V130" s="375">
        <f>(T130-U130)/U130</f>
        <v/>
      </c>
      <c r="W130" s="502">
        <f>B130/N130</f>
        <v/>
      </c>
      <c r="X130" s="502">
        <f>C130/O130</f>
        <v/>
      </c>
      <c r="Y130" s="378">
        <f>(W130-X130)/X130</f>
        <v/>
      </c>
      <c r="Z130" s="506">
        <f>SUMIFS('Display - Remarketing'!$AB:$AB,'Display - Remarketing'!$A:$A,"p10")</f>
        <v/>
      </c>
      <c r="AA130" s="504">
        <f>SUMIFS('Display - Remarketing'!$AC:$AC,'Display - Remarketing'!$A:$A,"P10")</f>
        <v/>
      </c>
      <c r="AB130" s="378">
        <f>(Z130-AA130)/AA130</f>
        <v/>
      </c>
      <c r="AC130" s="506">
        <f>SUMIFS('Display - Remarketing'!$AF:$AF,'Display - Remarketing'!$A:$A,"P10")</f>
        <v/>
      </c>
      <c r="AD130" s="504">
        <f>SUMIFS('Display - Remarketing'!$AG:$AG,'Display - Remarketing'!$A:$A,"P10")</f>
        <v/>
      </c>
      <c r="AE130" s="378">
        <f>(AC130-AD130)/AD130</f>
        <v/>
      </c>
      <c r="AF130" s="505">
        <f>Z130/AC130</f>
        <v/>
      </c>
      <c r="AG130" s="505">
        <f>AA130/AD130</f>
        <v/>
      </c>
      <c r="AH130" s="378">
        <f>(AF130-AG130)/AG130</f>
        <v/>
      </c>
    </row>
    <row customFormat="1" customHeight="1" ht="22.5" r="131" s="395" spans="1:34" thickBot="1" thickTop="1">
      <c r="A131" s="387" t="s">
        <v>40</v>
      </c>
      <c r="B131" s="511">
        <f>B120+B124+B125+B128</f>
        <v/>
      </c>
      <c r="C131" s="511">
        <f>C120+C124+C125+C128</f>
        <v/>
      </c>
      <c r="D131" s="389">
        <f>(B131-C131)/C131</f>
        <v/>
      </c>
      <c r="E131" s="511">
        <f>E120+E124+E125+E128</f>
        <v/>
      </c>
      <c r="F131" s="511">
        <f>F120+F124+F125+F128</f>
        <v/>
      </c>
      <c r="G131" s="390">
        <f>(E131-F131)/F131</f>
        <v/>
      </c>
      <c r="H131" s="512">
        <f>B131/E131</f>
        <v/>
      </c>
      <c r="I131" s="512">
        <f>C131/F131</f>
        <v/>
      </c>
      <c r="J131" s="390">
        <f>(H131-I131)/I131</f>
        <v/>
      </c>
      <c r="K131" s="513">
        <f>K120+K124+K125+K128</f>
        <v/>
      </c>
      <c r="L131" s="513">
        <f>L120+L124+L125+L128</f>
        <v/>
      </c>
      <c r="M131" s="390">
        <f>(K131-L131)/L131</f>
        <v/>
      </c>
      <c r="N131" s="513">
        <f>N120+N124+N125+N128</f>
        <v/>
      </c>
      <c r="O131" s="513">
        <f>O120+O124+O125+O128</f>
        <v/>
      </c>
      <c r="P131" s="389">
        <f>(N131-O131)/O131</f>
        <v/>
      </c>
      <c r="Q131" s="514">
        <f>N131/K131</f>
        <v/>
      </c>
      <c r="R131" s="514">
        <f>O131/L131</f>
        <v/>
      </c>
      <c r="S131" s="389">
        <f>(Q131-R131)/R131</f>
        <v/>
      </c>
      <c r="T131" s="511">
        <f>E131/N131</f>
        <v/>
      </c>
      <c r="U131" s="511">
        <f>F131/O131</f>
        <v/>
      </c>
      <c r="V131" s="390">
        <f>(T131-U131)/U131</f>
        <v/>
      </c>
      <c r="W131" s="511">
        <f>B131/N131</f>
        <v/>
      </c>
      <c r="X131" s="511">
        <f>C131/O131</f>
        <v/>
      </c>
      <c r="Y131" s="389">
        <f>(W131-X131)/X131</f>
        <v/>
      </c>
      <c r="Z131" s="515">
        <f>Z120+Z124+Z125+Z128</f>
        <v/>
      </c>
      <c r="AA131" s="516">
        <f>AA120+AA124+AA125+AA128</f>
        <v/>
      </c>
      <c r="AB131" s="389">
        <f>(Z131-AA131)/AA131</f>
        <v/>
      </c>
      <c r="AC131" s="515">
        <f>AC120+AC124+AC125+AC128</f>
        <v/>
      </c>
      <c r="AD131" s="513">
        <f>AD120+AD124+AD125+AD128</f>
        <v/>
      </c>
      <c r="AE131" s="389">
        <f>(AC131-AD131)/AD131</f>
        <v/>
      </c>
      <c r="AF131" s="514">
        <f>Z131/AC131</f>
        <v/>
      </c>
      <c r="AG131" s="514">
        <f>AA131/AD131</f>
        <v/>
      </c>
      <c r="AH131" s="389">
        <f>(AF131-AG131)/AG131</f>
        <v/>
      </c>
    </row>
    <row r="132" spans="1:34">
      <c r="A132" s="359" t="s">
        <v>50</v>
      </c>
      <c r="B132" s="488" t="s">
        <v>1</v>
      </c>
      <c r="C132" s="488" t="s">
        <v>2</v>
      </c>
      <c r="D132" s="489" t="s">
        <v>3</v>
      </c>
      <c r="E132" s="488" t="s">
        <v>4</v>
      </c>
      <c r="F132" s="488" t="s">
        <v>5</v>
      </c>
      <c r="G132" s="489" t="s">
        <v>3</v>
      </c>
      <c r="H132" s="490" t="s">
        <v>6</v>
      </c>
      <c r="I132" s="490" t="s">
        <v>7</v>
      </c>
      <c r="J132" s="489" t="s">
        <v>3</v>
      </c>
      <c r="K132" s="490" t="s">
        <v>8</v>
      </c>
      <c r="L132" s="491" t="s">
        <v>9</v>
      </c>
      <c r="M132" s="489" t="s">
        <v>3</v>
      </c>
      <c r="N132" s="491" t="s">
        <v>10</v>
      </c>
      <c r="O132" s="491" t="s">
        <v>11</v>
      </c>
      <c r="P132" s="489" t="s">
        <v>3</v>
      </c>
      <c r="Q132" s="491" t="s">
        <v>12</v>
      </c>
      <c r="R132" s="491" t="s">
        <v>13</v>
      </c>
      <c r="S132" s="489" t="s">
        <v>3</v>
      </c>
      <c r="T132" s="492" t="s">
        <v>14</v>
      </c>
      <c r="U132" s="492" t="s">
        <v>15</v>
      </c>
      <c r="V132" s="489" t="s">
        <v>3</v>
      </c>
      <c r="W132" s="492" t="s">
        <v>16</v>
      </c>
      <c r="X132" s="492" t="s">
        <v>17</v>
      </c>
      <c r="Y132" s="489" t="s">
        <v>3</v>
      </c>
      <c r="Z132" s="493" t="s">
        <v>18</v>
      </c>
      <c r="AA132" s="491" t="s">
        <v>19</v>
      </c>
      <c r="AB132" s="489" t="s">
        <v>3</v>
      </c>
      <c r="AC132" s="494" t="s">
        <v>33</v>
      </c>
      <c r="AD132" s="495" t="s">
        <v>34</v>
      </c>
      <c r="AE132" s="489" t="s">
        <v>3</v>
      </c>
      <c r="AF132" s="496" t="s">
        <v>22</v>
      </c>
      <c r="AG132" s="496" t="s">
        <v>23</v>
      </c>
      <c r="AH132" s="489" t="s">
        <v>3</v>
      </c>
    </row>
    <row customFormat="1" customHeight="1" ht="20.1" r="133" s="367" spans="1:34">
      <c r="A133" s="367" t="s">
        <v>24</v>
      </c>
      <c r="B133" s="497">
        <f>SUM(B134:B136)</f>
        <v/>
      </c>
      <c r="C133" s="497">
        <f>SUM(C134:C136)</f>
        <v/>
      </c>
      <c r="D133" s="369">
        <f>(B133-C133)/C133</f>
        <v/>
      </c>
      <c r="E133" s="497">
        <f>SUM(E134:E136)</f>
        <v/>
      </c>
      <c r="F133" s="497">
        <f>SUM(F134:F136)</f>
        <v/>
      </c>
      <c r="G133" s="369">
        <f>(E133-F133)/F133</f>
        <v/>
      </c>
      <c r="H133" s="498">
        <f>B133/E133</f>
        <v/>
      </c>
      <c r="I133" s="498">
        <f>C133/F133</f>
        <v/>
      </c>
      <c r="J133" s="369">
        <f>(H133-I133)/I133</f>
        <v/>
      </c>
      <c r="K133" s="499">
        <f>SUM(K134:K136)</f>
        <v/>
      </c>
      <c r="L133" s="499">
        <f>SUM(L134:L136)</f>
        <v/>
      </c>
      <c r="M133" s="369">
        <f>(K133-L133)/L133</f>
        <v/>
      </c>
      <c r="N133" s="499">
        <f>SUM(N134:N136)</f>
        <v/>
      </c>
      <c r="O133" s="499">
        <f>SUM(O134:O136)</f>
        <v/>
      </c>
      <c r="P133" s="369">
        <f>(N133-O133)/O133</f>
        <v/>
      </c>
      <c r="Q133" s="500">
        <f>N133/K133</f>
        <v/>
      </c>
      <c r="R133" s="500">
        <f>O133/L133</f>
        <v/>
      </c>
      <c r="S133" s="369">
        <f>(Q133-R133)/R133</f>
        <v/>
      </c>
      <c r="T133" s="497">
        <f>E133/N133</f>
        <v/>
      </c>
      <c r="U133" s="497">
        <f>F133/O133</f>
        <v/>
      </c>
      <c r="V133" s="369">
        <f>(T133-U133)/U133</f>
        <v/>
      </c>
      <c r="W133" s="497">
        <f>B133/N133</f>
        <v/>
      </c>
      <c r="X133" s="497">
        <f>C133/O133</f>
        <v/>
      </c>
      <c r="Y133" s="369">
        <f>(W133-X133)/X133</f>
        <v/>
      </c>
      <c r="Z133" s="501">
        <f>SUM(Z134:Z136)</f>
        <v/>
      </c>
      <c r="AA133" s="499">
        <f>SUM(AA134:AA136)</f>
        <v/>
      </c>
      <c r="AB133" s="369">
        <f>(Z133-AA133)/AA133</f>
        <v/>
      </c>
      <c r="AC133" s="501">
        <f>SUM(AC134:AC136)</f>
        <v/>
      </c>
      <c r="AD133" s="499">
        <f>SUM(AD134:AD136)</f>
        <v/>
      </c>
      <c r="AE133" s="369">
        <f>(AC133-AD133)/AD133</f>
        <v/>
      </c>
      <c r="AF133" s="500">
        <f>Z133/AC133</f>
        <v/>
      </c>
      <c r="AG133" s="500">
        <f>AA133/AD133</f>
        <v/>
      </c>
      <c r="AH133" s="369">
        <f>(AF133-AG133)/AG133</f>
        <v/>
      </c>
    </row>
    <row outlineLevel="1" r="134" s="452" spans="1:34">
      <c r="A134" s="373" t="s">
        <v>35</v>
      </c>
      <c r="B134" s="502">
        <f>SUMIFS(Search!$E:$E,Search!$A:$A,"P11",Search!$D:$D,"Brand")</f>
        <v/>
      </c>
      <c r="C134" s="502">
        <f>SUMIFS(Search!$F:$F,Search!$A:$A,"P11",Search!$D:$D,"Brand")</f>
        <v/>
      </c>
      <c r="D134" s="369">
        <f>(B134-C134)/C134</f>
        <v/>
      </c>
      <c r="E134" s="502">
        <f>SUMIFS(Search!$I:$I,Search!$A:$A,"P11",Search!$D:$D,"Brand")</f>
        <v/>
      </c>
      <c r="F134" s="502">
        <f>SUMIFS(Search!$J:$J,Search!$A:$A,"P11",Search!$D:$D,"Brand")</f>
        <v/>
      </c>
      <c r="G134" s="375">
        <f>(E134-F134)/F134</f>
        <v/>
      </c>
      <c r="H134" s="503">
        <f>B134/E134</f>
        <v/>
      </c>
      <c r="I134" s="503">
        <f>C134/F134</f>
        <v/>
      </c>
      <c r="J134" s="375">
        <f>(H134-I134)/I134</f>
        <v/>
      </c>
      <c r="K134" s="504">
        <f>SUMIFS(Search!$Q:$Q,Search!$A:$A,"P11",Search!$D:$D,"Brand")</f>
        <v/>
      </c>
      <c r="L134" s="504">
        <f>SUMIFS(Search!$R:$R,Search!$A:$A,"P11",Search!$D:$D,"Brand")</f>
        <v/>
      </c>
      <c r="M134" s="375">
        <f>(K134-L134)/L134</f>
        <v/>
      </c>
      <c r="N134" s="504">
        <f>SUMIFS(Search!$U:$U,Search!$A:$A,"P11",Search!$D:$D,"Brand")</f>
        <v/>
      </c>
      <c r="O134" s="504">
        <f>SUMIFS(Search!$V:$V,Search!$A:$A,"P11",Search!$D:$D,"Brand")</f>
        <v/>
      </c>
      <c r="P134" s="378">
        <f>(N134-O134)/O134</f>
        <v/>
      </c>
      <c r="Q134" s="505">
        <f>N134/K134</f>
        <v/>
      </c>
      <c r="R134" s="505">
        <f>O134/L134</f>
        <v/>
      </c>
      <c r="S134" s="378">
        <f>(Q134-R134)/R134</f>
        <v/>
      </c>
      <c r="T134" s="502">
        <f>E134/N134</f>
        <v/>
      </c>
      <c r="U134" s="502">
        <f>F134/O134</f>
        <v/>
      </c>
      <c r="V134" s="375">
        <f>(T134-U134)/U134</f>
        <v/>
      </c>
      <c r="W134" s="502">
        <f>B134/N134</f>
        <v/>
      </c>
      <c r="X134" s="502">
        <f>C134/O134</f>
        <v/>
      </c>
      <c r="Y134" s="378">
        <f>(W134-X134)/X134</f>
        <v/>
      </c>
      <c r="Z134" s="506">
        <f>SUMIFS(Search!$AG:$AG,Search!$A:$A,"P11",Search!$D:$D,"Brand")</f>
        <v/>
      </c>
      <c r="AA134" s="504">
        <f>SUMIFS(Search!$AH:$AH,Search!$A:$A,"P11",Search!$D:$D,"Brand")</f>
        <v/>
      </c>
      <c r="AB134" s="378">
        <f>(Z134-AA134)/AA134</f>
        <v/>
      </c>
      <c r="AC134" s="506">
        <f>SUMIFS(Search!$AK:$AK,Search!$A:$A,"P11",Search!$D:$D,"Brand")</f>
        <v/>
      </c>
      <c r="AD134" s="504">
        <f>SUMIFS(Search!$AL:$AL,Search!$A:$A,"P11",Search!$D:$D,"Brand")</f>
        <v/>
      </c>
      <c r="AE134" s="378">
        <f>(AC134-AD134)/AD134</f>
        <v/>
      </c>
      <c r="AF134" s="505">
        <f>Z134/AC134</f>
        <v/>
      </c>
      <c r="AG134" s="505">
        <f>AA134/AD134</f>
        <v/>
      </c>
      <c r="AH134" s="378">
        <f>(AF134-AG134)/AG134</f>
        <v/>
      </c>
    </row>
    <row outlineLevel="1" r="135" s="452" spans="1:34">
      <c r="A135" s="373" t="s">
        <v>36</v>
      </c>
      <c r="B135" s="502">
        <f>SUMIFS(Search!$E:$E,Search!$A:$A,"P11",Search!$D:$D,"Non-Brand")</f>
        <v/>
      </c>
      <c r="C135" s="502">
        <f>SUMIFS(Search!$F:$F,Search!$A:$A,"P11",Search!$D:$D,"Non-Brand")</f>
        <v/>
      </c>
      <c r="D135" s="369">
        <f>(B135-C135)/C135</f>
        <v/>
      </c>
      <c r="E135" s="502">
        <f>SUMIFS(Search!$I:$I,Search!$A:$A,"P11",Search!$D:$D,"Non-Brand")</f>
        <v/>
      </c>
      <c r="F135" s="502">
        <f>SUMIFS(Search!$J:$J,Search!$A:$A,"P11",Search!$D:$D,"Non-Brand")</f>
        <v/>
      </c>
      <c r="G135" s="375">
        <f>(E135-F135)/F135</f>
        <v/>
      </c>
      <c r="H135" s="503">
        <f>B135/E135</f>
        <v/>
      </c>
      <c r="I135" s="503">
        <f>C135/F135</f>
        <v/>
      </c>
      <c r="J135" s="375">
        <f>(H135-I135)/I135</f>
        <v/>
      </c>
      <c r="K135" s="504">
        <f>SUMIFS(Search!$Q:$Q,Search!$A:$A,"P11",Search!$D:$D,"Non-Brand")</f>
        <v/>
      </c>
      <c r="L135" s="504">
        <f>SUMIFS(Search!$R:$R,Search!$A:$A,"P11",Search!$D:$D,"Non-Brand")</f>
        <v/>
      </c>
      <c r="M135" s="375">
        <f>(K135-L135)/L135</f>
        <v/>
      </c>
      <c r="N135" s="504">
        <f>SUMIFS(Search!$U:$U,Search!$A:$A,"P11",Search!$D:$D,"Non-Brand")</f>
        <v/>
      </c>
      <c r="O135" s="504">
        <f>SUMIFS(Search!$V:$V,Search!$A:$A,"P11",Search!$D:$D,"Non-Brand")</f>
        <v/>
      </c>
      <c r="P135" s="378">
        <f>(N135-O135)/O135</f>
        <v/>
      </c>
      <c r="Q135" s="505">
        <f>N135/K135</f>
        <v/>
      </c>
      <c r="R135" s="505">
        <f>O135/L135</f>
        <v/>
      </c>
      <c r="S135" s="378">
        <f>(Q135-R135)/R135</f>
        <v/>
      </c>
      <c r="T135" s="502">
        <f>E135/N135</f>
        <v/>
      </c>
      <c r="U135" s="502">
        <f>F135/O135</f>
        <v/>
      </c>
      <c r="V135" s="375">
        <f>(T135-U135)/U135</f>
        <v/>
      </c>
      <c r="W135" s="502">
        <f>B135/N135</f>
        <v/>
      </c>
      <c r="X135" s="502">
        <f>C135/O135</f>
        <v/>
      </c>
      <c r="Y135" s="378">
        <f>(W135-X135)/X135</f>
        <v/>
      </c>
      <c r="Z135" s="506">
        <f>SUMIFS(Search!$AG:$AG,Search!$A:$A,"P11",Search!$D:$D,"Non-Brand")</f>
        <v/>
      </c>
      <c r="AA135" s="504">
        <f>SUMIFS(Search!$AH:$AH,Search!$A:$A,"P11",Search!$D:$D,"Non-Brand")</f>
        <v/>
      </c>
      <c r="AB135" s="378">
        <f>(Z135-AA135)/AA135</f>
        <v/>
      </c>
      <c r="AC135" s="506">
        <f>SUMIFS(Search!$AK:$AK,Search!$A:$A,"P11",Search!$D:$D,"Non-Brand")</f>
        <v/>
      </c>
      <c r="AD135" s="504">
        <f>SUMIFS(Search!$AL:$AL,Search!$A:$A,"P11",Search!$D:$D,"Non-Brand")</f>
        <v/>
      </c>
      <c r="AE135" s="378">
        <f>(AC135-AD135)/AD135</f>
        <v/>
      </c>
      <c r="AF135" s="505">
        <f>Z135/AC135</f>
        <v/>
      </c>
      <c r="AG135" s="505">
        <f>AA135/AD135</f>
        <v/>
      </c>
      <c r="AH135" s="378">
        <f>(AF135-AG135)/AG135</f>
        <v/>
      </c>
    </row>
    <row outlineLevel="1" r="136" s="452" spans="1:34">
      <c r="A136" s="373" t="s">
        <v>37</v>
      </c>
      <c r="B136" s="502">
        <f>SUMIFS(Search!$E:$E,Search!$A:$A,"P11",Search!$D:$D,"Shopping Campaigns")</f>
        <v/>
      </c>
      <c r="C136" s="502">
        <f>SUMIFS(Search!$F:$F,Search!$A:$A,"P11",Search!$D:$D,"Shopping Campaigns")</f>
        <v/>
      </c>
      <c r="D136" s="369">
        <f>(B136-C136)/C136</f>
        <v/>
      </c>
      <c r="E136" s="502">
        <f>SUMIFS(Search!$I:$I,Search!$A:$A,"P11",Search!$D:$D,"Shopping Campaigns")</f>
        <v/>
      </c>
      <c r="F136" s="502">
        <f>SUMIFS(Search!$J:$J,Search!$A:$A,"P11",Search!$D:$D,"Shopping Campaigns")</f>
        <v/>
      </c>
      <c r="G136" s="375">
        <f>(E136-F136)/F136</f>
        <v/>
      </c>
      <c r="H136" s="503">
        <f>B136/E136</f>
        <v/>
      </c>
      <c r="I136" s="503">
        <f>C136/F136</f>
        <v/>
      </c>
      <c r="J136" s="375">
        <f>(H136-I136)/I136</f>
        <v/>
      </c>
      <c r="K136" s="504">
        <f>SUMIFS(Search!$Q:$Q,Search!$A:$A,"P11",Search!$D:$D,"Shopping Campaigns")</f>
        <v/>
      </c>
      <c r="L136" s="504">
        <f>SUMIFS(Search!$R:$R,Search!$A:$A,"P11",Search!$D:$D,"Shopping Campaigns")</f>
        <v/>
      </c>
      <c r="M136" s="375">
        <f>(K136-L136)/L136</f>
        <v/>
      </c>
      <c r="N136" s="504">
        <f>SUMIFS(Search!$U:$U,Search!$A:$A,"P11",Search!$D:$D,"Shopping Campaigns")</f>
        <v/>
      </c>
      <c r="O136" s="504">
        <f>SUMIFS(Search!$V:$V,Search!$A:$A,"P11",Search!$D:$D,"Shopping Campaigns")</f>
        <v/>
      </c>
      <c r="P136" s="378">
        <f>(N136-O136)/O136</f>
        <v/>
      </c>
      <c r="Q136" s="505">
        <f>N136/K136</f>
        <v/>
      </c>
      <c r="R136" s="505">
        <f>O136/L136</f>
        <v/>
      </c>
      <c r="S136" s="378">
        <f>(Q136-R136)/R136</f>
        <v/>
      </c>
      <c r="T136" s="502">
        <f>E136/N136</f>
        <v/>
      </c>
      <c r="U136" s="502">
        <f>F136/O136</f>
        <v/>
      </c>
      <c r="V136" s="375">
        <f>(T136-U136)/U136</f>
        <v/>
      </c>
      <c r="W136" s="502">
        <f>B136/N136</f>
        <v/>
      </c>
      <c r="X136" s="502">
        <f>C136/O136</f>
        <v/>
      </c>
      <c r="Y136" s="378">
        <f>(W136-X136)/X136</f>
        <v/>
      </c>
      <c r="Z136" s="506">
        <f>SUMIFS(Search!$AG:$AG,Search!$A:$A,"P11",Search!$D:$D,"Shopping Campaigns")</f>
        <v/>
      </c>
      <c r="AA136" s="504">
        <f>SUMIFS(Search!$AH:$AH,Search!$A:$A,"P11",Search!$D:$D,"Shopping Campaigns")</f>
        <v/>
      </c>
      <c r="AB136" s="378">
        <f>(Z136-AA136)/AA136</f>
        <v/>
      </c>
      <c r="AC136" s="506">
        <f>SUMIFS(Search!$AK:$AK,Search!$A:$A,"P11",Search!$D:$D,"Shopping Campaigns")</f>
        <v/>
      </c>
      <c r="AD136" s="504">
        <f>SUMIFS(Search!$AL:$AL,Search!$A:$A,"P11",Search!$D:$D,"Shopping Campaigns")</f>
        <v/>
      </c>
      <c r="AE136" s="378">
        <f>(AC136-AD136)/AD136</f>
        <v/>
      </c>
      <c r="AF136" s="505">
        <f>Z136/AC136</f>
        <v/>
      </c>
      <c r="AG136" s="505">
        <f>AA136/AD136</f>
        <v/>
      </c>
      <c r="AH136" s="378">
        <f>(AF136-AG136)/AG136</f>
        <v/>
      </c>
    </row>
    <row customFormat="1" customHeight="1" ht="21" r="137" s="367" spans="1:34">
      <c r="A137" s="380" t="s">
        <v>27</v>
      </c>
      <c r="B137" s="497">
        <f>SUMIFS(Affiliate!D:D,Affiliate!$A:$A,"P11")</f>
        <v/>
      </c>
      <c r="C137" s="497">
        <f>SUMIFS(Affiliate!E:E,Affiliate!$A:$A,"P11")</f>
        <v/>
      </c>
      <c r="D137" s="369">
        <f>(B137-C137)/C137</f>
        <v/>
      </c>
      <c r="E137" s="497">
        <f>SUMIFS(Affiliate!H:H,Affiliate!$A:$A,"P11")</f>
        <v/>
      </c>
      <c r="F137" s="497">
        <f>SUMIFS(Affiliate!I:I,Affiliate!$A:$A,"P11")</f>
        <v/>
      </c>
      <c r="G137" s="369">
        <f>(E137-F137)/F137</f>
        <v/>
      </c>
      <c r="H137" s="498">
        <f>B137/E137</f>
        <v/>
      </c>
      <c r="I137" s="498">
        <f>C137/F137</f>
        <v/>
      </c>
      <c r="J137" s="369">
        <f>(H137-I137)/I137</f>
        <v/>
      </c>
      <c r="K137" s="499">
        <f>SUMIFS(Affiliate!$AF:$AF,Affiliate!$A:$A,"P11")</f>
        <v/>
      </c>
      <c r="L137" s="499">
        <f>SUMIFS(Affiliate!$AG:$AG,Affiliate!$A:$A,"P11")</f>
        <v/>
      </c>
      <c r="M137" s="369">
        <f>(K137-L137)/L137</f>
        <v/>
      </c>
      <c r="N137" s="499">
        <f>SUMIFS(Affiliate!$AJ:$AJ,Affiliate!$A:$A,"P11")</f>
        <v/>
      </c>
      <c r="O137" s="499">
        <f>SUMIFS(Affiliate!$AK:$AK,Affiliate!$A:$A,"P11")</f>
        <v/>
      </c>
      <c r="P137" s="381">
        <f>(N137-O137)/O137</f>
        <v/>
      </c>
      <c r="Q137" s="507">
        <f>N137/K137</f>
        <v/>
      </c>
      <c r="R137" s="507">
        <f>O137/L137</f>
        <v/>
      </c>
      <c r="S137" s="381">
        <f>(Q137-R137)/R137</f>
        <v/>
      </c>
      <c r="T137" s="508">
        <f>E137/N137</f>
        <v/>
      </c>
      <c r="U137" s="508">
        <f>F137/O137</f>
        <v/>
      </c>
      <c r="V137" s="369">
        <f>(T137-U137)/U137</f>
        <v/>
      </c>
      <c r="W137" s="508">
        <f>B137/N137</f>
        <v/>
      </c>
      <c r="X137" s="508">
        <f>C137/O137</f>
        <v/>
      </c>
      <c r="Y137" s="381">
        <f>(W137-X137)/X137</f>
        <v/>
      </c>
      <c r="Z137" s="509" t="n"/>
      <c r="AA137" s="384" t="n"/>
      <c r="AB137" s="381">
        <f>(Z137-AA137)/AA137</f>
        <v/>
      </c>
      <c r="AC137" s="509" t="n"/>
      <c r="AD137" s="384" t="n"/>
      <c r="AE137" s="381">
        <f>(AC137-AD137)/AD137</f>
        <v/>
      </c>
      <c r="AF137" s="510" t="n"/>
      <c r="AG137" s="510" t="n"/>
      <c r="AH137" s="381">
        <f>(AF137-AG137)/AG137</f>
        <v/>
      </c>
    </row>
    <row customFormat="1" customHeight="1" ht="20.1" r="138" s="367" spans="1:34">
      <c r="A138" s="367" t="s">
        <v>28</v>
      </c>
      <c r="B138" s="497">
        <f>SUM(B139:B140)</f>
        <v/>
      </c>
      <c r="C138" s="497">
        <f>SUM(C139:C140)</f>
        <v/>
      </c>
      <c r="D138" s="369">
        <f>(B138-C138)/C138</f>
        <v/>
      </c>
      <c r="E138" s="497">
        <f>SUM(E139:E140)</f>
        <v/>
      </c>
      <c r="F138" s="497">
        <f>SUM(F139:F140)</f>
        <v/>
      </c>
      <c r="G138" s="369">
        <f>(E138-F138)/F138</f>
        <v/>
      </c>
      <c r="H138" s="498">
        <f>B138/E138</f>
        <v/>
      </c>
      <c r="I138" s="498">
        <f>C138/F138</f>
        <v/>
      </c>
      <c r="J138" s="369">
        <f>(H138-I138)/I138</f>
        <v/>
      </c>
      <c r="K138" s="499">
        <f>SUM(K139:K140)</f>
        <v/>
      </c>
      <c r="L138" s="499">
        <f>SUM(L139:L140)</f>
        <v/>
      </c>
      <c r="M138" s="369">
        <f>(K138-L138)/L138</f>
        <v/>
      </c>
      <c r="N138" s="499">
        <f>SUM(N139:N140)</f>
        <v/>
      </c>
      <c r="O138" s="499">
        <f>SUM(O139:O140)</f>
        <v/>
      </c>
      <c r="P138" s="381">
        <f>(N138-O138)/O138</f>
        <v/>
      </c>
      <c r="Q138" s="507">
        <f>N138/K138</f>
        <v/>
      </c>
      <c r="R138" s="507">
        <f>O138/L138</f>
        <v/>
      </c>
      <c r="S138" s="381">
        <f>(Q138-R138)/R138</f>
        <v/>
      </c>
      <c r="T138" s="508">
        <f>E138/N138</f>
        <v/>
      </c>
      <c r="U138" s="508">
        <f>F138/O138</f>
        <v/>
      </c>
      <c r="V138" s="369">
        <f>(T138-U138)/U138</f>
        <v/>
      </c>
      <c r="W138" s="508">
        <f>B138/N138</f>
        <v/>
      </c>
      <c r="X138" s="508">
        <f>C138/O138</f>
        <v/>
      </c>
      <c r="Y138" s="381">
        <f>(W138-X138)/X138</f>
        <v/>
      </c>
      <c r="Z138" s="501">
        <f>SUM(Z139:Z140)</f>
        <v/>
      </c>
      <c r="AA138" s="499">
        <f>SUM(AA139:AA140)</f>
        <v/>
      </c>
      <c r="AB138" s="381">
        <f>(Z138-AA138)/AA138</f>
        <v/>
      </c>
      <c r="AC138" s="501">
        <f>SUM(AC139:AC140)</f>
        <v/>
      </c>
      <c r="AD138" s="499">
        <f>SUM(AD139:AD140)</f>
        <v/>
      </c>
      <c r="AE138" s="381">
        <f>(AC138-AD138)/AD138</f>
        <v/>
      </c>
      <c r="AF138" s="507">
        <f>Z138/AC138</f>
        <v/>
      </c>
      <c r="AG138" s="507">
        <f>AA138/AD138</f>
        <v/>
      </c>
      <c r="AH138" s="381">
        <f>(AF138-AG138)/AG138</f>
        <v/>
      </c>
    </row>
    <row outlineLevel="1" r="139" s="452" spans="1:34">
      <c r="A139" s="373" t="s">
        <v>38</v>
      </c>
      <c r="B139" s="502">
        <f>SUMIFS('Social - Promos'!$E:$E,'Social - Promos'!$A:$A,"p11")</f>
        <v/>
      </c>
      <c r="C139" s="502">
        <f>SUMIFS('Social - Promos'!$F:$F,'Social - Promos'!$A:$A,"P11")</f>
        <v/>
      </c>
      <c r="D139" s="369">
        <f>(B139-C139)/C139</f>
        <v/>
      </c>
      <c r="E139" s="502">
        <f>SUMIFS('Social - Promos'!$K:$K,'Social - Promos'!$A:$A,"P11")</f>
        <v/>
      </c>
      <c r="F139" s="502">
        <f>SUMIFS('Social - Promos'!$L:$L,'Social - Promos'!$A:$A,"p11")</f>
        <v/>
      </c>
      <c r="G139" s="375">
        <f>(E139-F139)/F139</f>
        <v/>
      </c>
      <c r="H139" s="484">
        <f>B139/E139</f>
        <v/>
      </c>
      <c r="I139" s="484">
        <f>C139/F139</f>
        <v/>
      </c>
      <c r="J139" s="375">
        <f>(H139-I139)/I139</f>
        <v/>
      </c>
      <c r="K139" s="504">
        <f>SUMIFS('Social - Promos'!$T:$T,'Social - Promos'!$A:$A,"p11")</f>
        <v/>
      </c>
      <c r="L139" s="504">
        <f>SUMIFS('Social - Promos'!$U:$U,'Social - Promos'!$A:$A,"p11")</f>
        <v/>
      </c>
      <c r="M139" s="375">
        <f>(K139-L139)/L139</f>
        <v/>
      </c>
      <c r="N139" s="504">
        <f>SUMIFS('Social - Promos'!$W:$W,'Social - Promos'!$A:$A,"p11")</f>
        <v/>
      </c>
      <c r="O139" s="504">
        <f>SUMIFS('Social - Promos'!$X:$X,'Social - Promos'!$A:$A,"p11")</f>
        <v/>
      </c>
      <c r="P139" s="378">
        <f>(N139-O139)/O139</f>
        <v/>
      </c>
      <c r="Q139" s="505">
        <f>N139/K139</f>
        <v/>
      </c>
      <c r="R139" s="505">
        <f>O139/L139</f>
        <v/>
      </c>
      <c r="S139" s="378">
        <f>(Q139-R139)/R139</f>
        <v/>
      </c>
      <c r="T139" s="502">
        <f>E139/N139</f>
        <v/>
      </c>
      <c r="U139" s="502">
        <f>F139/O139</f>
        <v/>
      </c>
      <c r="V139" s="375">
        <f>(T139-U139)/U139</f>
        <v/>
      </c>
      <c r="W139" s="502">
        <f>B139/N139</f>
        <v/>
      </c>
      <c r="X139" s="502">
        <f>C139/O139</f>
        <v/>
      </c>
      <c r="Y139" s="378">
        <f>(W139-X139)/X139</f>
        <v/>
      </c>
      <c r="Z139" s="506">
        <f>SUMIFS('Social - Promos'!$AF:$AF,'Social - Promos'!$A:$A,"p11")</f>
        <v/>
      </c>
      <c r="AA139" s="504">
        <f>SUMIFS('Social - Promos'!$AG:$AG,'Social - Promos'!$A:$A,"p11")</f>
        <v/>
      </c>
      <c r="AB139" s="378">
        <f>(Z139-AA139)/AA139</f>
        <v/>
      </c>
      <c r="AC139" s="506">
        <f>SUMIFS('Social - Promos'!$AI:$AI,'Social - Promos'!$A:$A,"p11")</f>
        <v/>
      </c>
      <c r="AD139" s="504">
        <f>SUMIFS('Social - Promos'!$AJ:$AJ,'Social - Promos'!$A:$A,"p11")</f>
        <v/>
      </c>
      <c r="AE139" s="378">
        <f>(AC139-AD139)/AD139</f>
        <v/>
      </c>
      <c r="AF139" s="505">
        <f>Z139/AC139</f>
        <v/>
      </c>
      <c r="AG139" s="505">
        <f>AA139/AD139</f>
        <v/>
      </c>
      <c r="AH139" s="378">
        <f>(AF139-AG139)/AG139</f>
        <v/>
      </c>
    </row>
    <row outlineLevel="1" r="140" s="452" spans="1:34">
      <c r="A140" s="373" t="s">
        <v>39</v>
      </c>
      <c r="B140" s="502">
        <f>SUMIFS('Social - Remarketing'!$D:$D,'Social - Remarketing'!$A:$A,"P11")</f>
        <v/>
      </c>
      <c r="C140" s="502">
        <f>SUMIFS('Social - Remarketing'!$E:$E,'Social - Remarketing'!$A:$A,"P11")</f>
        <v/>
      </c>
      <c r="D140" s="369">
        <f>(B140-C140)/C140</f>
        <v/>
      </c>
      <c r="E140" s="502">
        <f>SUMIFS('Social - Remarketing'!$H:$H,'Social - Remarketing'!$A:$A,"P11")</f>
        <v/>
      </c>
      <c r="F140" s="502">
        <f>SUMIFS('Social - Remarketing'!$I:$I,'Social - Remarketing'!$A:$A,"P11")</f>
        <v/>
      </c>
      <c r="G140" s="369">
        <f>(E140-F140)/F140</f>
        <v/>
      </c>
      <c r="H140" s="484">
        <f>B140/E140</f>
        <v/>
      </c>
      <c r="I140" s="484">
        <f>C140/F140</f>
        <v/>
      </c>
      <c r="J140" s="369">
        <f>(H140-I140)/I140</f>
        <v/>
      </c>
      <c r="K140" s="504">
        <f>SUMIFS('Social - Remarketing'!$X:$X,'Social - Remarketing'!$A:$A,"P11")</f>
        <v/>
      </c>
      <c r="L140" s="504">
        <f>SUMIFS('Social - Remarketing'!$Y:$Y,'Social - Remarketing'!$A:$A,"P11")</f>
        <v/>
      </c>
      <c r="M140" s="375">
        <f>(K140-L140)/L140</f>
        <v/>
      </c>
      <c r="N140" s="504">
        <f>SUMIFS('Social - Remarketing'!$AB:$AB,'Social - Remarketing'!$A:$A,"P11")</f>
        <v/>
      </c>
      <c r="O140" s="504">
        <f>SUMIFS('Social - Remarketing'!$AC:$AC,'Social - Remarketing'!$A:$A,"P11")</f>
        <v/>
      </c>
      <c r="P140" s="378">
        <f>(N140-O140)/O140</f>
        <v/>
      </c>
      <c r="Q140" s="505">
        <f>N140/K140</f>
        <v/>
      </c>
      <c r="R140" s="505">
        <f>O140/L140</f>
        <v/>
      </c>
      <c r="S140" s="378">
        <f>(Q140-R140)/R140</f>
        <v/>
      </c>
      <c r="T140" s="502">
        <f>E140/N140</f>
        <v/>
      </c>
      <c r="U140" s="502">
        <f>F140/O140</f>
        <v/>
      </c>
      <c r="V140" s="375">
        <f>(T140-U140)/U140</f>
        <v/>
      </c>
      <c r="W140" s="502">
        <f>B140/N140</f>
        <v/>
      </c>
      <c r="X140" s="502">
        <f>C140/O140</f>
        <v/>
      </c>
      <c r="Y140" s="378">
        <f>(W140-X140)/X140</f>
        <v/>
      </c>
      <c r="Z140" s="506">
        <f>SUMIFS('Social - Remarketing'!$AN:$AN,'Social - Remarketing'!$A:$A,"P11")</f>
        <v/>
      </c>
      <c r="AA140" s="504">
        <f>SUMIFS('Social - Remarketing'!$AO:$AO,'Social - Remarketing'!$A:$A,"P11")</f>
        <v/>
      </c>
      <c r="AB140" s="378">
        <f>(Z140-AA140)/AA140</f>
        <v/>
      </c>
      <c r="AC140" s="506">
        <f>SUMIFS('Social - Remarketing'!$AR:$AR,'Social - Remarketing'!$A:$A,"P11")</f>
        <v/>
      </c>
      <c r="AD140" s="504">
        <f>SUMIFS('Social - Remarketing'!$AS:$AS,'Social - Remarketing'!$A:$A,"P11")</f>
        <v/>
      </c>
      <c r="AE140" s="378">
        <f>(AC140-AD140)/AD140</f>
        <v/>
      </c>
      <c r="AF140" s="505">
        <f>Z140/AC140</f>
        <v/>
      </c>
      <c r="AG140" s="505">
        <f>AA140/AD140</f>
        <v/>
      </c>
      <c r="AH140" s="378">
        <f>(AF140-AG140)/AG140</f>
        <v/>
      </c>
    </row>
    <row customFormat="1" customHeight="1" ht="21" r="141" s="367" spans="1:34">
      <c r="A141" s="367" t="s">
        <v>29</v>
      </c>
      <c r="B141" s="497">
        <f>SUM(B142:B143)</f>
        <v/>
      </c>
      <c r="C141" s="497">
        <f>SUM(C142:C143)</f>
        <v/>
      </c>
      <c r="D141" s="369">
        <f>(B141-C141)/C141</f>
        <v/>
      </c>
      <c r="E141" s="497">
        <f>SUM(E142:E143)</f>
        <v/>
      </c>
      <c r="F141" s="497">
        <f>SUM(F142:F143)</f>
        <v/>
      </c>
      <c r="G141" s="369">
        <f>(E141-F141)/F141</f>
        <v/>
      </c>
      <c r="H141" s="498">
        <f>B141/E141</f>
        <v/>
      </c>
      <c r="I141" s="498">
        <f>C141/F141</f>
        <v/>
      </c>
      <c r="J141" s="369">
        <f>(H141-I141)/I141</f>
        <v/>
      </c>
      <c r="K141" s="499">
        <f>SUM(K142:K143)</f>
        <v/>
      </c>
      <c r="L141" s="499">
        <f>SUM(L142:L143)</f>
        <v/>
      </c>
      <c r="M141" s="369">
        <f>(K141-L141)/L141</f>
        <v/>
      </c>
      <c r="N141" s="499">
        <f>SUM(N142:N143)</f>
        <v/>
      </c>
      <c r="O141" s="499">
        <f>SUM(O142:O143)</f>
        <v/>
      </c>
      <c r="P141" s="381">
        <f>(N141-O141)/O141</f>
        <v/>
      </c>
      <c r="Q141" s="507">
        <f>N141/K141</f>
        <v/>
      </c>
      <c r="R141" s="507">
        <f>O141/L141</f>
        <v/>
      </c>
      <c r="S141" s="381">
        <f>(Q141-R141)/R141</f>
        <v/>
      </c>
      <c r="T141" s="508">
        <f>E141/N141</f>
        <v/>
      </c>
      <c r="U141" s="508">
        <f>F141/O141</f>
        <v/>
      </c>
      <c r="V141" s="369">
        <f>(T141-U141)/U141</f>
        <v/>
      </c>
      <c r="W141" s="508">
        <f>B141/N141</f>
        <v/>
      </c>
      <c r="X141" s="508">
        <f>C141/O141</f>
        <v/>
      </c>
      <c r="Y141" s="381">
        <f>(W141-X141)/X141</f>
        <v/>
      </c>
      <c r="Z141" s="501">
        <f>SUM(Z142:Z143)</f>
        <v/>
      </c>
      <c r="AA141" s="499">
        <f>SUM(AA142:AA143)</f>
        <v/>
      </c>
      <c r="AB141" s="381">
        <f>(Z141-AA141)/AA141</f>
        <v/>
      </c>
      <c r="AC141" s="501">
        <f>SUM(AC142:AC143)</f>
        <v/>
      </c>
      <c r="AD141" s="499">
        <f>SUM(AD142:AD143)</f>
        <v/>
      </c>
      <c r="AE141" s="381">
        <f>(AC141-AD141)/AD141</f>
        <v/>
      </c>
      <c r="AF141" s="507">
        <f>Z141/AC141</f>
        <v/>
      </c>
      <c r="AG141" s="507">
        <f>AA141/AD141</f>
        <v/>
      </c>
      <c r="AH141" s="381">
        <f>(AF141-AG141)/AG141</f>
        <v/>
      </c>
    </row>
    <row outlineLevel="1" r="142" s="452" spans="1:34">
      <c r="A142" s="373" t="s">
        <v>38</v>
      </c>
      <c r="B142" s="502">
        <f>SUMIFS('Display - Promos'!$E:$E,'Display - Promos'!$A:$A,"P11")</f>
        <v/>
      </c>
      <c r="C142" s="502">
        <f>SUMIFS('Display - Promos'!$F:$F,'Display - Promos'!$A:$A,"P11")</f>
        <v/>
      </c>
      <c r="D142" s="375">
        <f>(B142-C142)/C142</f>
        <v/>
      </c>
      <c r="E142" s="502">
        <f>SUMIFS('Display - Promos'!$H:$H,'Display - Promos'!$A:$A,"p11")</f>
        <v/>
      </c>
      <c r="F142" s="502">
        <f>SUMIFS('Display - Promos'!$I:$I,'Display - Promos'!$A:$A,"p11")</f>
        <v/>
      </c>
      <c r="G142" s="375">
        <f>(E142-F142)/F142</f>
        <v/>
      </c>
      <c r="H142" s="484">
        <f>B142/E142</f>
        <v/>
      </c>
      <c r="I142" s="484">
        <f>C142/F142</f>
        <v/>
      </c>
      <c r="J142" s="369">
        <f>(H142-I142)/I142</f>
        <v/>
      </c>
      <c r="K142" s="504">
        <f>SUMIFS('Display - Promos'!$N:$N,'Display - Promos'!$A:$A,"p11")</f>
        <v/>
      </c>
      <c r="L142" s="504">
        <f>SUMIFS('Display - Promos'!$O:$O,'Display - Promos'!$A:$A,"p11")</f>
        <v/>
      </c>
      <c r="M142" s="375">
        <f>(K142-L142)/L142</f>
        <v/>
      </c>
      <c r="N142" s="504">
        <f>SUMIFS('Display - Promos'!$Q:$Q,'Display - Promos'!$A:$A,"p11")</f>
        <v/>
      </c>
      <c r="O142" s="504">
        <f>SUMIFS('Display - Promos'!$R:$R,'Display - Promos'!$A:$A,"p11")</f>
        <v/>
      </c>
      <c r="P142" s="378">
        <f>(N142-O142)/O142</f>
        <v/>
      </c>
      <c r="Q142" s="505">
        <f>N142/K142</f>
        <v/>
      </c>
      <c r="R142" s="505">
        <f>O142/L142</f>
        <v/>
      </c>
      <c r="S142" s="378">
        <f>(Q142-R142)/R142</f>
        <v/>
      </c>
      <c r="T142" s="502">
        <f>E142/N142</f>
        <v/>
      </c>
      <c r="U142" s="502">
        <f>F142/O142</f>
        <v/>
      </c>
      <c r="V142" s="375">
        <f>(T142-U142)/U142</f>
        <v/>
      </c>
      <c r="W142" s="502">
        <f>B142/N142</f>
        <v/>
      </c>
      <c r="X142" s="502">
        <f>C142/O142</f>
        <v/>
      </c>
      <c r="Y142" s="378">
        <f>(W142-X142)/X142</f>
        <v/>
      </c>
      <c r="Z142" s="506">
        <f>SUMIFS('Display - Promos'!$W:$W,'Display - Promos'!$A:$A,"p11")</f>
        <v/>
      </c>
      <c r="AA142" s="504">
        <f>SUMIFS('Display - Promos'!$X:$X,'Display - Promos'!$A:$A,"p11")</f>
        <v/>
      </c>
      <c r="AB142" s="378">
        <f>(Z142-AA142)/AA142</f>
        <v/>
      </c>
      <c r="AC142" s="506">
        <f>SUMIFS('Display - Promos'!$Z:$Z,'Display - Promos'!$A:$A,"p11")</f>
        <v/>
      </c>
      <c r="AD142" s="504">
        <f>SUMIFS('Display - Promos'!$AA:$AA,'Display - Promos'!$A:$A,"p11")</f>
        <v/>
      </c>
      <c r="AE142" s="378">
        <f>(AC142-AD142)/AD142</f>
        <v/>
      </c>
      <c r="AF142" s="505">
        <f>Z142/AC142</f>
        <v/>
      </c>
      <c r="AG142" s="505">
        <f>AA142/AD142</f>
        <v/>
      </c>
      <c r="AH142" s="378">
        <f>(AF142-AG142)/AG142</f>
        <v/>
      </c>
    </row>
    <row customHeight="1" ht="19.5" outlineLevel="1" r="143" s="452" spans="1:34" thickBot="1">
      <c r="A143" s="373" t="s">
        <v>39</v>
      </c>
      <c r="B143" s="502">
        <f>SUMIFS('Display - Remarketing'!$D:$D,'Display - Remarketing'!$A:$A,"P11")</f>
        <v/>
      </c>
      <c r="C143" s="502">
        <f>SUMIFS('Display - Remarketing'!$E:$E,'Display - Remarketing'!$A:$A,"P11")</f>
        <v/>
      </c>
      <c r="D143" s="369">
        <f>(B143-C143)/C143</f>
        <v/>
      </c>
      <c r="E143" s="502">
        <f>SUMIFS('Display - Remarketing'!$H:$H,'Display - Remarketing'!$A:$A,"P11")</f>
        <v/>
      </c>
      <c r="F143" s="502">
        <f>SUMIFS('Display - Remarketing'!$I:$I,'Display - Remarketing'!$A:$A,"P11")</f>
        <v/>
      </c>
      <c r="G143" s="369">
        <f>(E143-F143)/F143</f>
        <v/>
      </c>
      <c r="H143" s="484">
        <f>B143/E143</f>
        <v/>
      </c>
      <c r="I143" s="484">
        <f>C143/F143</f>
        <v/>
      </c>
      <c r="J143" s="369">
        <f>(H143-I143)/I143</f>
        <v/>
      </c>
      <c r="K143" s="504">
        <f>SUMIFS('Display - Remarketing'!$P:$P,'Display - Remarketing'!$A:$A,"P11")</f>
        <v/>
      </c>
      <c r="L143" s="504">
        <f>SUMIFS('Display - Remarketing'!$Q:$Q,'Display - Remarketing'!$A:$A,"P11")</f>
        <v/>
      </c>
      <c r="M143" s="375">
        <f>(K143-L143)/L143</f>
        <v/>
      </c>
      <c r="N143" s="504">
        <f>SUMIFS('Display - Remarketing'!$T:$T,'Display - Remarketing'!$A:$A,"P11")</f>
        <v/>
      </c>
      <c r="O143" s="504">
        <f>SUMIFS('Display - Remarketing'!$U:$U,'Display - Remarketing'!$A:$A,"P11")</f>
        <v/>
      </c>
      <c r="P143" s="378">
        <f>(N143-O143)/O143</f>
        <v/>
      </c>
      <c r="Q143" s="505">
        <f>N143/K143</f>
        <v/>
      </c>
      <c r="R143" s="505">
        <f>O143/L143</f>
        <v/>
      </c>
      <c r="S143" s="378">
        <f>(Q143-R143)/R143</f>
        <v/>
      </c>
      <c r="T143" s="502">
        <f>E143/N143</f>
        <v/>
      </c>
      <c r="U143" s="502">
        <f>F143/O143</f>
        <v/>
      </c>
      <c r="V143" s="375">
        <f>(T143-U143)/U143</f>
        <v/>
      </c>
      <c r="W143" s="502">
        <f>B143/N143</f>
        <v/>
      </c>
      <c r="X143" s="502">
        <f>C143/O143</f>
        <v/>
      </c>
      <c r="Y143" s="378">
        <f>(W143-X143)/X143</f>
        <v/>
      </c>
      <c r="Z143" s="506">
        <f>SUMIFS('Display - Remarketing'!$AB:$AB,'Display - Remarketing'!$A:$A,"p11")</f>
        <v/>
      </c>
      <c r="AA143" s="504">
        <f>SUMIFS('Display - Remarketing'!$AC:$AC,'Display - Remarketing'!$A:$A,"P11")</f>
        <v/>
      </c>
      <c r="AB143" s="378">
        <f>(Z143-AA143)/AA143</f>
        <v/>
      </c>
      <c r="AC143" s="506">
        <f>SUMIFS('Display - Remarketing'!$AF:$AF,'Display - Remarketing'!$A:$A,"P11")</f>
        <v/>
      </c>
      <c r="AD143" s="504">
        <f>SUMIFS('Display - Remarketing'!$AG:$AG,'Display - Remarketing'!$A:$A,"P11")</f>
        <v/>
      </c>
      <c r="AE143" s="378">
        <f>(AC143-AD143)/AD143</f>
        <v/>
      </c>
      <c r="AF143" s="505">
        <f>Z143/AC143</f>
        <v/>
      </c>
      <c r="AG143" s="505">
        <f>AA143/AD143</f>
        <v/>
      </c>
      <c r="AH143" s="378">
        <f>(AF143-AG143)/AG143</f>
        <v/>
      </c>
    </row>
    <row customFormat="1" customHeight="1" ht="22.5" r="144" s="395" spans="1:34" thickBot="1" thickTop="1">
      <c r="A144" s="387" t="s">
        <v>40</v>
      </c>
      <c r="B144" s="511">
        <f>B133+B137+B138+B141</f>
        <v/>
      </c>
      <c r="C144" s="511">
        <f>C133+C137+C138+C141</f>
        <v/>
      </c>
      <c r="D144" s="389">
        <f>(B144-C144)/C144</f>
        <v/>
      </c>
      <c r="E144" s="511">
        <f>E133+E137+E138+E141</f>
        <v/>
      </c>
      <c r="F144" s="511">
        <f>F133+F137+F138+F141</f>
        <v/>
      </c>
      <c r="G144" s="390">
        <f>(E144-F144)/F144</f>
        <v/>
      </c>
      <c r="H144" s="512">
        <f>B144/E144</f>
        <v/>
      </c>
      <c r="I144" s="512">
        <f>C144/F144</f>
        <v/>
      </c>
      <c r="J144" s="390">
        <f>(H144-I144)/I144</f>
        <v/>
      </c>
      <c r="K144" s="513">
        <f>K133+K137+K138+K141</f>
        <v/>
      </c>
      <c r="L144" s="513">
        <f>L133+L137+L138+L141</f>
        <v/>
      </c>
      <c r="M144" s="390">
        <f>(K144-L144)/L144</f>
        <v/>
      </c>
      <c r="N144" s="513">
        <f>N133+N137+N138+N141</f>
        <v/>
      </c>
      <c r="O144" s="513">
        <f>O133+O137+O138+O141</f>
        <v/>
      </c>
      <c r="P144" s="389">
        <f>(N144-O144)/O144</f>
        <v/>
      </c>
      <c r="Q144" s="514">
        <f>N144/K144</f>
        <v/>
      </c>
      <c r="R144" s="514">
        <f>O144/L144</f>
        <v/>
      </c>
      <c r="S144" s="389">
        <f>(Q144-R144)/R144</f>
        <v/>
      </c>
      <c r="T144" s="511">
        <f>E144/N144</f>
        <v/>
      </c>
      <c r="U144" s="511">
        <f>F144/O144</f>
        <v/>
      </c>
      <c r="V144" s="390">
        <f>(T144-U144)/U144</f>
        <v/>
      </c>
      <c r="W144" s="511">
        <f>B144/N144</f>
        <v/>
      </c>
      <c r="X144" s="511">
        <f>C144/O144</f>
        <v/>
      </c>
      <c r="Y144" s="389">
        <f>(W144-X144)/X144</f>
        <v/>
      </c>
      <c r="Z144" s="515">
        <f>Z133+Z137+Z138+Z141</f>
        <v/>
      </c>
      <c r="AA144" s="516">
        <f>AA133+AA137+AA138+AA141</f>
        <v/>
      </c>
      <c r="AB144" s="389">
        <f>(Z144-AA144)/AA144</f>
        <v/>
      </c>
      <c r="AC144" s="515">
        <f>AC133+AC137+AC138+AC141</f>
        <v/>
      </c>
      <c r="AD144" s="513">
        <f>AD133+AD137+AD138+AD141</f>
        <v/>
      </c>
      <c r="AE144" s="389">
        <f>(AC144-AD144)/AD144</f>
        <v/>
      </c>
      <c r="AF144" s="514">
        <f>Z144/AC144</f>
        <v/>
      </c>
      <c r="AG144" s="514">
        <f>AA144/AD144</f>
        <v/>
      </c>
      <c r="AH144" s="389">
        <f>(AF144-AG144)/AG144</f>
        <v/>
      </c>
    </row>
    <row r="145" spans="1:34">
      <c r="A145" s="359" t="s">
        <v>51</v>
      </c>
      <c r="B145" s="488" t="s">
        <v>1</v>
      </c>
      <c r="C145" s="488" t="s">
        <v>2</v>
      </c>
      <c r="D145" s="489" t="s">
        <v>3</v>
      </c>
      <c r="E145" s="488" t="s">
        <v>4</v>
      </c>
      <c r="F145" s="488" t="s">
        <v>5</v>
      </c>
      <c r="G145" s="489" t="s">
        <v>3</v>
      </c>
      <c r="H145" s="490" t="s">
        <v>6</v>
      </c>
      <c r="I145" s="490" t="s">
        <v>7</v>
      </c>
      <c r="J145" s="489" t="s">
        <v>3</v>
      </c>
      <c r="K145" s="490" t="s">
        <v>8</v>
      </c>
      <c r="L145" s="491" t="s">
        <v>9</v>
      </c>
      <c r="M145" s="489" t="s">
        <v>3</v>
      </c>
      <c r="N145" s="491" t="s">
        <v>10</v>
      </c>
      <c r="O145" s="491" t="s">
        <v>11</v>
      </c>
      <c r="P145" s="489" t="s">
        <v>3</v>
      </c>
      <c r="Q145" s="491" t="s">
        <v>12</v>
      </c>
      <c r="R145" s="491" t="s">
        <v>13</v>
      </c>
      <c r="S145" s="489" t="s">
        <v>3</v>
      </c>
      <c r="T145" s="492" t="s">
        <v>14</v>
      </c>
      <c r="U145" s="492" t="s">
        <v>15</v>
      </c>
      <c r="V145" s="489" t="s">
        <v>3</v>
      </c>
      <c r="W145" s="492" t="s">
        <v>16</v>
      </c>
      <c r="X145" s="492" t="s">
        <v>17</v>
      </c>
      <c r="Y145" s="489" t="s">
        <v>3</v>
      </c>
      <c r="Z145" s="493" t="s">
        <v>18</v>
      </c>
      <c r="AA145" s="491" t="s">
        <v>19</v>
      </c>
      <c r="AB145" s="489" t="s">
        <v>3</v>
      </c>
      <c r="AC145" s="494" t="s">
        <v>33</v>
      </c>
      <c r="AD145" s="495" t="s">
        <v>34</v>
      </c>
      <c r="AE145" s="489" t="s">
        <v>3</v>
      </c>
      <c r="AF145" s="496" t="s">
        <v>22</v>
      </c>
      <c r="AG145" s="496" t="s">
        <v>23</v>
      </c>
      <c r="AH145" s="489" t="s">
        <v>3</v>
      </c>
    </row>
    <row customFormat="1" customHeight="1" ht="20.1" r="146" s="367" spans="1:34">
      <c r="A146" s="367" t="s">
        <v>24</v>
      </c>
      <c r="B146" s="497">
        <f>SUM(B147:B149)</f>
        <v/>
      </c>
      <c r="C146" s="497">
        <f>SUM(C147:C149)</f>
        <v/>
      </c>
      <c r="D146" s="369">
        <f>(B146-C146)/C146</f>
        <v/>
      </c>
      <c r="E146" s="497">
        <f>SUM(E147:E149)</f>
        <v/>
      </c>
      <c r="F146" s="497">
        <f>SUM(F147:F149)</f>
        <v/>
      </c>
      <c r="G146" s="369">
        <f>(E146-F146)/F146</f>
        <v/>
      </c>
      <c r="H146" s="498">
        <f>B146/E146</f>
        <v/>
      </c>
      <c r="I146" s="498">
        <f>C146/F146</f>
        <v/>
      </c>
      <c r="J146" s="369">
        <f>(H146-I146)/I146</f>
        <v/>
      </c>
      <c r="K146" s="499">
        <f>SUM(K147:K149)</f>
        <v/>
      </c>
      <c r="L146" s="499">
        <f>SUM(L147:L149)</f>
        <v/>
      </c>
      <c r="M146" s="369">
        <f>(K146-L146)/L146</f>
        <v/>
      </c>
      <c r="N146" s="499">
        <f>SUM(N147:N149)</f>
        <v/>
      </c>
      <c r="O146" s="499">
        <f>SUM(O147:O149)</f>
        <v/>
      </c>
      <c r="P146" s="369">
        <f>(N146-O146)/O146</f>
        <v/>
      </c>
      <c r="Q146" s="500">
        <f>N146/K146</f>
        <v/>
      </c>
      <c r="R146" s="500">
        <f>O146/L146</f>
        <v/>
      </c>
      <c r="S146" s="369">
        <f>(Q146-R146)/R146</f>
        <v/>
      </c>
      <c r="T146" s="497">
        <f>E146/N146</f>
        <v/>
      </c>
      <c r="U146" s="497">
        <f>F146/O146</f>
        <v/>
      </c>
      <c r="V146" s="369">
        <f>(T146-U146)/U146</f>
        <v/>
      </c>
      <c r="W146" s="497">
        <f>B146/N146</f>
        <v/>
      </c>
      <c r="X146" s="497">
        <f>C146/O146</f>
        <v/>
      </c>
      <c r="Y146" s="369">
        <f>(W146-X146)/X146</f>
        <v/>
      </c>
      <c r="Z146" s="501">
        <f>SUM(Z147:Z149)</f>
        <v/>
      </c>
      <c r="AA146" s="499">
        <f>SUM(AA147:AA149)</f>
        <v/>
      </c>
      <c r="AB146" s="369">
        <f>(Z146-AA146)/AA146</f>
        <v/>
      </c>
      <c r="AC146" s="501">
        <f>SUM(AC147:AC149)</f>
        <v/>
      </c>
      <c r="AD146" s="499">
        <f>SUM(AD147:AD149)</f>
        <v/>
      </c>
      <c r="AE146" s="369">
        <f>(AC146-AD146)/AD146</f>
        <v/>
      </c>
      <c r="AF146" s="500">
        <f>Z146/AC146</f>
        <v/>
      </c>
      <c r="AG146" s="500">
        <f>AA146/AD146</f>
        <v/>
      </c>
      <c r="AH146" s="369">
        <f>(AF146-AG146)/AG146</f>
        <v/>
      </c>
    </row>
    <row outlineLevel="1" r="147" s="452" spans="1:34">
      <c r="A147" s="373" t="s">
        <v>35</v>
      </c>
      <c r="B147" s="502">
        <f>SUMIFS(Search!$E:$E,Search!$A:$A,"P12",Search!$D:$D,"Brand")</f>
        <v/>
      </c>
      <c r="C147" s="502">
        <f>SUMIFS(Search!$F:$F,Search!$A:$A,"P12",Search!$D:$D,"Brand")</f>
        <v/>
      </c>
      <c r="D147" s="369">
        <f>(B147-C147)/C147</f>
        <v/>
      </c>
      <c r="E147" s="502">
        <f>SUMIFS(Search!$I:$I,Search!$A:$A,"P12",Search!$D:$D,"Brand")</f>
        <v/>
      </c>
      <c r="F147" s="502">
        <f>SUMIFS(Search!$J:$J,Search!$A:$A,"P12",Search!$D:$D,"Brand")</f>
        <v/>
      </c>
      <c r="G147" s="375">
        <f>(E147-F147)/F147</f>
        <v/>
      </c>
      <c r="H147" s="503">
        <f>B147/E147</f>
        <v/>
      </c>
      <c r="I147" s="503">
        <f>C147/F147</f>
        <v/>
      </c>
      <c r="J147" s="375">
        <f>(H147-I147)/I147</f>
        <v/>
      </c>
      <c r="K147" s="504">
        <f>SUMIFS(Search!$Q:$Q,Search!$A:$A,"P12",Search!$D:$D,"Brand")</f>
        <v/>
      </c>
      <c r="L147" s="504">
        <f>SUMIFS(Search!$R:$R,Search!$A:$A,"P12",Search!$D:$D,"Brand")</f>
        <v/>
      </c>
      <c r="M147" s="375">
        <f>(K147-L147)/L147</f>
        <v/>
      </c>
      <c r="N147" s="504">
        <f>SUMIFS(Search!$U:$U,Search!$A:$A,"P12",Search!$D:$D,"Brand")</f>
        <v/>
      </c>
      <c r="O147" s="504">
        <f>SUMIFS(Search!$V:$V,Search!$A:$A,"P12",Search!$D:$D,"Brand")</f>
        <v/>
      </c>
      <c r="P147" s="378">
        <f>(N147-O147)/O147</f>
        <v/>
      </c>
      <c r="Q147" s="505">
        <f>N147/K147</f>
        <v/>
      </c>
      <c r="R147" s="505">
        <f>O147/L147</f>
        <v/>
      </c>
      <c r="S147" s="378">
        <f>(Q147-R147)/R147</f>
        <v/>
      </c>
      <c r="T147" s="502">
        <f>E147/N147</f>
        <v/>
      </c>
      <c r="U147" s="502">
        <f>F147/O147</f>
        <v/>
      </c>
      <c r="V147" s="375">
        <f>(T147-U147)/U147</f>
        <v/>
      </c>
      <c r="W147" s="502">
        <f>B147/N147</f>
        <v/>
      </c>
      <c r="X147" s="502">
        <f>C147/O147</f>
        <v/>
      </c>
      <c r="Y147" s="378">
        <f>(W147-X147)/X147</f>
        <v/>
      </c>
      <c r="Z147" s="506">
        <f>SUMIFS(Search!$AG:$AG,Search!$A:$A,"P12",Search!$D:$D,"Brand")</f>
        <v/>
      </c>
      <c r="AA147" s="504">
        <f>SUMIFS(Search!$AH:$AH,Search!$A:$A,"P12",Search!$D:$D,"Brand")</f>
        <v/>
      </c>
      <c r="AB147" s="378">
        <f>(Z147-AA147)/AA147</f>
        <v/>
      </c>
      <c r="AC147" s="506">
        <f>SUMIFS(Search!$AK:$AK,Search!$A:$A,"P12",Search!$D:$D,"Brand")</f>
        <v/>
      </c>
      <c r="AD147" s="504">
        <f>SUMIFS(Search!$AL:$AL,Search!$A:$A,"P13",Search!$D:$D,"Brand")</f>
        <v/>
      </c>
      <c r="AE147" s="378">
        <f>(AC147-AD147)/AD147</f>
        <v/>
      </c>
      <c r="AF147" s="505">
        <f>Z147/AC147</f>
        <v/>
      </c>
      <c r="AG147" s="505">
        <f>AA147/AD147</f>
        <v/>
      </c>
      <c r="AH147" s="378">
        <f>(AF147-AG147)/AG147</f>
        <v/>
      </c>
    </row>
    <row outlineLevel="1" r="148" s="452" spans="1:34">
      <c r="A148" s="373" t="s">
        <v>36</v>
      </c>
      <c r="B148" s="502">
        <f>SUMIFS(Search!$E:$E,Search!$A:$A,"P12",Search!$D:$D,"Non-Brand")</f>
        <v/>
      </c>
      <c r="C148" s="502">
        <f>SUMIFS(Search!$F:$F,Search!$A:$A,"P12",Search!$D:$D,"Non-Brand")</f>
        <v/>
      </c>
      <c r="D148" s="369">
        <f>(B148-C148)/C148</f>
        <v/>
      </c>
      <c r="E148" s="502">
        <f>SUMIFS(Search!$I:$I,Search!$A:$A,"P12",Search!$D:$D,"Non-Brand")</f>
        <v/>
      </c>
      <c r="F148" s="502">
        <f>SUMIFS(Search!$J:$J,Search!$A:$A,"P12",Search!$D:$D,"Non-Brand")</f>
        <v/>
      </c>
      <c r="G148" s="375">
        <f>(E148-F148)/F148</f>
        <v/>
      </c>
      <c r="H148" s="503">
        <f>B148/E148</f>
        <v/>
      </c>
      <c r="I148" s="503">
        <f>C148/F148</f>
        <v/>
      </c>
      <c r="J148" s="375">
        <f>(H148-I148)/I148</f>
        <v/>
      </c>
      <c r="K148" s="504">
        <f>SUMIFS(Search!$Q:$Q,Search!$A:$A,"P12",Search!$D:$D,"Non-Brand")</f>
        <v/>
      </c>
      <c r="L148" s="504">
        <f>SUMIFS(Search!$R:$R,Search!$A:$A,"P12",Search!$D:$D,"Non-Brand")</f>
        <v/>
      </c>
      <c r="M148" s="375">
        <f>(K148-L148)/L148</f>
        <v/>
      </c>
      <c r="N148" s="504">
        <f>SUMIFS(Search!$U:$U,Search!$A:$A,"P12",Search!$D:$D,"Non-Brand")</f>
        <v/>
      </c>
      <c r="O148" s="504">
        <f>SUMIFS(Search!$V:$V,Search!$A:$A,"P12",Search!$D:$D,"Non-Brand")</f>
        <v/>
      </c>
      <c r="P148" s="378">
        <f>(N148-O148)/O148</f>
        <v/>
      </c>
      <c r="Q148" s="505">
        <f>N148/K148</f>
        <v/>
      </c>
      <c r="R148" s="505">
        <f>O148/L148</f>
        <v/>
      </c>
      <c r="S148" s="378">
        <f>(Q148-R148)/R148</f>
        <v/>
      </c>
      <c r="T148" s="502">
        <f>E148/N148</f>
        <v/>
      </c>
      <c r="U148" s="502">
        <f>F148/O148</f>
        <v/>
      </c>
      <c r="V148" s="375">
        <f>(T148-U148)/U148</f>
        <v/>
      </c>
      <c r="W148" s="502">
        <f>B148/N148</f>
        <v/>
      </c>
      <c r="X148" s="502">
        <f>C148/O148</f>
        <v/>
      </c>
      <c r="Y148" s="378">
        <f>(W148-X148)/X148</f>
        <v/>
      </c>
      <c r="Z148" s="506">
        <f>SUMIFS(Search!$AG:$AG,Search!$A:$A,"P12",Search!$D:$D,"Non-Brand")</f>
        <v/>
      </c>
      <c r="AA148" s="504">
        <f>SUMIFS(Search!$AH:$AH,Search!$A:$A,"P12",Search!$D:$D,"Non-Brand")</f>
        <v/>
      </c>
      <c r="AB148" s="378">
        <f>(Z148-AA148)/AA148</f>
        <v/>
      </c>
      <c r="AC148" s="506">
        <f>SUMIFS(Search!$AK:$AK,Search!$A:$A,"P12",Search!$D:$D,"Non-Brand")</f>
        <v/>
      </c>
      <c r="AD148" s="504">
        <f>SUMIFS(Search!$AL:$AL,Search!$A:$A,"P13",Search!$D:$D,"Non-Brand")</f>
        <v/>
      </c>
      <c r="AE148" s="378">
        <f>(AC148-AD148)/AD148</f>
        <v/>
      </c>
      <c r="AF148" s="505">
        <f>Z148/AC148</f>
        <v/>
      </c>
      <c r="AG148" s="505">
        <f>AA148/AD148</f>
        <v/>
      </c>
      <c r="AH148" s="378">
        <f>(AF148-AG148)/AG148</f>
        <v/>
      </c>
    </row>
    <row outlineLevel="1" r="149" s="452" spans="1:34">
      <c r="A149" s="373" t="s">
        <v>37</v>
      </c>
      <c r="B149" s="502">
        <f>SUMIFS(Search!$E:$E,Search!$A:$A,"P12",Search!$D:$D,"Shopping Campaigns")</f>
        <v/>
      </c>
      <c r="C149" s="502">
        <f>SUMIFS(Search!$F:$F,Search!$A:$A,"P12",Search!$D:$D,"Shopping Campaigns")</f>
        <v/>
      </c>
      <c r="D149" s="369">
        <f>(B149-C149)/C149</f>
        <v/>
      </c>
      <c r="E149" s="502">
        <f>SUMIFS(Search!$I:$I,Search!$A:$A,"P12",Search!$D:$D,"Shopping Campaigns")</f>
        <v/>
      </c>
      <c r="F149" s="502">
        <f>SUMIFS(Search!$J:$J,Search!$A:$A,"P12",Search!$D:$D,"Shopping Campaigns")</f>
        <v/>
      </c>
      <c r="G149" s="375">
        <f>(E149-F149)/F149</f>
        <v/>
      </c>
      <c r="H149" s="503">
        <f>B149/E149</f>
        <v/>
      </c>
      <c r="I149" s="503">
        <f>C149/F149</f>
        <v/>
      </c>
      <c r="J149" s="375">
        <f>(H149-I149)/I149</f>
        <v/>
      </c>
      <c r="K149" s="504">
        <f>SUMIFS(Search!$Q:$Q,Search!$A:$A,"P12",Search!$D:$D,"Shopping Campaigns")</f>
        <v/>
      </c>
      <c r="L149" s="504">
        <f>SUMIFS(Search!$R:$R,Search!$A:$A,"P12",Search!$D:$D,"Shopping Campaigns")</f>
        <v/>
      </c>
      <c r="M149" s="375">
        <f>(K149-L149)/L149</f>
        <v/>
      </c>
      <c r="N149" s="504">
        <f>SUMIFS(Search!$U:$U,Search!$A:$A,"P12",Search!$D:$D,"Shopping Campaigns")</f>
        <v/>
      </c>
      <c r="O149" s="504">
        <f>SUMIFS(Search!$V:$V,Search!$A:$A,"P12",Search!$D:$D,"Shopping Campaigns")</f>
        <v/>
      </c>
      <c r="P149" s="378">
        <f>(N149-O149)/O149</f>
        <v/>
      </c>
      <c r="Q149" s="505">
        <f>N149/K149</f>
        <v/>
      </c>
      <c r="R149" s="505">
        <f>O149/L149</f>
        <v/>
      </c>
      <c r="S149" s="378">
        <f>(Q149-R149)/R149</f>
        <v/>
      </c>
      <c r="T149" s="502">
        <f>E149/N149</f>
        <v/>
      </c>
      <c r="U149" s="502">
        <f>F149/O149</f>
        <v/>
      </c>
      <c r="V149" s="375">
        <f>(T149-U149)/U149</f>
        <v/>
      </c>
      <c r="W149" s="502">
        <f>B149/N149</f>
        <v/>
      </c>
      <c r="X149" s="502">
        <f>C149/O149</f>
        <v/>
      </c>
      <c r="Y149" s="378">
        <f>(W149-X149)/X149</f>
        <v/>
      </c>
      <c r="Z149" s="506">
        <f>SUMIFS(Search!$AG:$AG,Search!$A:$A,"P12",Search!$D:$D,"Shopping Campaigns")</f>
        <v/>
      </c>
      <c r="AA149" s="504">
        <f>SUMIFS(Search!$AH:$AH,Search!$A:$A,"P12",Search!$D:$D,"Shopping Campaigns")</f>
        <v/>
      </c>
      <c r="AB149" s="378">
        <f>(Z149-AA149)/AA149</f>
        <v/>
      </c>
      <c r="AC149" s="506">
        <f>SUMIFS(Search!$AK:$AK,Search!$A:$A,"P12",Search!$D:$D,"Shopping Campaigns")</f>
        <v/>
      </c>
      <c r="AD149" s="504">
        <f>SUMIFS(Search!$AL:$AL,Search!$A:$A,"P13",Search!$D:$D,"Shopping Campaigns")</f>
        <v/>
      </c>
      <c r="AE149" s="378">
        <f>(AC149-AD149)/AD149</f>
        <v/>
      </c>
      <c r="AF149" s="505">
        <f>Z149/AC149</f>
        <v/>
      </c>
      <c r="AG149" s="505">
        <f>AA149/AD149</f>
        <v/>
      </c>
      <c r="AH149" s="378">
        <f>(AF149-AG149)/AG149</f>
        <v/>
      </c>
    </row>
    <row customFormat="1" customHeight="1" ht="21" r="150" s="367" spans="1:34">
      <c r="A150" s="380" t="s">
        <v>27</v>
      </c>
      <c r="B150" s="497">
        <f>SUMIFS(Affiliate!D:D,Affiliate!$A:$A,"P12")</f>
        <v/>
      </c>
      <c r="C150" s="497">
        <f>SUMIFS(Affiliate!E:E,Affiliate!$A:$A,"P12")</f>
        <v/>
      </c>
      <c r="D150" s="369">
        <f>(B150-C150)/C150</f>
        <v/>
      </c>
      <c r="E150" s="497">
        <f>SUMIFS(Affiliate!H:H,Affiliate!$A:$A,"P12")</f>
        <v/>
      </c>
      <c r="F150" s="497">
        <f>SUMIFS(Affiliate!I:I,Affiliate!$A:$A,"P12")</f>
        <v/>
      </c>
      <c r="G150" s="369">
        <f>(E150-F150)/F150</f>
        <v/>
      </c>
      <c r="H150" s="498">
        <f>B150/E150</f>
        <v/>
      </c>
      <c r="I150" s="498">
        <f>C150/F150</f>
        <v/>
      </c>
      <c r="J150" s="369">
        <f>(H150-I150)/I150</f>
        <v/>
      </c>
      <c r="K150" s="499">
        <f>SUMIFS(Affiliate!$AF:$AF,Affiliate!$A:$A,"P12")</f>
        <v/>
      </c>
      <c r="L150" s="499">
        <f>SUMIFS(Affiliate!$AG:$AG,Affiliate!$A:$A,"P12")</f>
        <v/>
      </c>
      <c r="M150" s="369">
        <f>(K150-L150)/L150</f>
        <v/>
      </c>
      <c r="N150" s="499">
        <f>SUMIFS(Affiliate!$AJ:$AJ,Affiliate!$A:$A,"P12")</f>
        <v/>
      </c>
      <c r="O150" s="499">
        <f>SUMIFS(Affiliate!$AK:$AK,Affiliate!$A:$A,"P12")</f>
        <v/>
      </c>
      <c r="P150" s="381">
        <f>(N150-O150)/O150</f>
        <v/>
      </c>
      <c r="Q150" s="507">
        <f>N150/K150</f>
        <v/>
      </c>
      <c r="R150" s="507">
        <f>O150/L150</f>
        <v/>
      </c>
      <c r="S150" s="381">
        <f>(Q150-R150)/R150</f>
        <v/>
      </c>
      <c r="T150" s="508">
        <f>E150/N150</f>
        <v/>
      </c>
      <c r="U150" s="508">
        <f>F150/O150</f>
        <v/>
      </c>
      <c r="V150" s="369">
        <f>(T150-U150)/U150</f>
        <v/>
      </c>
      <c r="W150" s="508">
        <f>B150/N150</f>
        <v/>
      </c>
      <c r="X150" s="508">
        <f>C150/O150</f>
        <v/>
      </c>
      <c r="Y150" s="381">
        <f>(W150-X150)/X150</f>
        <v/>
      </c>
      <c r="Z150" s="509" t="n"/>
      <c r="AA150" s="384" t="n"/>
      <c r="AB150" s="381">
        <f>(Z150-AA150)/AA150</f>
        <v/>
      </c>
      <c r="AC150" s="509" t="n"/>
      <c r="AD150" s="384" t="n"/>
      <c r="AE150" s="381">
        <f>(AC150-AD150)/AD150</f>
        <v/>
      </c>
      <c r="AF150" s="510" t="n"/>
      <c r="AG150" s="510" t="n"/>
      <c r="AH150" s="381">
        <f>(AF150-AG150)/AG150</f>
        <v/>
      </c>
    </row>
    <row customFormat="1" customHeight="1" ht="20.1" r="151" s="367" spans="1:34">
      <c r="A151" s="367" t="s">
        <v>28</v>
      </c>
      <c r="B151" s="497">
        <f>SUM(B152:B153)</f>
        <v/>
      </c>
      <c r="C151" s="497">
        <f>SUM(C152:C153)</f>
        <v/>
      </c>
      <c r="D151" s="369">
        <f>(B151-C151)/C151</f>
        <v/>
      </c>
      <c r="E151" s="497">
        <f>SUM(E152:E153)</f>
        <v/>
      </c>
      <c r="F151" s="497">
        <f>SUM(F152:F153)</f>
        <v/>
      </c>
      <c r="G151" s="369">
        <f>(E151-F151)/F151</f>
        <v/>
      </c>
      <c r="H151" s="498">
        <f>B151/E151</f>
        <v/>
      </c>
      <c r="I151" s="498">
        <f>C151/F151</f>
        <v/>
      </c>
      <c r="J151" s="369">
        <f>(H151-I151)/I151</f>
        <v/>
      </c>
      <c r="K151" s="499">
        <f>SUM(K152:K153)</f>
        <v/>
      </c>
      <c r="L151" s="499">
        <f>SUM(L152:L153)</f>
        <v/>
      </c>
      <c r="M151" s="369">
        <f>(K151-L151)/L151</f>
        <v/>
      </c>
      <c r="N151" s="499">
        <f>SUM(N152:N153)</f>
        <v/>
      </c>
      <c r="O151" s="499">
        <f>SUM(O152:O153)</f>
        <v/>
      </c>
      <c r="P151" s="381">
        <f>(N151-O151)/O151</f>
        <v/>
      </c>
      <c r="Q151" s="507">
        <f>N151/K151</f>
        <v/>
      </c>
      <c r="R151" s="507">
        <f>O151/L151</f>
        <v/>
      </c>
      <c r="S151" s="381">
        <f>(Q151-R151)/R151</f>
        <v/>
      </c>
      <c r="T151" s="508">
        <f>E151/N151</f>
        <v/>
      </c>
      <c r="U151" s="508">
        <f>F151/O151</f>
        <v/>
      </c>
      <c r="V151" s="369">
        <f>(T151-U151)/U151</f>
        <v/>
      </c>
      <c r="W151" s="508">
        <f>B151/N151</f>
        <v/>
      </c>
      <c r="X151" s="508">
        <f>C151/O151</f>
        <v/>
      </c>
      <c r="Y151" s="381">
        <f>(W151-X151)/X151</f>
        <v/>
      </c>
      <c r="Z151" s="501">
        <f>SUM(Z152:Z153)</f>
        <v/>
      </c>
      <c r="AA151" s="499">
        <f>SUM(AA152:AA153)</f>
        <v/>
      </c>
      <c r="AB151" s="381">
        <f>(Z151-AA151)/AA151</f>
        <v/>
      </c>
      <c r="AC151" s="501">
        <f>SUM(AC152:AC153)</f>
        <v/>
      </c>
      <c r="AD151" s="499">
        <f>SUM(AD152:AD153)</f>
        <v/>
      </c>
      <c r="AE151" s="381">
        <f>(AC151-AD151)/AD151</f>
        <v/>
      </c>
      <c r="AF151" s="507">
        <f>Z151/AC151</f>
        <v/>
      </c>
      <c r="AG151" s="507">
        <f>AA151/AD151</f>
        <v/>
      </c>
      <c r="AH151" s="381">
        <f>(AF151-AG151)/AG151</f>
        <v/>
      </c>
    </row>
    <row outlineLevel="1" r="152" s="452" spans="1:34">
      <c r="A152" s="373" t="s">
        <v>38</v>
      </c>
      <c r="B152" s="502">
        <f>SUMIFS('Social - Promos'!$E:$E,'Social - Promos'!$A:$A,"p12")</f>
        <v/>
      </c>
      <c r="C152" s="502">
        <f>SUMIFS('Social - Promos'!$F:$F,'Social - Promos'!$A:$A,"p12")</f>
        <v/>
      </c>
      <c r="D152" s="369">
        <f>(B152-C152)/C152</f>
        <v/>
      </c>
      <c r="E152" s="502">
        <f>SUMIFS('Social - Promos'!$K:$K,'Social - Promos'!$A:$A,"P12")</f>
        <v/>
      </c>
      <c r="F152" s="502">
        <f>SUMIFS('Social - Promos'!$L:$L,'Social - Promos'!$A:$A,"p12")</f>
        <v/>
      </c>
      <c r="G152" s="375">
        <f>(E152-F152)/F152</f>
        <v/>
      </c>
      <c r="H152" s="484">
        <f>B152/E152</f>
        <v/>
      </c>
      <c r="I152" s="484">
        <f>C152/F152</f>
        <v/>
      </c>
      <c r="J152" s="375">
        <f>(H152-I152)/I152</f>
        <v/>
      </c>
      <c r="K152" s="504">
        <f>SUMIFS('Social - Promos'!$T:$T,'Social - Promos'!$A:$A,"p12")</f>
        <v/>
      </c>
      <c r="L152" s="504">
        <f>SUMIFS('Social - Promos'!$U:$U,'Social - Promos'!$A:$A,"p12")</f>
        <v/>
      </c>
      <c r="M152" s="375">
        <f>(K152-L152)/L152</f>
        <v/>
      </c>
      <c r="N152" s="504">
        <f>SUMIFS('Social - Promos'!$W:$W,'Social - Promos'!$A:$A,"p12")</f>
        <v/>
      </c>
      <c r="O152" s="504">
        <f>SUMIFS('Social - Promos'!$X:$X,'Social - Promos'!$A:$A,"p12")</f>
        <v/>
      </c>
      <c r="P152" s="378">
        <f>(N152-O152)/O152</f>
        <v/>
      </c>
      <c r="Q152" s="505">
        <f>N152/K152</f>
        <v/>
      </c>
      <c r="R152" s="505">
        <f>O152/L152</f>
        <v/>
      </c>
      <c r="S152" s="378">
        <f>(Q152-R152)/R152</f>
        <v/>
      </c>
      <c r="T152" s="502">
        <f>E152/N152</f>
        <v/>
      </c>
      <c r="U152" s="502">
        <f>F152/O152</f>
        <v/>
      </c>
      <c r="V152" s="375">
        <f>(T152-U152)/U152</f>
        <v/>
      </c>
      <c r="W152" s="502">
        <f>B152/N152</f>
        <v/>
      </c>
      <c r="X152" s="502">
        <f>C152/O152</f>
        <v/>
      </c>
      <c r="Y152" s="378">
        <f>(W152-X152)/X152</f>
        <v/>
      </c>
      <c r="Z152" s="506">
        <f>SUMIFS('Social - Promos'!$AF:$AF,'Social - Promos'!$A:$A,"p12")</f>
        <v/>
      </c>
      <c r="AA152" s="504">
        <f>SUMIFS('Social - Promos'!$AG:$AG,'Social - Promos'!$A:$A,"p12")</f>
        <v/>
      </c>
      <c r="AB152" s="378">
        <f>(Z152-AA152)/AA152</f>
        <v/>
      </c>
      <c r="AC152" s="506">
        <f>SUMIFS('Social - Promos'!$AI:$AI,'Social - Promos'!$A:$A,"p12")</f>
        <v/>
      </c>
      <c r="AD152" s="504">
        <f>SUMIFS('Social - Promos'!$AJ:$AJ,'Social - Promos'!$A:$A,"p13")</f>
        <v/>
      </c>
      <c r="AE152" s="378">
        <f>(AC152-AD152)/AD152</f>
        <v/>
      </c>
      <c r="AF152" s="505">
        <f>Z152/AC152</f>
        <v/>
      </c>
      <c r="AG152" s="505">
        <f>AA152/AD152</f>
        <v/>
      </c>
      <c r="AH152" s="378">
        <f>(AF152-AG152)/AG152</f>
        <v/>
      </c>
    </row>
    <row outlineLevel="1" r="153" s="452" spans="1:34">
      <c r="A153" s="373" t="s">
        <v>39</v>
      </c>
      <c r="B153" s="502">
        <f>SUMIFS('Social - Remarketing'!$D:$D,'Social - Remarketing'!$A:$A,"P12")</f>
        <v/>
      </c>
      <c r="C153" s="502">
        <f>SUMIFS('Social - Remarketing'!$E:$E,'Social - Remarketing'!$A:$A,"P12")</f>
        <v/>
      </c>
      <c r="D153" s="369">
        <f>(B153-C153)/C153</f>
        <v/>
      </c>
      <c r="E153" s="502">
        <f>SUMIFS('Social - Remarketing'!$H:$H,'Social - Remarketing'!$A:$A,"P12")</f>
        <v/>
      </c>
      <c r="F153" s="502">
        <f>SUMIFS('Social - Remarketing'!$I:$I,'Social - Remarketing'!$A:$A,"P12")</f>
        <v/>
      </c>
      <c r="G153" s="369">
        <f>(E153-F153)/F153</f>
        <v/>
      </c>
      <c r="H153" s="484">
        <f>B153/E153</f>
        <v/>
      </c>
      <c r="I153" s="484">
        <f>C153/F153</f>
        <v/>
      </c>
      <c r="J153" s="369">
        <f>(H153-I153)/I153</f>
        <v/>
      </c>
      <c r="K153" s="504">
        <f>SUMIFS('Social - Remarketing'!$X:$X,'Social - Remarketing'!$A:$A,"P12")</f>
        <v/>
      </c>
      <c r="L153" s="504">
        <f>SUMIFS('Social - Remarketing'!$Y:$Y,'Social - Remarketing'!$A:$A,"P12")</f>
        <v/>
      </c>
      <c r="M153" s="375">
        <f>(K153-L153)/L153</f>
        <v/>
      </c>
      <c r="N153" s="504">
        <f>SUMIFS('Social - Remarketing'!$AB:$AB,'Social - Remarketing'!$A:$A,"P12")</f>
        <v/>
      </c>
      <c r="O153" s="504">
        <f>SUMIFS('Social - Remarketing'!$AC:$AC,'Social - Remarketing'!$A:$A,"P12")</f>
        <v/>
      </c>
      <c r="P153" s="378">
        <f>(N153-O153)/O153</f>
        <v/>
      </c>
      <c r="Q153" s="505">
        <f>N153/K153</f>
        <v/>
      </c>
      <c r="R153" s="505">
        <f>O153/L153</f>
        <v/>
      </c>
      <c r="S153" s="378">
        <f>(Q153-R153)/R153</f>
        <v/>
      </c>
      <c r="T153" s="502">
        <f>E153/N153</f>
        <v/>
      </c>
      <c r="U153" s="502">
        <f>F153/O153</f>
        <v/>
      </c>
      <c r="V153" s="375">
        <f>(T153-U153)/U153</f>
        <v/>
      </c>
      <c r="W153" s="502">
        <f>B153/N153</f>
        <v/>
      </c>
      <c r="X153" s="502">
        <f>C153/O153</f>
        <v/>
      </c>
      <c r="Y153" s="378">
        <f>(W153-X153)/X153</f>
        <v/>
      </c>
      <c r="Z153" s="506">
        <f>SUMIFS('Social - Remarketing'!$AN:$AN,'Social - Remarketing'!$A:$A,"P12")</f>
        <v/>
      </c>
      <c r="AA153" s="504">
        <f>SUMIFS('Social - Remarketing'!$AO:$AO,'Social - Remarketing'!$A:$A,"P12")</f>
        <v/>
      </c>
      <c r="AB153" s="378">
        <f>(Z153-AA153)/AA153</f>
        <v/>
      </c>
      <c r="AC153" s="506">
        <f>SUMIFS('Social - Remarketing'!$AR:$AR,'Social - Remarketing'!$A:$A,"P12")</f>
        <v/>
      </c>
      <c r="AD153" s="504">
        <f>SUMIFS('Social - Remarketing'!$AS:$AS,'Social - Remarketing'!$A:$A,"P13")</f>
        <v/>
      </c>
      <c r="AE153" s="378">
        <f>(AC153-AD153)/AD153</f>
        <v/>
      </c>
      <c r="AF153" s="505">
        <f>Z153/AC153</f>
        <v/>
      </c>
      <c r="AG153" s="505">
        <f>AA153/AD153</f>
        <v/>
      </c>
      <c r="AH153" s="378">
        <f>(AF153-AG153)/AG153</f>
        <v/>
      </c>
    </row>
    <row customFormat="1" customHeight="1" ht="21" r="154" s="367" spans="1:34">
      <c r="A154" s="367" t="s">
        <v>29</v>
      </c>
      <c r="B154" s="497">
        <f>SUM(B155:B156)</f>
        <v/>
      </c>
      <c r="C154" s="497">
        <f>SUM(C155:C156)</f>
        <v/>
      </c>
      <c r="D154" s="369">
        <f>(B154-C154)/C154</f>
        <v/>
      </c>
      <c r="E154" s="497">
        <f>SUM(E155:E156)</f>
        <v/>
      </c>
      <c r="F154" s="497">
        <f>SUM(F155:F156)</f>
        <v/>
      </c>
      <c r="G154" s="369">
        <f>(E154-F154)/F154</f>
        <v/>
      </c>
      <c r="H154" s="498">
        <f>B154/E154</f>
        <v/>
      </c>
      <c r="I154" s="498">
        <f>C154/F154</f>
        <v/>
      </c>
      <c r="J154" s="369">
        <f>(H154-I154)/I154</f>
        <v/>
      </c>
      <c r="K154" s="499">
        <f>SUM(K155:K156)</f>
        <v/>
      </c>
      <c r="L154" s="499">
        <f>SUM(L155:L156)</f>
        <v/>
      </c>
      <c r="M154" s="369">
        <f>(K154-L154)/L154</f>
        <v/>
      </c>
      <c r="N154" s="499">
        <f>SUM(N155:N156)</f>
        <v/>
      </c>
      <c r="O154" s="499">
        <f>SUM(O155:O156)</f>
        <v/>
      </c>
      <c r="P154" s="381">
        <f>(N154-O154)/O154</f>
        <v/>
      </c>
      <c r="Q154" s="507">
        <f>N154/K154</f>
        <v/>
      </c>
      <c r="R154" s="507">
        <f>O154/L154</f>
        <v/>
      </c>
      <c r="S154" s="381">
        <f>(Q154-R154)/R154</f>
        <v/>
      </c>
      <c r="T154" s="508">
        <f>E154/N154</f>
        <v/>
      </c>
      <c r="U154" s="508">
        <f>F154/O154</f>
        <v/>
      </c>
      <c r="V154" s="369">
        <f>(T154-U154)/U154</f>
        <v/>
      </c>
      <c r="W154" s="508">
        <f>B154/N154</f>
        <v/>
      </c>
      <c r="X154" s="508">
        <f>C154/O154</f>
        <v/>
      </c>
      <c r="Y154" s="381">
        <f>(W154-X154)/X154</f>
        <v/>
      </c>
      <c r="Z154" s="501">
        <f>SUM(Z155:Z156)</f>
        <v/>
      </c>
      <c r="AA154" s="499">
        <f>SUM(AA155:AA156)</f>
        <v/>
      </c>
      <c r="AB154" s="381">
        <f>(Z154-AA154)/AA154</f>
        <v/>
      </c>
      <c r="AC154" s="501">
        <f>SUM(AC155:AC156)</f>
        <v/>
      </c>
      <c r="AD154" s="499">
        <f>SUM(AD155:AD156)</f>
        <v/>
      </c>
      <c r="AE154" s="381">
        <f>(AC154-AD154)/AD154</f>
        <v/>
      </c>
      <c r="AF154" s="507">
        <f>Z154/AC154</f>
        <v/>
      </c>
      <c r="AG154" s="507">
        <f>AA154/AD154</f>
        <v/>
      </c>
      <c r="AH154" s="381">
        <f>(AF154-AG154)/AG154</f>
        <v/>
      </c>
    </row>
    <row outlineLevel="1" r="155" s="452" spans="1:34">
      <c r="A155" s="373" t="s">
        <v>38</v>
      </c>
      <c r="B155" s="502">
        <f>SUMIFS('Display - Promos'!$E:$E,'Display - Promos'!$A:$A,"P12")</f>
        <v/>
      </c>
      <c r="C155" s="502">
        <f>SUMIFS('Display - Promos'!$F:$F,'Display - Promos'!$A:$A,"P12")</f>
        <v/>
      </c>
      <c r="D155" s="375">
        <f>(B155-C155)/C155</f>
        <v/>
      </c>
      <c r="E155" s="502">
        <f>SUMIFS('Display - Promos'!$H:$H,'Display - Promos'!$A:$A,"p12")</f>
        <v/>
      </c>
      <c r="F155" s="502">
        <f>SUMIFS('Display - Promos'!$I:$I,'Display - Promos'!$A:$A,"p12")</f>
        <v/>
      </c>
      <c r="G155" s="375">
        <f>(E155-F155)/F155</f>
        <v/>
      </c>
      <c r="H155" s="484">
        <f>B155/E155</f>
        <v/>
      </c>
      <c r="I155" s="484">
        <f>C155/F155</f>
        <v/>
      </c>
      <c r="J155" s="369">
        <f>(H155-I155)/I155</f>
        <v/>
      </c>
      <c r="K155" s="504">
        <f>SUMIFS('Display - Promos'!$N:$N,'Display - Promos'!$A:$A,"p12")</f>
        <v/>
      </c>
      <c r="L155" s="504">
        <f>SUMIFS('Display - Promos'!$O:$O,'Display - Promos'!$A:$A,"p12")</f>
        <v/>
      </c>
      <c r="M155" s="375">
        <f>(K155-L155)/L155</f>
        <v/>
      </c>
      <c r="N155" s="504">
        <f>SUMIFS('Display - Promos'!$Q:$Q,'Display - Promos'!$A:$A,"p12")</f>
        <v/>
      </c>
      <c r="O155" s="504">
        <f>SUMIFS('Display - Promos'!$R:$R,'Display - Promos'!$A:$A,"p12")</f>
        <v/>
      </c>
      <c r="P155" s="378">
        <f>(N155-O155)/O155</f>
        <v/>
      </c>
      <c r="Q155" s="505">
        <f>N155/K155</f>
        <v/>
      </c>
      <c r="R155" s="505">
        <f>O155/L155</f>
        <v/>
      </c>
      <c r="S155" s="378">
        <f>(Q155-R155)/R155</f>
        <v/>
      </c>
      <c r="T155" s="502">
        <f>E155/N155</f>
        <v/>
      </c>
      <c r="U155" s="502">
        <f>F155/O155</f>
        <v/>
      </c>
      <c r="V155" s="375">
        <f>(T155-U155)/U155</f>
        <v/>
      </c>
      <c r="W155" s="502">
        <f>B155/N155</f>
        <v/>
      </c>
      <c r="X155" s="502">
        <f>C155/O155</f>
        <v/>
      </c>
      <c r="Y155" s="378">
        <f>(W155-X155)/X155</f>
        <v/>
      </c>
      <c r="Z155" s="506">
        <f>SUMIFS('Display - Promos'!$W:$W,'Display - Promos'!$A:$A,"p12")</f>
        <v/>
      </c>
      <c r="AA155" s="504">
        <f>SUMIFS('Display - Promos'!$X:$X,'Display - Promos'!$A:$A,"p12")</f>
        <v/>
      </c>
      <c r="AB155" s="378">
        <f>(Z155-AA155)/AA155</f>
        <v/>
      </c>
      <c r="AC155" s="506">
        <f>SUMIFS('Display - Promos'!$Z:$Z,'Display - Promos'!$A:$A,"p12")</f>
        <v/>
      </c>
      <c r="AD155" s="504">
        <f>SUMIFS('Display - Promos'!$AA:$AA,'Display - Promos'!$A:$A,"p13")</f>
        <v/>
      </c>
      <c r="AE155" s="378">
        <f>(AC155-AD155)/AD155</f>
        <v/>
      </c>
      <c r="AF155" s="505">
        <f>Z155/AC155</f>
        <v/>
      </c>
      <c r="AG155" s="505">
        <f>AA155/AD155</f>
        <v/>
      </c>
      <c r="AH155" s="378">
        <f>(AF155-AG155)/AG155</f>
        <v/>
      </c>
    </row>
    <row customHeight="1" ht="19.5" outlineLevel="1" r="156" s="452" spans="1:34" thickBot="1">
      <c r="A156" s="373" t="s">
        <v>39</v>
      </c>
      <c r="B156" s="502">
        <f>SUMIFS('Display - Remarketing'!$D:$D,'Display - Remarketing'!$A:$A,"P12")</f>
        <v/>
      </c>
      <c r="C156" s="502">
        <f>SUMIFS('Display - Remarketing'!$E:$E,'Display - Remarketing'!$A:$A,"P12")</f>
        <v/>
      </c>
      <c r="D156" s="369">
        <f>(B156-C156)/C156</f>
        <v/>
      </c>
      <c r="E156" s="502">
        <f>SUMIFS('Display - Remarketing'!$H:$H,'Display - Remarketing'!$A:$A,"P12")</f>
        <v/>
      </c>
      <c r="F156" s="502">
        <f>SUMIFS('Display - Remarketing'!$I:$I,'Display - Remarketing'!$A:$A,"P12")</f>
        <v/>
      </c>
      <c r="G156" s="369">
        <f>(E156-F156)/F156</f>
        <v/>
      </c>
      <c r="H156" s="484">
        <f>B156/E156</f>
        <v/>
      </c>
      <c r="I156" s="484">
        <f>C156/F156</f>
        <v/>
      </c>
      <c r="J156" s="369">
        <f>(H156-I156)/I156</f>
        <v/>
      </c>
      <c r="K156" s="504">
        <f>SUMIFS('Display - Remarketing'!$P:$P,'Display - Remarketing'!$A:$A,"P12")</f>
        <v/>
      </c>
      <c r="L156" s="504">
        <f>SUMIFS('Display - Remarketing'!$Q:$Q,'Display - Remarketing'!$A:$A,"P12")</f>
        <v/>
      </c>
      <c r="M156" s="375">
        <f>(K156-L156)/L156</f>
        <v/>
      </c>
      <c r="N156" s="504">
        <f>SUMIFS('Display - Remarketing'!$T:$T,'Display - Remarketing'!$A:$A,"P12")</f>
        <v/>
      </c>
      <c r="O156" s="504">
        <f>SUMIFS('Display - Remarketing'!$U:$U,'Display - Remarketing'!$A:$A,"P12")</f>
        <v/>
      </c>
      <c r="P156" s="378">
        <f>(N156-O156)/O156</f>
        <v/>
      </c>
      <c r="Q156" s="505">
        <f>N156/K156</f>
        <v/>
      </c>
      <c r="R156" s="505">
        <f>O156/L156</f>
        <v/>
      </c>
      <c r="S156" s="378">
        <f>(Q156-R156)/R156</f>
        <v/>
      </c>
      <c r="T156" s="502">
        <f>E156/N156</f>
        <v/>
      </c>
      <c r="U156" s="502">
        <f>F156/O156</f>
        <v/>
      </c>
      <c r="V156" s="375">
        <f>(T156-U156)/U156</f>
        <v/>
      </c>
      <c r="W156" s="502">
        <f>B156/N156</f>
        <v/>
      </c>
      <c r="X156" s="502">
        <f>C156/O156</f>
        <v/>
      </c>
      <c r="Y156" s="378">
        <f>(W156-X156)/X156</f>
        <v/>
      </c>
      <c r="Z156" s="506">
        <f>SUMIFS('Display - Remarketing'!$AB:$AB,'Display - Remarketing'!$A:$A,"p12")</f>
        <v/>
      </c>
      <c r="AA156" s="504">
        <f>SUMIFS('Display - Remarketing'!$AC:$AC,'Display - Remarketing'!$A:$A,"P12")</f>
        <v/>
      </c>
      <c r="AB156" s="378">
        <f>(Z156-AA156)/AA156</f>
        <v/>
      </c>
      <c r="AC156" s="506">
        <f>SUMIFS('Display - Remarketing'!$AF:$AF,'Display - Remarketing'!$A:$A,"P12")</f>
        <v/>
      </c>
      <c r="AD156" s="504">
        <f>SUMIFS('Display - Remarketing'!$AG:$AG,'Display - Remarketing'!$A:$A,"P13")</f>
        <v/>
      </c>
      <c r="AE156" s="378">
        <f>(AC156-AD156)/AD156</f>
        <v/>
      </c>
      <c r="AF156" s="505">
        <f>Z156/AC156</f>
        <v/>
      </c>
      <c r="AG156" s="505">
        <f>AA156/AD156</f>
        <v/>
      </c>
      <c r="AH156" s="378">
        <f>(AF156-AG156)/AG156</f>
        <v/>
      </c>
    </row>
    <row customFormat="1" customHeight="1" ht="22.5" r="157" s="395" spans="1:34" thickBot="1" thickTop="1">
      <c r="A157" s="387" t="s">
        <v>40</v>
      </c>
      <c r="B157" s="511">
        <f>B146+B150+B151+B154</f>
        <v/>
      </c>
      <c r="C157" s="511">
        <f>C146+C150+C151+C154</f>
        <v/>
      </c>
      <c r="D157" s="389">
        <f>(B157-C157)/C157</f>
        <v/>
      </c>
      <c r="E157" s="511">
        <f>E146+E150+E151+E154</f>
        <v/>
      </c>
      <c r="F157" s="511">
        <f>F146+F150+F151+F154</f>
        <v/>
      </c>
      <c r="G157" s="390">
        <f>(E157-F157)/F157</f>
        <v/>
      </c>
      <c r="H157" s="512">
        <f>B157/E157</f>
        <v/>
      </c>
      <c r="I157" s="512">
        <f>C157/F157</f>
        <v/>
      </c>
      <c r="J157" s="390">
        <f>(H157-I157)/I157</f>
        <v/>
      </c>
      <c r="K157" s="513">
        <f>K146+K150+K151+K154</f>
        <v/>
      </c>
      <c r="L157" s="513">
        <f>L146+L150+L151+L154</f>
        <v/>
      </c>
      <c r="M157" s="390">
        <f>(K157-L157)/L157</f>
        <v/>
      </c>
      <c r="N157" s="513">
        <f>N146+N150+N151+N154</f>
        <v/>
      </c>
      <c r="O157" s="513">
        <f>O146+O150+O151+O154</f>
        <v/>
      </c>
      <c r="P157" s="389">
        <f>(N157-O157)/O157</f>
        <v/>
      </c>
      <c r="Q157" s="514">
        <f>N157/K157</f>
        <v/>
      </c>
      <c r="R157" s="514">
        <f>O157/L157</f>
        <v/>
      </c>
      <c r="S157" s="389">
        <f>(Q157-R157)/R157</f>
        <v/>
      </c>
      <c r="T157" s="511">
        <f>E157/N157</f>
        <v/>
      </c>
      <c r="U157" s="511">
        <f>F157/O157</f>
        <v/>
      </c>
      <c r="V157" s="390">
        <f>(T157-U157)/U157</f>
        <v/>
      </c>
      <c r="W157" s="511">
        <f>B157/N157</f>
        <v/>
      </c>
      <c r="X157" s="511">
        <f>C157/O157</f>
        <v/>
      </c>
      <c r="Y157" s="389">
        <f>(W157-X157)/X157</f>
        <v/>
      </c>
      <c r="Z157" s="515">
        <f>Z146+Z150+Z151+Z154</f>
        <v/>
      </c>
      <c r="AA157" s="516">
        <f>AA146+AA150+AA151+AA154</f>
        <v/>
      </c>
      <c r="AB157" s="389">
        <f>(Z157-AA157)/AA157</f>
        <v/>
      </c>
      <c r="AC157" s="515">
        <f>AC146+AC150+AC151+AC154</f>
        <v/>
      </c>
      <c r="AD157" s="513">
        <f>AD146+AD150+AD151+AD154</f>
        <v/>
      </c>
      <c r="AE157" s="389">
        <f>(AC157-AD157)/AD157</f>
        <v/>
      </c>
      <c r="AF157" s="514">
        <f>Z157/AC157</f>
        <v/>
      </c>
      <c r="AG157" s="514">
        <f>AA157/AD157</f>
        <v/>
      </c>
      <c r="AH157" s="389">
        <f>(AF157-AG157)/AG157</f>
        <v/>
      </c>
    </row>
    <row r="158" spans="1:34">
      <c r="A158" s="359" t="s">
        <v>52</v>
      </c>
      <c r="B158" s="488" t="s">
        <v>1</v>
      </c>
      <c r="C158" s="488" t="s">
        <v>2</v>
      </c>
      <c r="D158" s="489" t="s">
        <v>3</v>
      </c>
      <c r="E158" s="488" t="s">
        <v>4</v>
      </c>
      <c r="F158" s="488" t="s">
        <v>5</v>
      </c>
      <c r="G158" s="489" t="s">
        <v>3</v>
      </c>
      <c r="H158" s="490" t="s">
        <v>6</v>
      </c>
      <c r="I158" s="490" t="s">
        <v>7</v>
      </c>
      <c r="J158" s="489" t="s">
        <v>3</v>
      </c>
      <c r="K158" s="490" t="s">
        <v>8</v>
      </c>
      <c r="L158" s="491" t="s">
        <v>9</v>
      </c>
      <c r="M158" s="489" t="s">
        <v>3</v>
      </c>
      <c r="N158" s="491" t="s">
        <v>10</v>
      </c>
      <c r="O158" s="491" t="s">
        <v>11</v>
      </c>
      <c r="P158" s="489" t="s">
        <v>3</v>
      </c>
      <c r="Q158" s="491" t="s">
        <v>12</v>
      </c>
      <c r="R158" s="491" t="s">
        <v>13</v>
      </c>
      <c r="S158" s="489" t="s">
        <v>3</v>
      </c>
      <c r="T158" s="492" t="s">
        <v>14</v>
      </c>
      <c r="U158" s="492" t="s">
        <v>15</v>
      </c>
      <c r="V158" s="489" t="s">
        <v>3</v>
      </c>
      <c r="W158" s="492" t="s">
        <v>16</v>
      </c>
      <c r="X158" s="492" t="s">
        <v>17</v>
      </c>
      <c r="Y158" s="489" t="s">
        <v>3</v>
      </c>
      <c r="Z158" s="493" t="s">
        <v>18</v>
      </c>
      <c r="AA158" s="491" t="s">
        <v>19</v>
      </c>
      <c r="AB158" s="489" t="s">
        <v>3</v>
      </c>
      <c r="AC158" s="494" t="s">
        <v>33</v>
      </c>
      <c r="AD158" s="495" t="s">
        <v>34</v>
      </c>
      <c r="AE158" s="489" t="s">
        <v>3</v>
      </c>
      <c r="AF158" s="496" t="s">
        <v>22</v>
      </c>
      <c r="AG158" s="496" t="s">
        <v>23</v>
      </c>
      <c r="AH158" s="489" t="s">
        <v>3</v>
      </c>
    </row>
    <row customFormat="1" customHeight="1" ht="20.1" r="159" s="367" spans="1:34">
      <c r="A159" s="367" t="s">
        <v>24</v>
      </c>
      <c r="B159" s="497">
        <f>SUM(B160:B162)</f>
        <v/>
      </c>
      <c r="C159" s="497">
        <f>SUM(C160:C162)</f>
        <v/>
      </c>
      <c r="D159" s="369">
        <f>(B159-C159)/C159</f>
        <v/>
      </c>
      <c r="E159" s="497">
        <f>SUM(E160:E162)</f>
        <v/>
      </c>
      <c r="F159" s="497">
        <f>SUM(F160:F162)</f>
        <v/>
      </c>
      <c r="G159" s="369">
        <f>(E159-F159)/F159</f>
        <v/>
      </c>
      <c r="H159" s="498">
        <f>B159/E159</f>
        <v/>
      </c>
      <c r="I159" s="498">
        <f>C159/F159</f>
        <v/>
      </c>
      <c r="J159" s="369">
        <f>(H159-I159)/I159</f>
        <v/>
      </c>
      <c r="K159" s="499">
        <f>SUM(K160:K162)</f>
        <v/>
      </c>
      <c r="L159" s="499">
        <f>SUM(L160:L162)</f>
        <v/>
      </c>
      <c r="M159" s="369">
        <f>(K159-L159)/L159</f>
        <v/>
      </c>
      <c r="N159" s="499">
        <f>SUM(N160:N162)</f>
        <v/>
      </c>
      <c r="O159" s="499">
        <f>SUM(O160:O162)</f>
        <v/>
      </c>
      <c r="P159" s="369">
        <f>(N159-O159)/O159</f>
        <v/>
      </c>
      <c r="Q159" s="500">
        <f>N159/K159</f>
        <v/>
      </c>
      <c r="R159" s="500">
        <f>O159/L159</f>
        <v/>
      </c>
      <c r="S159" s="369">
        <f>(Q159-R159)/R159</f>
        <v/>
      </c>
      <c r="T159" s="497">
        <f>E159/N159</f>
        <v/>
      </c>
      <c r="U159" s="497">
        <f>F159/O159</f>
        <v/>
      </c>
      <c r="V159" s="369">
        <f>(T159-U159)/U159</f>
        <v/>
      </c>
      <c r="W159" s="497">
        <f>B159/N159</f>
        <v/>
      </c>
      <c r="X159" s="497">
        <f>C159/O159</f>
        <v/>
      </c>
      <c r="Y159" s="369">
        <f>(W159-X159)/X159</f>
        <v/>
      </c>
      <c r="Z159" s="501">
        <f>SUM(Z160:Z162)</f>
        <v/>
      </c>
      <c r="AA159" s="499">
        <f>SUM(AA160:AA162)</f>
        <v/>
      </c>
      <c r="AB159" s="369">
        <f>(Z159-AA159)/AA159</f>
        <v/>
      </c>
      <c r="AC159" s="501">
        <f>SUM(AC160:AC162)</f>
        <v/>
      </c>
      <c r="AD159" s="499">
        <f>SUM(AD160:AD162)</f>
        <v/>
      </c>
      <c r="AE159" s="369">
        <f>(AC159-AD159)/AD159</f>
        <v/>
      </c>
      <c r="AF159" s="500">
        <f>Z159/AC159</f>
        <v/>
      </c>
      <c r="AG159" s="500">
        <f>AA159/AD159</f>
        <v/>
      </c>
      <c r="AH159" s="369">
        <f>(AF159-AG159)/AG159</f>
        <v/>
      </c>
    </row>
    <row outlineLevel="1" r="160" s="452" spans="1:34">
      <c r="A160" s="373" t="s">
        <v>35</v>
      </c>
      <c r="B160" s="502">
        <f>SUMIFS(Search!$E:$E,Search!$A:$A,"P13",Search!$D:$D,"Brand")</f>
        <v/>
      </c>
      <c r="C160" s="502">
        <f>SUMIFS(Search!$F:$F,Search!$A:$A,"P13",Search!$D:$D,"Brand")</f>
        <v/>
      </c>
      <c r="D160" s="369">
        <f>(B160-C160)/C160</f>
        <v/>
      </c>
      <c r="E160" s="502">
        <f>SUMIFS(Search!$I:$I,Search!$A:$A,"P13",Search!$D:$D,"Brand")</f>
        <v/>
      </c>
      <c r="F160" s="502">
        <f>SUMIFS(Search!$J:$J,Search!$A:$A,"P13",Search!$D:$D,"Brand")</f>
        <v/>
      </c>
      <c r="G160" s="375">
        <f>(E160-F160)/F160</f>
        <v/>
      </c>
      <c r="H160" s="503">
        <f>B160/E160</f>
        <v/>
      </c>
      <c r="I160" s="503">
        <f>C160/F160</f>
        <v/>
      </c>
      <c r="J160" s="375">
        <f>(H160-I160)/I160</f>
        <v/>
      </c>
      <c r="K160" s="504">
        <f>SUMIFS(Search!$Q:$Q,Search!$A:$A,"P13",Search!$D:$D,"Brand")</f>
        <v/>
      </c>
      <c r="L160" s="504">
        <f>SUMIFS(Search!$R:$R,Search!$A:$A,"P13",Search!$D:$D,"Brand")</f>
        <v/>
      </c>
      <c r="M160" s="375">
        <f>(K160-L160)/L160</f>
        <v/>
      </c>
      <c r="N160" s="504">
        <f>SUMIFS(Search!$U:$U,Search!$A:$A,"P13",Search!$D:$D,"Brand")</f>
        <v/>
      </c>
      <c r="O160" s="504">
        <f>SUMIFS(Search!$V:$V,Search!$A:$A,"P13",Search!$D:$D,"Brand")</f>
        <v/>
      </c>
      <c r="P160" s="378">
        <f>(N160-O160)/O160</f>
        <v/>
      </c>
      <c r="Q160" s="505">
        <f>N160/K160</f>
        <v/>
      </c>
      <c r="R160" s="505">
        <f>O160/L160</f>
        <v/>
      </c>
      <c r="S160" s="378">
        <f>(Q160-R160)/R160</f>
        <v/>
      </c>
      <c r="T160" s="502">
        <f>E160/N160</f>
        <v/>
      </c>
      <c r="U160" s="502">
        <f>F160/O160</f>
        <v/>
      </c>
      <c r="V160" s="375">
        <f>(T160-U160)/U160</f>
        <v/>
      </c>
      <c r="W160" s="502">
        <f>B160/N160</f>
        <v/>
      </c>
      <c r="X160" s="502">
        <f>C160/O160</f>
        <v/>
      </c>
      <c r="Y160" s="378">
        <f>(W160-X160)/X160</f>
        <v/>
      </c>
      <c r="Z160" s="506">
        <f>SUMIFS(Search!$AG:$AG,Search!$A:$A,"P13",Search!$D:$D,"Brand")</f>
        <v/>
      </c>
      <c r="AA160" s="504">
        <f>SUMIFS(Search!$AH:$AH,Search!$A:$A,"P13",Search!$D:$D,"Brand")</f>
        <v/>
      </c>
      <c r="AB160" s="378">
        <f>(Z160-AA160)/AA160</f>
        <v/>
      </c>
      <c r="AC160" s="506">
        <f>SUMIFS(Search!$AK:$AK,Search!$A:$A,"P13",Search!$D:$D,"Brand")</f>
        <v/>
      </c>
      <c r="AD160" s="504">
        <f>SUMIFS(Search!$AL:$AL,Search!$A:$A,"P13",Search!$D:$D,"Brand")</f>
        <v/>
      </c>
      <c r="AE160" s="378">
        <f>(AC160-AD160)/AD160</f>
        <v/>
      </c>
      <c r="AF160" s="505">
        <f>Z160/AC160</f>
        <v/>
      </c>
      <c r="AG160" s="505">
        <f>AA160/AD160</f>
        <v/>
      </c>
      <c r="AH160" s="378">
        <f>(AF160-AG160)/AG160</f>
        <v/>
      </c>
    </row>
    <row outlineLevel="1" r="161" s="452" spans="1:34">
      <c r="A161" s="373" t="s">
        <v>36</v>
      </c>
      <c r="B161" s="502">
        <f>SUMIFS(Search!$E:$E,Search!$A:$A,"P13",Search!$D:$D,"Non-Brand")</f>
        <v/>
      </c>
      <c r="C161" s="502">
        <f>SUMIFS(Search!$F:$F,Search!$A:$A,"P13",Search!$D:$D,"Non-Brand")</f>
        <v/>
      </c>
      <c r="D161" s="369">
        <f>(B161-C161)/C161</f>
        <v/>
      </c>
      <c r="E161" s="502">
        <f>SUMIFS(Search!$I:$I,Search!$A:$A,"P13",Search!$D:$D,"Non-Brand")</f>
        <v/>
      </c>
      <c r="F161" s="502">
        <f>SUMIFS(Search!$J:$J,Search!$A:$A,"P13",Search!$D:$D,"Non-Brand")</f>
        <v/>
      </c>
      <c r="G161" s="375">
        <f>(E161-F161)/F161</f>
        <v/>
      </c>
      <c r="H161" s="503">
        <f>B161/E161</f>
        <v/>
      </c>
      <c r="I161" s="503">
        <f>C161/F161</f>
        <v/>
      </c>
      <c r="J161" s="375">
        <f>(H161-I161)/I161</f>
        <v/>
      </c>
      <c r="K161" s="504">
        <f>SUMIFS(Search!$Q:$Q,Search!$A:$A,"P13",Search!$D:$D,"Non-Brand")</f>
        <v/>
      </c>
      <c r="L161" s="504">
        <f>SUMIFS(Search!$R:$R,Search!$A:$A,"P13",Search!$D:$D,"Non-Brand")</f>
        <v/>
      </c>
      <c r="M161" s="375">
        <f>(K161-L161)/L161</f>
        <v/>
      </c>
      <c r="N161" s="504">
        <f>SUMIFS(Search!$U:$U,Search!$A:$A,"P13",Search!$D:$D,"Non-Brand")</f>
        <v/>
      </c>
      <c r="O161" s="504">
        <f>SUMIFS(Search!$V:$V,Search!$A:$A,"P13",Search!$D:$D,"Non-Brand")</f>
        <v/>
      </c>
      <c r="P161" s="378">
        <f>(N161-O161)/O161</f>
        <v/>
      </c>
      <c r="Q161" s="505">
        <f>N161/K161</f>
        <v/>
      </c>
      <c r="R161" s="505">
        <f>O161/L161</f>
        <v/>
      </c>
      <c r="S161" s="378">
        <f>(Q161-R161)/R161</f>
        <v/>
      </c>
      <c r="T161" s="502">
        <f>E161/N161</f>
        <v/>
      </c>
      <c r="U161" s="502">
        <f>F161/O161</f>
        <v/>
      </c>
      <c r="V161" s="375">
        <f>(T161-U161)/U161</f>
        <v/>
      </c>
      <c r="W161" s="502">
        <f>B161/N161</f>
        <v/>
      </c>
      <c r="X161" s="502">
        <f>C161/O161</f>
        <v/>
      </c>
      <c r="Y161" s="378">
        <f>(W161-X161)/X161</f>
        <v/>
      </c>
      <c r="Z161" s="506">
        <f>SUMIFS(Search!$AG:$AG,Search!$A:$A,"P13",Search!$D:$D,"Non-Brand")</f>
        <v/>
      </c>
      <c r="AA161" s="504">
        <f>SUMIFS(Search!$AH:$AH,Search!$A:$A,"P13",Search!$D:$D,"Non-Brand")</f>
        <v/>
      </c>
      <c r="AB161" s="378">
        <f>(Z161-AA161)/AA161</f>
        <v/>
      </c>
      <c r="AC161" s="506">
        <f>SUMIFS(Search!$AK:$AK,Search!$A:$A,"P13",Search!$D:$D,"Non-Brand")</f>
        <v/>
      </c>
      <c r="AD161" s="504">
        <f>SUMIFS(Search!$AL:$AL,Search!$A:$A,"P13",Search!$D:$D,"Non-Brand")</f>
        <v/>
      </c>
      <c r="AE161" s="378">
        <f>(AC161-AD161)/AD161</f>
        <v/>
      </c>
      <c r="AF161" s="505">
        <f>Z161/AC161</f>
        <v/>
      </c>
      <c r="AG161" s="505">
        <f>AA161/AD161</f>
        <v/>
      </c>
      <c r="AH161" s="378">
        <f>(AF161-AG161)/AG161</f>
        <v/>
      </c>
    </row>
    <row outlineLevel="1" r="162" s="452" spans="1:34">
      <c r="A162" s="373" t="s">
        <v>37</v>
      </c>
      <c r="B162" s="502">
        <f>SUMIFS(Search!$E:$E,Search!$A:$A,"P13",Search!$D:$D,"Shopping Campaigns")</f>
        <v/>
      </c>
      <c r="C162" s="502">
        <f>SUMIFS(Search!$F:$F,Search!$A:$A,"P13",Search!$D:$D,"Shopping Campaigns")</f>
        <v/>
      </c>
      <c r="D162" s="369">
        <f>(B162-C162)/C162</f>
        <v/>
      </c>
      <c r="E162" s="502">
        <f>SUMIFS(Search!$I:$I,Search!$A:$A,"P13",Search!$D:$D,"Shopping Campaigns")</f>
        <v/>
      </c>
      <c r="F162" s="502">
        <f>SUMIFS(Search!$J:$J,Search!$A:$A,"P13",Search!$D:$D,"Shopping Campaigns")</f>
        <v/>
      </c>
      <c r="G162" s="375">
        <f>(E162-F162)/F162</f>
        <v/>
      </c>
      <c r="H162" s="503">
        <f>B162/E162</f>
        <v/>
      </c>
      <c r="I162" s="503">
        <f>C162/F162</f>
        <v/>
      </c>
      <c r="J162" s="375">
        <f>(H162-I162)/I162</f>
        <v/>
      </c>
      <c r="K162" s="504">
        <f>SUMIFS(Search!$Q:$Q,Search!$A:$A,"P13",Search!$D:$D,"Shopping Campaigns")</f>
        <v/>
      </c>
      <c r="L162" s="504">
        <f>SUMIFS(Search!$R:$R,Search!$A:$A,"P13",Search!$D:$D,"Shopping Campaigns")</f>
        <v/>
      </c>
      <c r="M162" s="375">
        <f>(K162-L162)/L162</f>
        <v/>
      </c>
      <c r="N162" s="504">
        <f>SUMIFS(Search!$U:$U,Search!$A:$A,"P13",Search!$D:$D,"Shopping Campaigns")</f>
        <v/>
      </c>
      <c r="O162" s="504">
        <f>SUMIFS(Search!$V:$V,Search!$A:$A,"P13",Search!$D:$D,"Shopping Campaigns")</f>
        <v/>
      </c>
      <c r="P162" s="378">
        <f>(N162-O162)/O162</f>
        <v/>
      </c>
      <c r="Q162" s="505">
        <f>N162/K162</f>
        <v/>
      </c>
      <c r="R162" s="505">
        <f>O162/L162</f>
        <v/>
      </c>
      <c r="S162" s="378">
        <f>(Q162-R162)/R162</f>
        <v/>
      </c>
      <c r="T162" s="502">
        <f>E162/N162</f>
        <v/>
      </c>
      <c r="U162" s="502">
        <f>F162/O162</f>
        <v/>
      </c>
      <c r="V162" s="375">
        <f>(T162-U162)/U162</f>
        <v/>
      </c>
      <c r="W162" s="502">
        <f>B162/N162</f>
        <v/>
      </c>
      <c r="X162" s="502">
        <f>C162/O162</f>
        <v/>
      </c>
      <c r="Y162" s="378">
        <f>(W162-X162)/X162</f>
        <v/>
      </c>
      <c r="Z162" s="506">
        <f>SUMIFS(Search!$AG:$AG,Search!$A:$A,"P13",Search!$D:$D,"Shopping Campaigns")</f>
        <v/>
      </c>
      <c r="AA162" s="504">
        <f>SUMIFS(Search!$AH:$AH,Search!$A:$A,"P13",Search!$D:$D,"Shopping Campaigns")</f>
        <v/>
      </c>
      <c r="AB162" s="378">
        <f>(Z162-AA162)/AA162</f>
        <v/>
      </c>
      <c r="AC162" s="506">
        <f>SUMIFS(Search!$AK:$AK,Search!$A:$A,"P13",Search!$D:$D,"Shopping Campaigns")</f>
        <v/>
      </c>
      <c r="AD162" s="504">
        <f>SUMIFS(Search!$AL:$AL,Search!$A:$A,"P13",Search!$D:$D,"Shopping Campaigns")</f>
        <v/>
      </c>
      <c r="AE162" s="378">
        <f>(AC162-AD162)/AD162</f>
        <v/>
      </c>
      <c r="AF162" s="505">
        <f>Z162/AC162</f>
        <v/>
      </c>
      <c r="AG162" s="505">
        <f>AA162/AD162</f>
        <v/>
      </c>
      <c r="AH162" s="378">
        <f>(AF162-AG162)/AG162</f>
        <v/>
      </c>
    </row>
    <row customFormat="1" customHeight="1" ht="21" r="163" s="367" spans="1:34">
      <c r="A163" s="380" t="s">
        <v>27</v>
      </c>
      <c r="B163" s="497">
        <f>SUMIFS(Affiliate!D:D,Affiliate!$A:$A,"P13")</f>
        <v/>
      </c>
      <c r="C163" s="497">
        <f>SUMIFS(Affiliate!E:E,Affiliate!$A:$A,"P13")</f>
        <v/>
      </c>
      <c r="D163" s="369">
        <f>(B163-C163)/C163</f>
        <v/>
      </c>
      <c r="E163" s="497">
        <f>SUMIFS(Affiliate!H:H,Affiliate!$A:$A,"P13")</f>
        <v/>
      </c>
      <c r="F163" s="497">
        <f>SUMIFS(Affiliate!I:I,Affiliate!$A:$A,"P13")</f>
        <v/>
      </c>
      <c r="G163" s="369">
        <f>(E163-F163)/F163</f>
        <v/>
      </c>
      <c r="H163" s="498">
        <f>B163/E163</f>
        <v/>
      </c>
      <c r="I163" s="498">
        <f>C163/F163</f>
        <v/>
      </c>
      <c r="J163" s="369">
        <f>(H163-I163)/I163</f>
        <v/>
      </c>
      <c r="K163" s="499">
        <f>SUMIFS(Affiliate!$AF:$AF,Affiliate!$A:$A,"P13")</f>
        <v/>
      </c>
      <c r="L163" s="499">
        <f>SUMIFS(Affiliate!$AG:$AG,Affiliate!$A:$A,"P13")</f>
        <v/>
      </c>
      <c r="M163" s="369">
        <f>(K163-L163)/L163</f>
        <v/>
      </c>
      <c r="N163" s="499">
        <f>SUMIFS(Affiliate!$AJ:$AJ,Affiliate!$A:$A,"P13")</f>
        <v/>
      </c>
      <c r="O163" s="499">
        <f>SUMIFS(Affiliate!$AK:$AK,Affiliate!$A:$A,"P13")</f>
        <v/>
      </c>
      <c r="P163" s="381">
        <f>(N163-O163)/O163</f>
        <v/>
      </c>
      <c r="Q163" s="507">
        <f>N163/K163</f>
        <v/>
      </c>
      <c r="R163" s="507">
        <f>O163/L163</f>
        <v/>
      </c>
      <c r="S163" s="381">
        <f>(Q163-R163)/R163</f>
        <v/>
      </c>
      <c r="T163" s="508">
        <f>E163/N163</f>
        <v/>
      </c>
      <c r="U163" s="508">
        <f>F163/O163</f>
        <v/>
      </c>
      <c r="V163" s="369">
        <f>(T163-U163)/U163</f>
        <v/>
      </c>
      <c r="W163" s="508">
        <f>B163/N163</f>
        <v/>
      </c>
      <c r="X163" s="508">
        <f>C163/O163</f>
        <v/>
      </c>
      <c r="Y163" s="381">
        <f>(W163-X163)/X163</f>
        <v/>
      </c>
      <c r="Z163" s="509" t="n"/>
      <c r="AA163" s="384" t="n"/>
      <c r="AB163" s="381">
        <f>(Z163-AA163)/AA163</f>
        <v/>
      </c>
      <c r="AC163" s="509" t="n"/>
      <c r="AD163" s="384" t="n"/>
      <c r="AE163" s="381">
        <f>(AC163-AD163)/AD163</f>
        <v/>
      </c>
      <c r="AF163" s="510" t="n"/>
      <c r="AG163" s="510" t="n"/>
      <c r="AH163" s="381">
        <f>(AF163-AG163)/AG163</f>
        <v/>
      </c>
    </row>
    <row customFormat="1" customHeight="1" ht="20.1" r="164" s="367" spans="1:34">
      <c r="A164" s="367" t="s">
        <v>28</v>
      </c>
      <c r="B164" s="497">
        <f>SUM(B165:B166)</f>
        <v/>
      </c>
      <c r="C164" s="497">
        <f>SUM(C165:C166)</f>
        <v/>
      </c>
      <c r="D164" s="369">
        <f>(B164-C164)/C164</f>
        <v/>
      </c>
      <c r="E164" s="497">
        <f>SUM(E165:E166)</f>
        <v/>
      </c>
      <c r="F164" s="497">
        <f>SUM(F165:F166)</f>
        <v/>
      </c>
      <c r="G164" s="369">
        <f>(E164-F164)/F164</f>
        <v/>
      </c>
      <c r="H164" s="498">
        <f>B164/E164</f>
        <v/>
      </c>
      <c r="I164" s="498">
        <f>C164/F164</f>
        <v/>
      </c>
      <c r="J164" s="369">
        <f>(H164-I164)/I164</f>
        <v/>
      </c>
      <c r="K164" s="499">
        <f>SUM(K165:K166)</f>
        <v/>
      </c>
      <c r="L164" s="499">
        <f>SUM(L165:L166)</f>
        <v/>
      </c>
      <c r="M164" s="369">
        <f>(K164-L164)/L164</f>
        <v/>
      </c>
      <c r="N164" s="499">
        <f>SUM(N165:N166)</f>
        <v/>
      </c>
      <c r="O164" s="499">
        <f>SUM(O165:O166)</f>
        <v/>
      </c>
      <c r="P164" s="381">
        <f>(N164-O164)/O164</f>
        <v/>
      </c>
      <c r="Q164" s="507">
        <f>N164/K164</f>
        <v/>
      </c>
      <c r="R164" s="507">
        <f>O164/L164</f>
        <v/>
      </c>
      <c r="S164" s="381">
        <f>(Q164-R164)/R164</f>
        <v/>
      </c>
      <c r="T164" s="508">
        <f>E164/N164</f>
        <v/>
      </c>
      <c r="U164" s="508">
        <f>F164/O164</f>
        <v/>
      </c>
      <c r="V164" s="369">
        <f>(T164-U164)/U164</f>
        <v/>
      </c>
      <c r="W164" s="508">
        <f>B164/N164</f>
        <v/>
      </c>
      <c r="X164" s="508">
        <f>C164/O164</f>
        <v/>
      </c>
      <c r="Y164" s="381">
        <f>(W164-X164)/X164</f>
        <v/>
      </c>
      <c r="Z164" s="501">
        <f>SUM(Z165:Z166)</f>
        <v/>
      </c>
      <c r="AA164" s="499">
        <f>SUM(AA165:AA166)</f>
        <v/>
      </c>
      <c r="AB164" s="381">
        <f>(Z164-AA164)/AA164</f>
        <v/>
      </c>
      <c r="AC164" s="501">
        <f>SUM(AC165:AC166)</f>
        <v/>
      </c>
      <c r="AD164" s="499">
        <f>SUM(AD165:AD166)</f>
        <v/>
      </c>
      <c r="AE164" s="381">
        <f>(AC164-AD164)/AD164</f>
        <v/>
      </c>
      <c r="AF164" s="507">
        <f>Z164/AC164</f>
        <v/>
      </c>
      <c r="AG164" s="507">
        <f>AA164/AD164</f>
        <v/>
      </c>
      <c r="AH164" s="381">
        <f>(AF164-AG164)/AG164</f>
        <v/>
      </c>
    </row>
    <row outlineLevel="1" r="165" s="452" spans="1:34">
      <c r="A165" s="373" t="s">
        <v>38</v>
      </c>
      <c r="B165" s="502">
        <f>SUMIFS('Social - Promos'!$E:$E,'Social - Promos'!$A:$A,"p13")</f>
        <v/>
      </c>
      <c r="C165" s="502">
        <f>SUMIFS('Social - Promos'!$F:$F,'Social - Promos'!$A:$A,"p13")</f>
        <v/>
      </c>
      <c r="D165" s="369">
        <f>(B165-C165)/C165</f>
        <v/>
      </c>
      <c r="E165" s="502">
        <f>SUMIFS('Social - Promos'!$K:$K,'Social - Promos'!$A:$A,"P13")</f>
        <v/>
      </c>
      <c r="F165" s="502">
        <f>SUMIFS('Social - Promos'!$L:$L,'Social - Promos'!$A:$A,"p13")</f>
        <v/>
      </c>
      <c r="G165" s="375">
        <f>(E165-F165)/F165</f>
        <v/>
      </c>
      <c r="H165" s="484">
        <f>B165/E165</f>
        <v/>
      </c>
      <c r="I165" s="484">
        <f>C165/F165</f>
        <v/>
      </c>
      <c r="J165" s="375">
        <f>(H165-I165)/I165</f>
        <v/>
      </c>
      <c r="K165" s="504">
        <f>SUMIFS('Social - Promos'!$T:$T,'Social - Promos'!$A:$A,"p13")</f>
        <v/>
      </c>
      <c r="L165" s="504">
        <f>SUMIFS('Social - Promos'!$U:$U,'Social - Promos'!$A:$A,"p13")</f>
        <v/>
      </c>
      <c r="M165" s="375">
        <f>(K165-L165)/L165</f>
        <v/>
      </c>
      <c r="N165" s="504">
        <f>SUMIFS('Social - Promos'!$W:$W,'Social - Promos'!$A:$A,"p13")</f>
        <v/>
      </c>
      <c r="O165" s="504">
        <f>SUMIFS('Social - Promos'!$X:$X,'Social - Promos'!$A:$A,"p13")</f>
        <v/>
      </c>
      <c r="P165" s="378">
        <f>(N165-O165)/O165</f>
        <v/>
      </c>
      <c r="Q165" s="505">
        <f>N165/K165</f>
        <v/>
      </c>
      <c r="R165" s="505">
        <f>O165/L165</f>
        <v/>
      </c>
      <c r="S165" s="378">
        <f>(Q165-R165)/R165</f>
        <v/>
      </c>
      <c r="T165" s="502">
        <f>E165/N165</f>
        <v/>
      </c>
      <c r="U165" s="502">
        <f>F165/O165</f>
        <v/>
      </c>
      <c r="V165" s="375">
        <f>(T165-U165)/U165</f>
        <v/>
      </c>
      <c r="W165" s="502">
        <f>B165/N165</f>
        <v/>
      </c>
      <c r="X165" s="502">
        <f>C165/O165</f>
        <v/>
      </c>
      <c r="Y165" s="378">
        <f>(W165-X165)/X165</f>
        <v/>
      </c>
      <c r="Z165" s="506">
        <f>SUMIFS('Social - Promos'!$AF:$AF,'Social - Promos'!$A:$A,"p13")</f>
        <v/>
      </c>
      <c r="AA165" s="504">
        <f>SUMIFS('Social - Promos'!$AG:$AG,'Social - Promos'!$A:$A,"p13")</f>
        <v/>
      </c>
      <c r="AB165" s="378">
        <f>(Z165-AA165)/AA165</f>
        <v/>
      </c>
      <c r="AC165" s="506">
        <f>SUMIFS('Social - Promos'!$AI:$AI,'Social - Promos'!$A:$A,"p13")</f>
        <v/>
      </c>
      <c r="AD165" s="504">
        <f>SUMIFS('Social - Promos'!$AJ:$AJ,'Social - Promos'!$A:$A,"p13")</f>
        <v/>
      </c>
      <c r="AE165" s="378">
        <f>(AC165-AD165)/AD165</f>
        <v/>
      </c>
      <c r="AF165" s="505">
        <f>Z165/AC165</f>
        <v/>
      </c>
      <c r="AG165" s="505">
        <f>AA165/AD165</f>
        <v/>
      </c>
      <c r="AH165" s="378">
        <f>(AF165-AG165)/AG165</f>
        <v/>
      </c>
    </row>
    <row outlineLevel="1" r="166" s="452" spans="1:34">
      <c r="A166" s="373" t="s">
        <v>39</v>
      </c>
      <c r="B166" s="502">
        <f>SUMIFS('Social - Remarketing'!$D:$D,'Social - Remarketing'!$A:$A,"P13")</f>
        <v/>
      </c>
      <c r="C166" s="502">
        <f>SUMIFS('Social - Remarketing'!$E:$E,'Social - Remarketing'!$A:$A,"P13")</f>
        <v/>
      </c>
      <c r="D166" s="369">
        <f>(B166-C166)/C166</f>
        <v/>
      </c>
      <c r="E166" s="502">
        <f>SUMIFS('Social - Remarketing'!$H:$H,'Social - Remarketing'!$A:$A,"P13")</f>
        <v/>
      </c>
      <c r="F166" s="502">
        <f>SUMIFS('Social - Remarketing'!$I:$I,'Social - Remarketing'!$A:$A,"P13")</f>
        <v/>
      </c>
      <c r="G166" s="369">
        <f>(E166-F166)/F166</f>
        <v/>
      </c>
      <c r="H166" s="484">
        <f>B166/E166</f>
        <v/>
      </c>
      <c r="I166" s="484">
        <f>C166/F166</f>
        <v/>
      </c>
      <c r="J166" s="369">
        <f>(H166-I166)/I166</f>
        <v/>
      </c>
      <c r="K166" s="504">
        <f>SUMIFS('Social - Remarketing'!$X:$X,'Social - Remarketing'!$A:$A,"P13")</f>
        <v/>
      </c>
      <c r="L166" s="504">
        <f>SUMIFS('Social - Remarketing'!$Y:$Y,'Social - Remarketing'!$A:$A,"P13")</f>
        <v/>
      </c>
      <c r="M166" s="375">
        <f>(K166-L166)/L166</f>
        <v/>
      </c>
      <c r="N166" s="504">
        <f>SUMIFS('Social - Remarketing'!$AB:$AB,'Social - Remarketing'!$A:$A,"P13")</f>
        <v/>
      </c>
      <c r="O166" s="504">
        <f>SUMIFS('Social - Remarketing'!$AC:$AC,'Social - Remarketing'!$A:$A,"P13")</f>
        <v/>
      </c>
      <c r="P166" s="378">
        <f>(N166-O166)/O166</f>
        <v/>
      </c>
      <c r="Q166" s="505">
        <f>N166/K166</f>
        <v/>
      </c>
      <c r="R166" s="505">
        <f>O166/L166</f>
        <v/>
      </c>
      <c r="S166" s="378">
        <f>(Q166-R166)/R166</f>
        <v/>
      </c>
      <c r="T166" s="502">
        <f>E166/N166</f>
        <v/>
      </c>
      <c r="U166" s="502">
        <f>F166/O166</f>
        <v/>
      </c>
      <c r="V166" s="375">
        <f>(T166-U166)/U166</f>
        <v/>
      </c>
      <c r="W166" s="502">
        <f>B166/N166</f>
        <v/>
      </c>
      <c r="X166" s="502">
        <f>C166/O166</f>
        <v/>
      </c>
      <c r="Y166" s="378">
        <f>(W166-X166)/X166</f>
        <v/>
      </c>
      <c r="Z166" s="506">
        <f>SUMIFS('Social - Remarketing'!$AN:$AN,'Social - Remarketing'!$A:$A,"P13")</f>
        <v/>
      </c>
      <c r="AA166" s="504">
        <f>SUMIFS('Social - Remarketing'!$AO:$AO,'Social - Remarketing'!$A:$A,"P13")</f>
        <v/>
      </c>
      <c r="AB166" s="378">
        <f>(Z166-AA166)/AA166</f>
        <v/>
      </c>
      <c r="AC166" s="506">
        <f>SUMIFS('Social - Remarketing'!$AR:$AR,'Social - Remarketing'!$A:$A,"P13")</f>
        <v/>
      </c>
      <c r="AD166" s="504">
        <f>SUMIFS('Social - Remarketing'!$AS:$AS,'Social - Remarketing'!$A:$A,"P13")</f>
        <v/>
      </c>
      <c r="AE166" s="378">
        <f>(AC166-AD166)/AD166</f>
        <v/>
      </c>
      <c r="AF166" s="505">
        <f>Z166/AC166</f>
        <v/>
      </c>
      <c r="AG166" s="505">
        <f>AA166/AD166</f>
        <v/>
      </c>
      <c r="AH166" s="378">
        <f>(AF166-AG166)/AG166</f>
        <v/>
      </c>
    </row>
    <row customFormat="1" customHeight="1" ht="21" r="167" s="367" spans="1:34">
      <c r="A167" s="367" t="s">
        <v>29</v>
      </c>
      <c r="B167" s="497">
        <f>SUM(B168:B169)</f>
        <v/>
      </c>
      <c r="C167" s="497">
        <f>SUM(C168:C169)</f>
        <v/>
      </c>
      <c r="D167" s="369">
        <f>(B167-C167)/C167</f>
        <v/>
      </c>
      <c r="E167" s="497">
        <f>SUM(E168:E169)</f>
        <v/>
      </c>
      <c r="F167" s="497">
        <f>SUM(F168:F169)</f>
        <v/>
      </c>
      <c r="G167" s="369">
        <f>(E167-F167)/F167</f>
        <v/>
      </c>
      <c r="H167" s="498">
        <f>B167/E167</f>
        <v/>
      </c>
      <c r="I167" s="498">
        <f>C167/F167</f>
        <v/>
      </c>
      <c r="J167" s="369">
        <f>(H167-I167)/I167</f>
        <v/>
      </c>
      <c r="K167" s="499">
        <f>SUM(K168:K169)</f>
        <v/>
      </c>
      <c r="L167" s="499">
        <f>SUM(L168:L169)</f>
        <v/>
      </c>
      <c r="M167" s="369">
        <f>(K167-L167)/L167</f>
        <v/>
      </c>
      <c r="N167" s="499">
        <f>SUM(N168:N169)</f>
        <v/>
      </c>
      <c r="O167" s="499">
        <f>SUM(O168:O169)</f>
        <v/>
      </c>
      <c r="P167" s="381">
        <f>(N167-O167)/O167</f>
        <v/>
      </c>
      <c r="Q167" s="507">
        <f>N167/K167</f>
        <v/>
      </c>
      <c r="R167" s="507">
        <f>O167/L167</f>
        <v/>
      </c>
      <c r="S167" s="381">
        <f>(Q167-R167)/R167</f>
        <v/>
      </c>
      <c r="T167" s="508">
        <f>E167/N167</f>
        <v/>
      </c>
      <c r="U167" s="508">
        <f>F167/O167</f>
        <v/>
      </c>
      <c r="V167" s="369">
        <f>(T167-U167)/U167</f>
        <v/>
      </c>
      <c r="W167" s="508">
        <f>B167/N167</f>
        <v/>
      </c>
      <c r="X167" s="508">
        <f>C167/O167</f>
        <v/>
      </c>
      <c r="Y167" s="381">
        <f>(W167-X167)/X167</f>
        <v/>
      </c>
      <c r="Z167" s="501">
        <f>SUM(Z168:Z169)</f>
        <v/>
      </c>
      <c r="AA167" s="499">
        <f>SUM(AA168:AA169)</f>
        <v/>
      </c>
      <c r="AB167" s="381">
        <f>(Z167-AA167)/AA167</f>
        <v/>
      </c>
      <c r="AC167" s="501">
        <f>SUM(AC168:AC169)</f>
        <v/>
      </c>
      <c r="AD167" s="499">
        <f>SUM(AD168:AD169)</f>
        <v/>
      </c>
      <c r="AE167" s="381">
        <f>(AC167-AD167)/AD167</f>
        <v/>
      </c>
      <c r="AF167" s="507">
        <f>Z167/AC167</f>
        <v/>
      </c>
      <c r="AG167" s="507">
        <f>AA167/AD167</f>
        <v/>
      </c>
      <c r="AH167" s="381">
        <f>(AF167-AG167)/AG167</f>
        <v/>
      </c>
    </row>
    <row outlineLevel="1" r="168" s="452" spans="1:34">
      <c r="A168" s="373" t="s">
        <v>38</v>
      </c>
      <c r="B168" s="502">
        <f>SUMIFS('Display - Promos'!$E:$E,'Display - Promos'!$A:$A,"P13")</f>
        <v/>
      </c>
      <c r="C168" s="502">
        <f>SUMIFS('Display - Promos'!$F:$F,'Display - Promos'!$A:$A,"P13")</f>
        <v/>
      </c>
      <c r="D168" s="375">
        <f>(B168-C168)/C168</f>
        <v/>
      </c>
      <c r="E168" s="502">
        <f>SUMIFS('Display - Promos'!$H:$H,'Display - Promos'!$A:$A,"p13")</f>
        <v/>
      </c>
      <c r="F168" s="502">
        <f>SUMIFS('Display - Promos'!$I:$I,'Display - Promos'!$A:$A,"p13")</f>
        <v/>
      </c>
      <c r="G168" s="375">
        <f>(E168-F168)/F168</f>
        <v/>
      </c>
      <c r="H168" s="484">
        <f>B168/E168</f>
        <v/>
      </c>
      <c r="I168" s="484">
        <f>C168/F168</f>
        <v/>
      </c>
      <c r="J168" s="369">
        <f>(H168-I168)/I168</f>
        <v/>
      </c>
      <c r="K168" s="504">
        <f>SUMIFS('Display - Promos'!$N:$N,'Display - Promos'!$A:$A,"p13")</f>
        <v/>
      </c>
      <c r="L168" s="504">
        <f>SUMIFS('Display - Promos'!$O:$O,'Display - Promos'!$A:$A,"p13")</f>
        <v/>
      </c>
      <c r="M168" s="375">
        <f>(K168-L168)/L168</f>
        <v/>
      </c>
      <c r="N168" s="504">
        <f>SUMIFS('Display - Promos'!$Q:$Q,'Display - Promos'!$A:$A,"p13")</f>
        <v/>
      </c>
      <c r="O168" s="504">
        <f>SUMIFS('Display - Promos'!$R:$R,'Display - Promos'!$A:$A,"p13")</f>
        <v/>
      </c>
      <c r="P168" s="378">
        <f>(N168-O168)/O168</f>
        <v/>
      </c>
      <c r="Q168" s="505">
        <f>N168/K168</f>
        <v/>
      </c>
      <c r="R168" s="505">
        <f>O168/L168</f>
        <v/>
      </c>
      <c r="S168" s="378">
        <f>(Q168-R168)/R168</f>
        <v/>
      </c>
      <c r="T168" s="502">
        <f>E168/N168</f>
        <v/>
      </c>
      <c r="U168" s="502">
        <f>F168/O168</f>
        <v/>
      </c>
      <c r="V168" s="375">
        <f>(T168-U168)/U168</f>
        <v/>
      </c>
      <c r="W168" s="502">
        <f>B168/N168</f>
        <v/>
      </c>
      <c r="X168" s="502">
        <f>C168/O168</f>
        <v/>
      </c>
      <c r="Y168" s="378">
        <f>(W168-X168)/X168</f>
        <v/>
      </c>
      <c r="Z168" s="506">
        <f>SUMIFS('Display - Promos'!$W:$W,'Display - Promos'!$A:$A,"p13")</f>
        <v/>
      </c>
      <c r="AA168" s="504">
        <f>SUMIFS('Display - Promos'!$X:$X,'Display - Promos'!$A:$A,"p13")</f>
        <v/>
      </c>
      <c r="AB168" s="378">
        <f>(Z168-AA168)/AA168</f>
        <v/>
      </c>
      <c r="AC168" s="506">
        <f>SUMIFS('Display - Promos'!$Z:$Z,'Display - Promos'!$A:$A,"p13")</f>
        <v/>
      </c>
      <c r="AD168" s="504">
        <f>SUMIFS('Display - Promos'!$AA:$AA,'Display - Promos'!$A:$A,"p13")</f>
        <v/>
      </c>
      <c r="AE168" s="378">
        <f>(AC168-AD168)/AD168</f>
        <v/>
      </c>
      <c r="AF168" s="505">
        <f>Z168/AC168</f>
        <v/>
      </c>
      <c r="AG168" s="505">
        <f>AA168/AD168</f>
        <v/>
      </c>
      <c r="AH168" s="378">
        <f>(AF168-AG168)/AG168</f>
        <v/>
      </c>
    </row>
    <row customHeight="1" ht="19.5" outlineLevel="1" r="169" s="452" spans="1:34" thickBot="1">
      <c r="A169" s="373" t="s">
        <v>39</v>
      </c>
      <c r="B169" s="502">
        <f>SUMIFS('Display - Remarketing'!$D:$D,'Display - Remarketing'!$A:$A,"P13")</f>
        <v/>
      </c>
      <c r="C169" s="502">
        <f>SUMIFS('Display - Remarketing'!$E:$E,'Display - Remarketing'!$A:$A,"P13")</f>
        <v/>
      </c>
      <c r="D169" s="369">
        <f>(B169-C169)/C169</f>
        <v/>
      </c>
      <c r="E169" s="502">
        <f>SUMIFS('Display - Remarketing'!$H:$H,'Display - Remarketing'!$A:$A,"P13")</f>
        <v/>
      </c>
      <c r="F169" s="502">
        <f>SUMIFS('Display - Remarketing'!$I:$I,'Display - Remarketing'!$A:$A,"P13")</f>
        <v/>
      </c>
      <c r="G169" s="369">
        <f>(E169-F169)/F169</f>
        <v/>
      </c>
      <c r="H169" s="484">
        <f>B169/E169</f>
        <v/>
      </c>
      <c r="I169" s="484">
        <f>C169/F169</f>
        <v/>
      </c>
      <c r="J169" s="369">
        <f>(H169-I169)/I169</f>
        <v/>
      </c>
      <c r="K169" s="504">
        <f>SUMIFS('Display - Remarketing'!$P:$P,'Display - Remarketing'!$A:$A,"P13")</f>
        <v/>
      </c>
      <c r="L169" s="504">
        <f>SUMIFS('Display - Remarketing'!$Q:$Q,'Display - Remarketing'!$A:$A,"P13")</f>
        <v/>
      </c>
      <c r="M169" s="375">
        <f>(K169-L169)/L169</f>
        <v/>
      </c>
      <c r="N169" s="504">
        <f>SUMIFS('Display - Remarketing'!$T:$T,'Display - Remarketing'!$A:$A,"P13")</f>
        <v/>
      </c>
      <c r="O169" s="504">
        <f>SUMIFS('Display - Remarketing'!$U:$U,'Display - Remarketing'!$A:$A,"P13")</f>
        <v/>
      </c>
      <c r="P169" s="378">
        <f>(N169-O169)/O169</f>
        <v/>
      </c>
      <c r="Q169" s="505">
        <f>N169/K169</f>
        <v/>
      </c>
      <c r="R169" s="505">
        <f>O169/L169</f>
        <v/>
      </c>
      <c r="S169" s="378">
        <f>(Q169-R169)/R169</f>
        <v/>
      </c>
      <c r="T169" s="502">
        <f>E169/N169</f>
        <v/>
      </c>
      <c r="U169" s="502">
        <f>F169/O169</f>
        <v/>
      </c>
      <c r="V169" s="375">
        <f>(T169-U169)/U169</f>
        <v/>
      </c>
      <c r="W169" s="502">
        <f>B169/N169</f>
        <v/>
      </c>
      <c r="X169" s="502">
        <f>C169/O169</f>
        <v/>
      </c>
      <c r="Y169" s="378">
        <f>(W169-X169)/X169</f>
        <v/>
      </c>
      <c r="Z169" s="506">
        <f>SUMIFS('Display - Remarketing'!$AB:$AB,'Display - Remarketing'!$A:$A,"p13")</f>
        <v/>
      </c>
      <c r="AA169" s="504">
        <f>SUMIFS('Display - Remarketing'!$AC:$AC,'Display - Remarketing'!$A:$A,"P13")</f>
        <v/>
      </c>
      <c r="AB169" s="378">
        <f>(Z169-AA169)/AA169</f>
        <v/>
      </c>
      <c r="AC169" s="506">
        <f>SUMIFS('Display - Remarketing'!$AF:$AF,'Display - Remarketing'!$A:$A,"P13")</f>
        <v/>
      </c>
      <c r="AD169" s="504">
        <f>SUMIFS('Display - Remarketing'!$AG:$AG,'Display - Remarketing'!$A:$A,"P13")</f>
        <v/>
      </c>
      <c r="AE169" s="378">
        <f>(AC169-AD169)/AD169</f>
        <v/>
      </c>
      <c r="AF169" s="505">
        <f>Z169/AC169</f>
        <v/>
      </c>
      <c r="AG169" s="505">
        <f>AA169/AD169</f>
        <v/>
      </c>
      <c r="AH169" s="378">
        <f>(AF169-AG169)/AG169</f>
        <v/>
      </c>
    </row>
    <row customFormat="1" customHeight="1" ht="22.5" r="170" s="395" spans="1:34" thickBot="1" thickTop="1">
      <c r="A170" s="387" t="s">
        <v>40</v>
      </c>
      <c r="B170" s="511">
        <f>B159+B163+B164+B167</f>
        <v/>
      </c>
      <c r="C170" s="511">
        <f>C159+C163+C164+C167</f>
        <v/>
      </c>
      <c r="D170" s="389">
        <f>(B170-C170)/C170</f>
        <v/>
      </c>
      <c r="E170" s="511">
        <f>E159+E163+E164+E167</f>
        <v/>
      </c>
      <c r="F170" s="511">
        <f>F159+F163+F164+F167</f>
        <v/>
      </c>
      <c r="G170" s="390">
        <f>(E170-F170)/F170</f>
        <v/>
      </c>
      <c r="H170" s="512">
        <f>B170/E170</f>
        <v/>
      </c>
      <c r="I170" s="512">
        <f>C170/F170</f>
        <v/>
      </c>
      <c r="J170" s="390">
        <f>(H170-I170)/I170</f>
        <v/>
      </c>
      <c r="K170" s="513">
        <f>K159+K163+K164+K167</f>
        <v/>
      </c>
      <c r="L170" s="513">
        <f>L159+L163+L164+L167</f>
        <v/>
      </c>
      <c r="M170" s="390">
        <f>(K170-L170)/L170</f>
        <v/>
      </c>
      <c r="N170" s="513">
        <f>N159+N163+N164+N167</f>
        <v/>
      </c>
      <c r="O170" s="513">
        <f>O159+O163+O164+O167</f>
        <v/>
      </c>
      <c r="P170" s="389">
        <f>(N170-O170)/O170</f>
        <v/>
      </c>
      <c r="Q170" s="514">
        <f>N170/K170</f>
        <v/>
      </c>
      <c r="R170" s="514">
        <f>O170/L170</f>
        <v/>
      </c>
      <c r="S170" s="389">
        <f>(Q170-R170)/R170</f>
        <v/>
      </c>
      <c r="T170" s="511">
        <f>E170/N170</f>
        <v/>
      </c>
      <c r="U170" s="511">
        <f>F170/O170</f>
        <v/>
      </c>
      <c r="V170" s="390">
        <f>(T170-U170)/U170</f>
        <v/>
      </c>
      <c r="W170" s="511">
        <f>B170/N170</f>
        <v/>
      </c>
      <c r="X170" s="511">
        <f>C170/O170</f>
        <v/>
      </c>
      <c r="Y170" s="389">
        <f>(W170-X170)/X170</f>
        <v/>
      </c>
      <c r="Z170" s="515">
        <f>Z159+Z163+Z164+Z167</f>
        <v/>
      </c>
      <c r="AA170" s="516">
        <f>AA159+AA163+AA164+AA167</f>
        <v/>
      </c>
      <c r="AB170" s="389">
        <f>(Z170-AA170)/AA170</f>
        <v/>
      </c>
      <c r="AC170" s="515">
        <f>AC159+AC163+AC164+AC167</f>
        <v/>
      </c>
      <c r="AD170" s="513">
        <f>AD159+AD163+AD164+AD167</f>
        <v/>
      </c>
      <c r="AE170" s="389">
        <f>(AC170-AD170)/AD170</f>
        <v/>
      </c>
      <c r="AF170" s="514">
        <f>Z170/AC170</f>
        <v/>
      </c>
      <c r="AG170" s="514">
        <f>AA170/AD170</f>
        <v/>
      </c>
      <c r="AH170" s="389">
        <f>(AF170-AG170)/AG170</f>
        <v/>
      </c>
    </row>
  </sheetData>
  <autoFilter ref="A2:AF14"/>
  <mergeCells count="1">
    <mergeCell ref="A1:AH1"/>
  </mergeCells>
  <conditionalFormatting sqref="M3:M14 P3:P14 S3:S14 Y3:Y14 AB3:AB14 AE3:AE14 AH3:AH14 D3:D14 G10:G13 J3:J14">
    <cfRule dxfId="663" operator="lessThan" priority="91" type="cellIs">
      <formula>0</formula>
    </cfRule>
    <cfRule dxfId="662" operator="greaterThanOrEqual" priority="92" type="cellIs">
      <formula>0</formula>
    </cfRule>
  </conditionalFormatting>
  <conditionalFormatting sqref="G3:G9 G14 V3:V14">
    <cfRule dxfId="662" operator="lessThanOrEqual" priority="89" type="cellIs">
      <formula>0</formula>
    </cfRule>
    <cfRule dxfId="663" operator="greaterThanOrEqual" priority="90" type="cellIs">
      <formula>0</formula>
    </cfRule>
  </conditionalFormatting>
  <conditionalFormatting sqref="M94:M105 P94:P105 S94:S105 Y94:Y105 AB94:AB105 AE94:AE105 AH94:AH105 D94:D105 G101:G104 J94:J105">
    <cfRule dxfId="663" operator="lessThan" priority="63" type="cellIs">
      <formula>0</formula>
    </cfRule>
    <cfRule dxfId="662" operator="greaterThanOrEqual" priority="64" type="cellIs">
      <formula>0</formula>
    </cfRule>
  </conditionalFormatting>
  <conditionalFormatting sqref="G94:G100 G105 V94:V105">
    <cfRule dxfId="662" operator="lessThanOrEqual" priority="61" type="cellIs">
      <formula>0</formula>
    </cfRule>
    <cfRule dxfId="663" operator="greaterThanOrEqual" priority="62" type="cellIs">
      <formula>0</formula>
    </cfRule>
  </conditionalFormatting>
  <conditionalFormatting sqref="M107:M118 P107:P118 S107:S118 Y107:Y118 AB107:AB118 AE107:AE118 AH107:AH118 D107:D118 G114:G117 J107:J118">
    <cfRule dxfId="663" operator="lessThan" priority="59" type="cellIs">
      <formula>0</formula>
    </cfRule>
    <cfRule dxfId="662" operator="greaterThanOrEqual" priority="60" type="cellIs">
      <formula>0</formula>
    </cfRule>
  </conditionalFormatting>
  <conditionalFormatting sqref="G107:G113 G118 V107:V118">
    <cfRule dxfId="662" operator="lessThanOrEqual" priority="57" type="cellIs">
      <formula>0</formula>
    </cfRule>
    <cfRule dxfId="663" operator="greaterThanOrEqual" priority="58" type="cellIs">
      <formula>0</formula>
    </cfRule>
  </conditionalFormatting>
  <conditionalFormatting sqref="M16:M27 P16:P27 S16:S27 Y16:Y27 AB16:AB27 AE16:AE27 AH16:AH27 D16:D27 G23:G26 J16:J27">
    <cfRule dxfId="663" operator="lessThan" priority="39" type="cellIs">
      <formula>0</formula>
    </cfRule>
    <cfRule dxfId="662" operator="greaterThanOrEqual" priority="40" type="cellIs">
      <formula>0</formula>
    </cfRule>
  </conditionalFormatting>
  <conditionalFormatting sqref="G16:G22 G27 V16:V27">
    <cfRule dxfId="662" operator="lessThanOrEqual" priority="37" type="cellIs">
      <formula>0</formula>
    </cfRule>
    <cfRule dxfId="663" operator="greaterThanOrEqual" priority="38" type="cellIs">
      <formula>0</formula>
    </cfRule>
  </conditionalFormatting>
  <conditionalFormatting sqref="M29:M40 P29:P40 S29:S40 Y29:Y40 AB29:AB40 AE29:AE40 AH29:AH40 D29:D40 G36:G39 J29:J40">
    <cfRule dxfId="663" operator="lessThan" priority="35" type="cellIs">
      <formula>0</formula>
    </cfRule>
    <cfRule dxfId="662" operator="greaterThanOrEqual" priority="36" type="cellIs">
      <formula>0</formula>
    </cfRule>
  </conditionalFormatting>
  <conditionalFormatting sqref="G29:G35 G40 V29:V40">
    <cfRule dxfId="662" operator="lessThanOrEqual" priority="33" type="cellIs">
      <formula>0</formula>
    </cfRule>
    <cfRule dxfId="663" operator="greaterThanOrEqual" priority="34" type="cellIs">
      <formula>0</formula>
    </cfRule>
  </conditionalFormatting>
  <conditionalFormatting sqref="M42:M53 P42:P53 S42:S53 Y42:Y53 AB42:AB53 AE42:AE53 AH42:AH53 D42:D53 G49:G52 J42:J53">
    <cfRule dxfId="663" operator="lessThan" priority="31" type="cellIs">
      <formula>0</formula>
    </cfRule>
    <cfRule dxfId="662" operator="greaterThanOrEqual" priority="32" type="cellIs">
      <formula>0</formula>
    </cfRule>
  </conditionalFormatting>
  <conditionalFormatting sqref="G42:G48 G53 V42:V53">
    <cfRule dxfId="662" operator="lessThanOrEqual" priority="29" type="cellIs">
      <formula>0</formula>
    </cfRule>
    <cfRule dxfId="663" operator="greaterThanOrEqual" priority="30" type="cellIs">
      <formula>0</formula>
    </cfRule>
  </conditionalFormatting>
  <conditionalFormatting sqref="M55:M66 P55:P66 S55:S66 Y55:Y66 AB55:AB66 AE55:AE66 AH55:AH66 D55:D66 G62:G65 J55:J66">
    <cfRule dxfId="663" operator="lessThan" priority="27" type="cellIs">
      <formula>0</formula>
    </cfRule>
    <cfRule dxfId="662" operator="greaterThanOrEqual" priority="28" type="cellIs">
      <formula>0</formula>
    </cfRule>
  </conditionalFormatting>
  <conditionalFormatting sqref="G55:G61 G66 V55:V66">
    <cfRule dxfId="662" operator="lessThanOrEqual" priority="25" type="cellIs">
      <formula>0</formula>
    </cfRule>
    <cfRule dxfId="663" operator="greaterThanOrEqual" priority="26" type="cellIs">
      <formula>0</formula>
    </cfRule>
  </conditionalFormatting>
  <conditionalFormatting sqref="M68:M79 P68:P79 S68:S79 Y68:Y79 AB68:AB79 AE68:AE79 AH68:AH79 D68:D79 G75:G78 J68:J79">
    <cfRule dxfId="663" operator="lessThan" priority="23" type="cellIs">
      <formula>0</formula>
    </cfRule>
    <cfRule dxfId="662" operator="greaterThanOrEqual" priority="24" type="cellIs">
      <formula>0</formula>
    </cfRule>
  </conditionalFormatting>
  <conditionalFormatting sqref="G68:G74 G79 V68:V79">
    <cfRule dxfId="662" operator="lessThanOrEqual" priority="21" type="cellIs">
      <formula>0</formula>
    </cfRule>
    <cfRule dxfId="663" operator="greaterThanOrEqual" priority="22" type="cellIs">
      <formula>0</formula>
    </cfRule>
  </conditionalFormatting>
  <conditionalFormatting sqref="M81:M92 P81:P92 S81:S92 Y81:Y92 AB81:AB92 AE81:AE92 AH81:AH92 D81:D92 G88:G91 J81:J92">
    <cfRule dxfId="663" operator="lessThan" priority="19" type="cellIs">
      <formula>0</formula>
    </cfRule>
    <cfRule dxfId="662" operator="greaterThanOrEqual" priority="20" type="cellIs">
      <formula>0</formula>
    </cfRule>
  </conditionalFormatting>
  <conditionalFormatting sqref="G81:G87 G92 V81:V92">
    <cfRule dxfId="662" operator="lessThanOrEqual" priority="17" type="cellIs">
      <formula>0</formula>
    </cfRule>
    <cfRule dxfId="663" operator="greaterThanOrEqual" priority="18" type="cellIs">
      <formula>0</formula>
    </cfRule>
  </conditionalFormatting>
  <conditionalFormatting sqref="M120:M131 P120:P131 S120:S131 Y120:Y131 AB120:AB131 AE120:AE131 AH120:AH131 D120:D131 G127:G130 J120:J131">
    <cfRule dxfId="663" operator="lessThan" priority="15" type="cellIs">
      <formula>0</formula>
    </cfRule>
    <cfRule dxfId="662" operator="greaterThanOrEqual" priority="16" type="cellIs">
      <formula>0</formula>
    </cfRule>
  </conditionalFormatting>
  <conditionalFormatting sqref="G120:G126 G131 V120:V131">
    <cfRule dxfId="662" operator="lessThanOrEqual" priority="13" type="cellIs">
      <formula>0</formula>
    </cfRule>
    <cfRule dxfId="663" operator="greaterThanOrEqual" priority="14" type="cellIs">
      <formula>0</formula>
    </cfRule>
  </conditionalFormatting>
  <conditionalFormatting sqref="M133:M144 P133:P144 S133:S144 Y133:Y144 AB133:AB144 AE133:AE144 AH133:AH144 D133:D144 G140:G143 J133:J144">
    <cfRule dxfId="663" operator="lessThan" priority="11" type="cellIs">
      <formula>0</formula>
    </cfRule>
    <cfRule dxfId="662" operator="greaterThanOrEqual" priority="12" type="cellIs">
      <formula>0</formula>
    </cfRule>
  </conditionalFormatting>
  <conditionalFormatting sqref="G133:G139 G144 V133:V144">
    <cfRule dxfId="662" operator="lessThanOrEqual" priority="9" type="cellIs">
      <formula>0</formula>
    </cfRule>
    <cfRule dxfId="663" operator="greaterThanOrEqual" priority="10" type="cellIs">
      <formula>0</formula>
    </cfRule>
  </conditionalFormatting>
  <conditionalFormatting sqref="M146:M157 P146:P157 S146:S157 Y146:Y157 AB146:AB157 AE146:AE157 AH146:AH157 D146:D157 G153:G156 J146:J157">
    <cfRule dxfId="663" operator="lessThan" priority="7" type="cellIs">
      <formula>0</formula>
    </cfRule>
    <cfRule dxfId="662" operator="greaterThanOrEqual" priority="8" type="cellIs">
      <formula>0</formula>
    </cfRule>
  </conditionalFormatting>
  <conditionalFormatting sqref="G146:G152 G157 V146:V157">
    <cfRule dxfId="662" operator="lessThanOrEqual" priority="5" type="cellIs">
      <formula>0</formula>
    </cfRule>
    <cfRule dxfId="663" operator="greaterThanOrEqual" priority="6" type="cellIs">
      <formula>0</formula>
    </cfRule>
  </conditionalFormatting>
  <conditionalFormatting sqref="M159:M170 P159:P170 S159:S170 Y159:Y170 AB159:AB170 AE159:AE170 AH159:AH170 D159:D170 G166:G169 J159:J170">
    <cfRule dxfId="663" operator="lessThan" priority="3" type="cellIs">
      <formula>0</formula>
    </cfRule>
    <cfRule dxfId="662" operator="greaterThanOrEqual" priority="4" type="cellIs">
      <formula>0</formula>
    </cfRule>
  </conditionalFormatting>
  <conditionalFormatting sqref="G159:G165 G170 V159:V170">
    <cfRule dxfId="662" operator="lessThanOrEqual" priority="1" type="cellIs">
      <formula>0</formula>
    </cfRule>
    <cfRule dxfId="663" operator="greaterThanOrEqual" priority="2" type="cellIs">
      <formula>0</formula>
    </cfRule>
  </conditionalFormatting>
  <pageMargins bottom="1" footer="0.5" header="0.5" left="0.75" right="0.75" top="1"/>
  <pageSetup horizontalDpi="4294967292" orientation="portrait" verticalDpi="4294967292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A1:AH20"/>
  <sheetViews>
    <sheetView workbookViewId="0" zoomScale="73" zoomScaleNormal="73" zoomScalePageLayoutView="73">
      <selection activeCell="H31" sqref="H31"/>
    </sheetView>
  </sheetViews>
  <sheetFormatPr baseColWidth="8" defaultColWidth="8.625" defaultRowHeight="18.75" outlineLevelCol="1" outlineLevelRow="1"/>
  <cols>
    <col customWidth="1" max="1" min="1" style="358" width="30.875"/>
    <col customWidth="1" max="2" min="2" style="483" width="15.125"/>
    <col customWidth="1" max="3" min="3" outlineLevel="1" style="483" width="13.875"/>
    <col bestFit="1" customWidth="1" max="4" min="4" style="483" width="11.375"/>
    <col bestFit="1" customWidth="1" max="5" min="5" style="483" width="14"/>
    <col customWidth="1" max="6" min="6" outlineLevel="1" style="483" width="14.5"/>
    <col bestFit="1" customWidth="1" max="7" min="7" style="483" width="11.75"/>
    <col customWidth="1" max="8" min="8" style="484" width="12"/>
    <col customWidth="1" max="9" min="9" outlineLevel="1" style="484" width="12.5"/>
    <col bestFit="1" customWidth="1" max="10" min="10" style="483" width="11.75"/>
    <col bestFit="1" customWidth="1" max="11" min="11" style="484" width="14.375"/>
    <col customWidth="1" max="12" min="12" outlineLevel="1" style="485" width="12.375"/>
    <col bestFit="1" customWidth="1" max="13" min="13" style="485" width="11.75"/>
    <col customWidth="1" max="14" min="14" style="485" width="11.375"/>
    <col customWidth="1" max="15" min="15" outlineLevel="1" style="485" width="12"/>
    <col customWidth="1" max="16" min="16" style="485" width="9.875"/>
    <col customWidth="1" max="17" min="17" style="485" width="10"/>
    <col customWidth="1" max="18" min="18" outlineLevel="1" style="485" width="12"/>
    <col customWidth="1" max="19" min="19" style="485" width="9.875"/>
    <col customWidth="1" max="20" min="20" style="483" width="9.375"/>
    <col customWidth="1" max="21" min="21" outlineLevel="1" style="483" width="8.875"/>
    <col customWidth="1" max="22" min="22" style="485" width="8.5"/>
    <col customWidth="1" max="23" min="23" style="483" width="9.375"/>
    <col customWidth="1" max="24" min="24" outlineLevel="1" style="483" width="8.875"/>
    <col customWidth="1" max="25" min="25" style="485" width="9.875"/>
    <col customWidth="1" max="26" min="26" style="486" width="12.5"/>
    <col customWidth="1" max="27" min="27" outlineLevel="1" style="485" width="13.875"/>
    <col bestFit="1" customWidth="1" max="28" min="28" style="485" width="11.75"/>
    <col customWidth="1" max="29" min="29" style="486" width="14.875"/>
    <col customWidth="1" max="30" min="30" outlineLevel="1" style="485" width="15.5"/>
    <col bestFit="1" customWidth="1" max="31" min="31" style="485" width="8.5"/>
    <col bestFit="1" customWidth="1" max="32" min="32" style="487" width="8.875"/>
    <col customWidth="1" hidden="1" max="33" min="33" outlineLevel="1" style="487" width="8.875"/>
    <col collapsed="1" customWidth="1" max="34" min="34" style="485" width="10"/>
    <col customWidth="1" max="16384" min="35" style="358" width="8.625"/>
  </cols>
  <sheetData>
    <row customHeight="1" ht="29.1" r="1" s="452" spans="1:34">
      <c r="A1" s="456" t="s">
        <v>31</v>
      </c>
    </row>
    <row r="2" spans="1:34">
      <c r="A2" s="359" t="s">
        <v>53</v>
      </c>
      <c r="B2" s="488" t="s">
        <v>1</v>
      </c>
      <c r="C2" s="488" t="s">
        <v>2</v>
      </c>
      <c r="D2" s="489" t="s">
        <v>3</v>
      </c>
      <c r="E2" s="488" t="s">
        <v>4</v>
      </c>
      <c r="F2" s="488" t="s">
        <v>5</v>
      </c>
      <c r="G2" s="489" t="s">
        <v>3</v>
      </c>
      <c r="H2" s="490" t="s">
        <v>6</v>
      </c>
      <c r="I2" s="490" t="s">
        <v>7</v>
      </c>
      <c r="J2" s="489" t="s">
        <v>3</v>
      </c>
      <c r="K2" s="490" t="s">
        <v>8</v>
      </c>
      <c r="L2" s="491" t="s">
        <v>9</v>
      </c>
      <c r="M2" s="489" t="s">
        <v>3</v>
      </c>
      <c r="N2" s="491" t="s">
        <v>10</v>
      </c>
      <c r="O2" s="491" t="s">
        <v>11</v>
      </c>
      <c r="P2" s="489" t="s">
        <v>3</v>
      </c>
      <c r="Q2" s="491" t="s">
        <v>12</v>
      </c>
      <c r="R2" s="491" t="s">
        <v>13</v>
      </c>
      <c r="S2" s="489" t="s">
        <v>3</v>
      </c>
      <c r="T2" s="492" t="s">
        <v>14</v>
      </c>
      <c r="U2" s="492" t="s">
        <v>15</v>
      </c>
      <c r="V2" s="489" t="s">
        <v>3</v>
      </c>
      <c r="W2" s="492" t="s">
        <v>16</v>
      </c>
      <c r="X2" s="492" t="s">
        <v>17</v>
      </c>
      <c r="Y2" s="489" t="s">
        <v>3</v>
      </c>
      <c r="Z2" s="493" t="s">
        <v>18</v>
      </c>
      <c r="AA2" s="491" t="s">
        <v>19</v>
      </c>
      <c r="AB2" s="489" t="s">
        <v>3</v>
      </c>
      <c r="AC2" s="494" t="s">
        <v>33</v>
      </c>
      <c r="AD2" s="495" t="s">
        <v>34</v>
      </c>
      <c r="AE2" s="489" t="s">
        <v>3</v>
      </c>
      <c r="AF2" s="496" t="s">
        <v>22</v>
      </c>
      <c r="AG2" s="496" t="s">
        <v>23</v>
      </c>
      <c r="AH2" s="489" t="s">
        <v>3</v>
      </c>
    </row>
    <row customFormat="1" customHeight="1" ht="20.1" r="3" s="367" spans="1:34">
      <c r="A3" s="367" t="s">
        <v>24</v>
      </c>
      <c r="B3" s="497">
        <f>SUM(B4:B6)</f>
        <v/>
      </c>
      <c r="C3" s="497">
        <f>SUM(C4:C6)</f>
        <v/>
      </c>
      <c r="D3" s="369">
        <f>(B3-C3)/C3</f>
        <v/>
      </c>
      <c r="E3" s="497">
        <f>SUM(E4:E6)</f>
        <v/>
      </c>
      <c r="F3" s="497">
        <f>SUM(F4:F6)</f>
        <v/>
      </c>
      <c r="G3" s="369">
        <f>(E3-F3)/F3</f>
        <v/>
      </c>
      <c r="H3" s="498">
        <f>B3/E3</f>
        <v/>
      </c>
      <c r="I3" s="498">
        <f>C3/F3</f>
        <v/>
      </c>
      <c r="J3" s="369">
        <f>(H3-I3)/I3</f>
        <v/>
      </c>
      <c r="K3" s="501">
        <f>SUM(K4:K6)</f>
        <v/>
      </c>
      <c r="L3" s="501">
        <f>SUM(L4:L6)</f>
        <v/>
      </c>
      <c r="M3" s="369">
        <f>(K3-L3)/L3</f>
        <v/>
      </c>
      <c r="N3" s="371">
        <f>SUM(N4:N6)</f>
        <v/>
      </c>
      <c r="O3" s="371">
        <f>SUM(O4:O6)</f>
        <v/>
      </c>
      <c r="P3" s="369">
        <f>(N3-O3)/O3</f>
        <v/>
      </c>
      <c r="Q3" s="500">
        <f>N3/K3</f>
        <v/>
      </c>
      <c r="R3" s="500">
        <f>O3/L3</f>
        <v/>
      </c>
      <c r="S3" s="369">
        <f>(Q3-R3)/R3</f>
        <v/>
      </c>
      <c r="T3" s="517">
        <f>E3/N3</f>
        <v/>
      </c>
      <c r="U3" s="497">
        <f>F3/O3</f>
        <v/>
      </c>
      <c r="V3" s="369">
        <f>(T3-U3)/U3</f>
        <v/>
      </c>
      <c r="W3" s="497">
        <f>B3/N3</f>
        <v/>
      </c>
      <c r="X3" s="497">
        <f>C3/O3</f>
        <v/>
      </c>
      <c r="Y3" s="369">
        <f>(W3-X3)/X3</f>
        <v/>
      </c>
      <c r="Z3" s="501">
        <f>SUM(Z4:Z6)</f>
        <v/>
      </c>
      <c r="AA3" s="501">
        <f>SUM(AA4:AA6)</f>
        <v/>
      </c>
      <c r="AB3" s="369">
        <f>(Z3-AA3)/AA3</f>
        <v/>
      </c>
      <c r="AC3" s="501">
        <f>SUM(AC4:AC6)</f>
        <v/>
      </c>
      <c r="AD3" s="501">
        <f>SUM(AD4:AD6)</f>
        <v/>
      </c>
      <c r="AE3" s="369">
        <f>(AC3-AD3)/AD3</f>
        <v/>
      </c>
      <c r="AF3" s="500">
        <f>Z3/AC3</f>
        <v/>
      </c>
      <c r="AG3" s="500">
        <f>AA3/AD3</f>
        <v/>
      </c>
      <c r="AH3" s="369">
        <f>(AF3-AG3)/AG3</f>
        <v/>
      </c>
    </row>
    <row outlineLevel="1" r="4" s="452" spans="1:34">
      <c r="A4" s="373" t="s">
        <v>35</v>
      </c>
      <c r="B4" s="502">
        <f>SUMIFS(Search!$E:$E,Search!$B:$B,'By Week'!$A$2,Search!$D:$D,"Brand")</f>
        <v/>
      </c>
      <c r="C4" s="502">
        <f>SUMIFS(Search!$F:$F,Search!$B:$B,'By Week'!$A$2,Search!$D:$D,"Brand")</f>
        <v/>
      </c>
      <c r="D4" s="369">
        <f>(B4-C4)/C4</f>
        <v/>
      </c>
      <c r="E4" s="502">
        <f>SUMIFS(Search!$I:$I,Search!$B:$B,'By Week'!$A$2,Search!$D:$D,"Brand")</f>
        <v/>
      </c>
      <c r="F4" s="502">
        <f>SUMIFS(Search!$J:$J,Search!$B:$B,'By Week'!$A$2,Search!$D:$D,"Brand")</f>
        <v/>
      </c>
      <c r="G4" s="375">
        <f>(E4-F4)/F4</f>
        <v/>
      </c>
      <c r="H4" s="503">
        <f>B4/E4</f>
        <v/>
      </c>
      <c r="I4" s="503">
        <f>C4/F4</f>
        <v/>
      </c>
      <c r="J4" s="375">
        <f>(H4-I4)/I4</f>
        <v/>
      </c>
      <c r="K4" s="506">
        <f>SUMIFS(Search!$Q:$Q,Search!$B:$B,'By Week'!$A$2,Search!$D:$D,"Brand")</f>
        <v/>
      </c>
      <c r="L4" s="506">
        <f>SUMIFS(Search!$R:$R,Search!$B:$B,'By Week'!$A$2,Search!$D:$D,"Brand")</f>
        <v/>
      </c>
      <c r="M4" s="375">
        <f>(K4-L4)/L4</f>
        <v/>
      </c>
      <c r="N4" s="377">
        <f>SUMIFS(Search!$U:$U,Search!$B:$B,'By Week'!$A$2,Search!$D:$D,"Brand")</f>
        <v/>
      </c>
      <c r="O4" s="377">
        <f>SUMIFS(Search!$V:$V,Search!$B:$B,'By Week'!$A$2,Search!$D:$D,"Brand")</f>
        <v/>
      </c>
      <c r="P4" s="378">
        <f>(N4-O4)/O4</f>
        <v/>
      </c>
      <c r="Q4" s="505">
        <f>N4/K4</f>
        <v/>
      </c>
      <c r="R4" s="505">
        <f>O4/L4</f>
        <v/>
      </c>
      <c r="S4" s="378">
        <f>(Q4-R4)/R4</f>
        <v/>
      </c>
      <c r="T4" s="502">
        <f>E4/N4</f>
        <v/>
      </c>
      <c r="U4" s="502">
        <f>F4/O4</f>
        <v/>
      </c>
      <c r="V4" s="375">
        <f>(T4-U4)/U4</f>
        <v/>
      </c>
      <c r="W4" s="502">
        <f>B4/N4</f>
        <v/>
      </c>
      <c r="X4" s="502">
        <f>C4/O4</f>
        <v/>
      </c>
      <c r="Y4" s="378">
        <f>(W4-X4)/X4</f>
        <v/>
      </c>
      <c r="Z4" s="506">
        <f>SUMIFS(Search!$AG:$AG,Search!$B:$B,'By Week'!$A$2,Search!$D:$D,"Brand")</f>
        <v/>
      </c>
      <c r="AA4" s="506">
        <f>SUMIFS(Search!$AH:$AH,Search!$B:$B,'By Week'!$A$2,Search!$D:$D,"Brand")</f>
        <v/>
      </c>
      <c r="AB4" s="378">
        <f>(Z4-AA4)/AA4</f>
        <v/>
      </c>
      <c r="AC4" s="506">
        <f>SUMIFS(Search!$AK:$AK,Search!$B:$B,'By Week'!$A$2,Search!$D:$D,"Brand")</f>
        <v/>
      </c>
      <c r="AD4" s="506">
        <f>SUMIFS(Search!$AL:$AL,Search!$B:$B,'By Week'!$A$2,Search!$D:$D,"Brand")</f>
        <v/>
      </c>
      <c r="AE4" s="378">
        <f>(AC4-AD4)/AD4</f>
        <v/>
      </c>
      <c r="AF4" s="505">
        <f>Z4/AC4</f>
        <v/>
      </c>
      <c r="AG4" s="505">
        <f>AA4/AD4</f>
        <v/>
      </c>
      <c r="AH4" s="378">
        <f>(AF4-AG4)/AG4</f>
        <v/>
      </c>
    </row>
    <row outlineLevel="1" r="5" s="452" spans="1:34">
      <c r="A5" s="373" t="s">
        <v>36</v>
      </c>
      <c r="B5" s="502">
        <f>SUMIFS(Search!$E:$E,Search!$B:$B,'By Week'!$A$2,Search!$D:$D,"Non-Brand")</f>
        <v/>
      </c>
      <c r="C5" s="502">
        <f>SUMIFS(Search!$F:$F,Search!$B:$B,'By Week'!$A$2,Search!$D:$D,"Non-Brand")</f>
        <v/>
      </c>
      <c r="D5" s="369">
        <f>(B5-C5)/C5</f>
        <v/>
      </c>
      <c r="E5" s="502">
        <f>SUMIFS(Search!$I:$I,Search!$B:$B,'By Week'!$A$2,Search!$D:$D,"Non-Brand")</f>
        <v/>
      </c>
      <c r="F5" s="502">
        <f>SUMIFS(Search!$J:$J,Search!$B:$B,'By Week'!$A$2,Search!$D:$D,"Non-Brand")</f>
        <v/>
      </c>
      <c r="G5" s="375">
        <f>(E5-F5)/F5</f>
        <v/>
      </c>
      <c r="H5" s="503">
        <f>B5/E5</f>
        <v/>
      </c>
      <c r="I5" s="503">
        <f>C5/F5</f>
        <v/>
      </c>
      <c r="J5" s="375">
        <f>(H5-I5)/I5</f>
        <v/>
      </c>
      <c r="K5" s="506">
        <f>SUMIFS(Search!$Q:$Q,Search!$B:$B,'By Week'!$A$2,Search!$D:$D,"Non-Brand")</f>
        <v/>
      </c>
      <c r="L5" s="506">
        <f>SUMIFS(Search!$R:$R,Search!$B:$B,'By Week'!$A$2,Search!$D:$D,"Non-Brand")</f>
        <v/>
      </c>
      <c r="M5" s="375">
        <f>(K5-L5)/L5</f>
        <v/>
      </c>
      <c r="N5" s="377">
        <f>SUMIFS(Search!$U:$U,Search!$B:$B,'By Week'!$A$2,Search!$D:$D,"Non-Brand")</f>
        <v/>
      </c>
      <c r="O5" s="377">
        <f>SUMIFS(Search!$V:$V,Search!$B:$B,'By Week'!$A$2,Search!$D:$D,"Non-Brand")</f>
        <v/>
      </c>
      <c r="P5" s="378">
        <f>(N5-O5)/O5</f>
        <v/>
      </c>
      <c r="Q5" s="505">
        <f>N5/K5</f>
        <v/>
      </c>
      <c r="R5" s="505">
        <f>O5/L5</f>
        <v/>
      </c>
      <c r="S5" s="378">
        <f>(Q5-R5)/R5</f>
        <v/>
      </c>
      <c r="T5" s="502">
        <f>E5/N5</f>
        <v/>
      </c>
      <c r="U5" s="502">
        <f>F5/O5</f>
        <v/>
      </c>
      <c r="V5" s="375">
        <f>(T5-U5)/U5</f>
        <v/>
      </c>
      <c r="W5" s="502">
        <f>B5/N5</f>
        <v/>
      </c>
      <c r="X5" s="502">
        <f>C5/O5</f>
        <v/>
      </c>
      <c r="Y5" s="378">
        <f>(W5-X5)/X5</f>
        <v/>
      </c>
      <c r="Z5" s="506">
        <f>SUMIFS(Search!$AG:$AG,Search!$B:$B,'By Week'!$A$2,Search!$D:$D,"Non-Brand")</f>
        <v/>
      </c>
      <c r="AA5" s="506">
        <f>SUMIFS(Search!$AH:$AH,Search!$B:$B,'By Week'!$A$2,Search!$D:$D,"Non-Brand")</f>
        <v/>
      </c>
      <c r="AB5" s="378">
        <f>(Z5-AA5)/AA5</f>
        <v/>
      </c>
      <c r="AC5" s="506">
        <f>SUMIFS(Search!$AK:$AK,Search!$B:$B,'By Week'!$A$2,Search!$D:$D,"Non-Brand")</f>
        <v/>
      </c>
      <c r="AD5" s="506">
        <f>SUMIFS(Search!$AL:$AL,Search!$B:$B,'By Week'!$A$2,Search!$D:$D,"Non-Brand")</f>
        <v/>
      </c>
      <c r="AE5" s="378">
        <f>(AC5-AD5)/AD5</f>
        <v/>
      </c>
      <c r="AF5" s="505">
        <f>Z5/AC5</f>
        <v/>
      </c>
      <c r="AG5" s="505">
        <f>AA5/AD5</f>
        <v/>
      </c>
      <c r="AH5" s="378">
        <f>(AF5-AG5)/AG5</f>
        <v/>
      </c>
    </row>
    <row outlineLevel="1" r="6" s="452" spans="1:34">
      <c r="A6" s="373" t="s">
        <v>37</v>
      </c>
      <c r="B6" s="502">
        <f>SUMIFS(Search!$E:$E,Search!$B:$B,'By Week'!$A$2,Search!$D:$D,"Shopping Campaigns")</f>
        <v/>
      </c>
      <c r="C6" s="502">
        <f>SUMIFS(Search!$F:$F,Search!$B:$B,'By Week'!$A$2,Search!$D:$D,"Shopping Campaigns")</f>
        <v/>
      </c>
      <c r="D6" s="369">
        <f>(B6-C6)/C6</f>
        <v/>
      </c>
      <c r="E6" s="502">
        <f>SUMIFS(Search!$I:$I,Search!$B:$B,'By Week'!$A$2,Search!$D:$D,"Shopping Campaigns")</f>
        <v/>
      </c>
      <c r="F6" s="502">
        <f>SUMIFS(Search!$J:$J,Search!$B:$B,'By Week'!$A$2,Search!$D:$D,"Shopping Campaigns")</f>
        <v/>
      </c>
      <c r="G6" s="375">
        <f>(E6-F6)/F6</f>
        <v/>
      </c>
      <c r="H6" s="503">
        <f>B6/E6</f>
        <v/>
      </c>
      <c r="I6" s="503">
        <f>C6/F6</f>
        <v/>
      </c>
      <c r="J6" s="375">
        <f>(H6-I6)/I6</f>
        <v/>
      </c>
      <c r="K6" s="506">
        <f>SUMIFS(Search!$Q:$Q,Search!$B:$B,'By Week'!$A$2,Search!$D:$D,"Shopping Campaigns")</f>
        <v/>
      </c>
      <c r="L6" s="506">
        <f>SUMIFS(Search!$R:$R,Search!$B:$B,'By Week'!$A$2,Search!$D:$D,"Shopping Campaigns")</f>
        <v/>
      </c>
      <c r="M6" s="375">
        <f>(K6-L6)/L6</f>
        <v/>
      </c>
      <c r="N6" s="377">
        <f>SUMIFS(Search!$U:$U,Search!$B:$B,'By Week'!$A$2,Search!$D:$D,"Shopping Campaigns")</f>
        <v/>
      </c>
      <c r="O6" s="377">
        <f>SUMIFS(Search!$V:$V,Search!$B:$B,'By Week'!$A$2,Search!$D:$D,"Shopping Campaigns")</f>
        <v/>
      </c>
      <c r="P6" s="378">
        <f>(N6-O6)/O6</f>
        <v/>
      </c>
      <c r="Q6" s="505">
        <f>N6/K6</f>
        <v/>
      </c>
      <c r="R6" s="505">
        <f>O6/L6</f>
        <v/>
      </c>
      <c r="S6" s="378">
        <f>(Q6-R6)/R6</f>
        <v/>
      </c>
      <c r="T6" s="502">
        <f>E6/N6</f>
        <v/>
      </c>
      <c r="U6" s="502">
        <f>F6/O6</f>
        <v/>
      </c>
      <c r="V6" s="375">
        <f>(T6-U6)/U6</f>
        <v/>
      </c>
      <c r="W6" s="502">
        <f>B6/N6</f>
        <v/>
      </c>
      <c r="X6" s="502">
        <f>C6/O6</f>
        <v/>
      </c>
      <c r="Y6" s="378">
        <f>(W6-X6)/X6</f>
        <v/>
      </c>
      <c r="Z6" s="506">
        <f>SUMIFS(Search!$AG:$AG,Search!$B:$B,'By Week'!$A$2,Search!$D:$D,"Shopping Campaigns")</f>
        <v/>
      </c>
      <c r="AA6" s="506">
        <f>SUMIFS(Search!$AH:$AH,Search!$B:$B,'By Week'!$A$2,Search!$D:$D,"Shopping Campaigns")</f>
        <v/>
      </c>
      <c r="AB6" s="378">
        <f>(Z6-AA6)/AA6</f>
        <v/>
      </c>
      <c r="AC6" s="506">
        <f>SUMIFS(Search!$AK:$AK,Search!$B:$B,'By Week'!$A$2,Search!$D:$D,"Shopping Campaigns")</f>
        <v/>
      </c>
      <c r="AD6" s="506">
        <f>SUMIFS(Search!$AL:$AL,Search!$B:$B,'By Week'!$A$2,Search!$D:$D,"Shopping Campaigns")</f>
        <v/>
      </c>
      <c r="AE6" s="378">
        <f>(AC6-AD6)/AD6</f>
        <v/>
      </c>
      <c r="AF6" s="505">
        <f>Z6/AC6</f>
        <v/>
      </c>
      <c r="AG6" s="505">
        <f>AA6/AD6</f>
        <v/>
      </c>
      <c r="AH6" s="378">
        <f>(AF6-AG6)/AG6</f>
        <v/>
      </c>
    </row>
    <row customFormat="1" customHeight="1" ht="21" r="7" s="367" spans="1:34">
      <c r="A7" s="380" t="s">
        <v>27</v>
      </c>
      <c r="B7" s="497">
        <f>SUMIFS(Affiliate!$D:$D,Affiliate!$B:$B,'By Week'!$A$2)</f>
        <v/>
      </c>
      <c r="C7" s="497">
        <f>SUMIFS(Affiliate!$E:$E,Affiliate!$B:$B,'By Week'!$A$2)</f>
        <v/>
      </c>
      <c r="D7" s="369">
        <f>(B7-C7)/C7</f>
        <v/>
      </c>
      <c r="E7" s="497">
        <f>SUMIFS(Affiliate!$H:$H,Affiliate!$B:$B,'By Week'!$A$2)</f>
        <v/>
      </c>
      <c r="F7" s="497">
        <f>SUMIFS(Affiliate!$I:$I,Affiliate!$B:$B,'By Week'!$A$2)</f>
        <v/>
      </c>
      <c r="G7" s="369">
        <f>(E7-F7)/F7</f>
        <v/>
      </c>
      <c r="H7" s="498">
        <f>B7/E7</f>
        <v/>
      </c>
      <c r="I7" s="498">
        <f>C7/F7</f>
        <v/>
      </c>
      <c r="J7" s="369">
        <f>(H7-I7)/I7</f>
        <v/>
      </c>
      <c r="K7" s="501">
        <f>SUMIFS(Affiliate!$AF:$AF,Affiliate!$B:$B,'By Week'!$A$2)</f>
        <v/>
      </c>
      <c r="L7" s="501">
        <f>SUMIFS(Affiliate!$AG:$AG,Affiliate!$B:$B,'By Week'!$A$2)</f>
        <v/>
      </c>
      <c r="M7" s="369">
        <f>(K7-L7)/L7</f>
        <v/>
      </c>
      <c r="N7" s="371">
        <f>SUMIFS(Affiliate!$AJ:$AJ,Affiliate!$B:$B,'By Week'!$A$2)</f>
        <v/>
      </c>
      <c r="O7" s="371">
        <f>SUMIFS(Affiliate!$AK:$AK,Affiliate!$B:$B,'By Week'!$A$2)</f>
        <v/>
      </c>
      <c r="P7" s="381">
        <f>(N7-O7)/O7</f>
        <v/>
      </c>
      <c r="Q7" s="507">
        <f>N7/K7</f>
        <v/>
      </c>
      <c r="R7" s="507">
        <f>O7/L7</f>
        <v/>
      </c>
      <c r="S7" s="381">
        <f>(Q7-R7)/R7</f>
        <v/>
      </c>
      <c r="T7" s="508">
        <f>E7/N7</f>
        <v/>
      </c>
      <c r="U7" s="508">
        <f>F7/O7</f>
        <v/>
      </c>
      <c r="V7" s="369">
        <f>(T7-U7)/U7</f>
        <v/>
      </c>
      <c r="W7" s="508">
        <f>B7/N7</f>
        <v/>
      </c>
      <c r="X7" s="508">
        <f>C7/O7</f>
        <v/>
      </c>
      <c r="Y7" s="381">
        <f>(W7-X7)/X7</f>
        <v/>
      </c>
      <c r="Z7" s="509" t="n"/>
      <c r="AA7" s="384" t="n"/>
      <c r="AB7" s="381">
        <f>(Z7-AA7)/AA7</f>
        <v/>
      </c>
      <c r="AC7" s="509" t="n"/>
      <c r="AD7" s="384" t="n"/>
      <c r="AE7" s="381">
        <f>(AC7-AD7)/AD7</f>
        <v/>
      </c>
      <c r="AF7" s="510" t="n"/>
      <c r="AG7" s="510" t="n"/>
      <c r="AH7" s="381">
        <f>(AF7-AG7)/AG7</f>
        <v/>
      </c>
    </row>
    <row customFormat="1" customHeight="1" ht="20.1" r="8" s="367" spans="1:34">
      <c r="A8" s="367" t="s">
        <v>28</v>
      </c>
      <c r="B8" s="497">
        <f>SUM(B9:B10)</f>
        <v/>
      </c>
      <c r="C8" s="497">
        <f>SUM(C9:C10)</f>
        <v/>
      </c>
      <c r="D8" s="369">
        <f>(B8-C8)/C8</f>
        <v/>
      </c>
      <c r="E8" s="497">
        <f>SUM(E9:E10)</f>
        <v/>
      </c>
      <c r="F8" s="497">
        <f>SUM(F9:F10)</f>
        <v/>
      </c>
      <c r="G8" s="369">
        <f>(E8-F8)/F8</f>
        <v/>
      </c>
      <c r="H8" s="498">
        <f>B8/E8</f>
        <v/>
      </c>
      <c r="I8" s="498">
        <f>C8/F8</f>
        <v/>
      </c>
      <c r="J8" s="369">
        <f>(H8-I8)/I8</f>
        <v/>
      </c>
      <c r="K8" s="501">
        <f>SUM(K9:K10)</f>
        <v/>
      </c>
      <c r="L8" s="501">
        <f>SUM(L9:L10)</f>
        <v/>
      </c>
      <c r="M8" s="369">
        <f>(K8-L8)/L8</f>
        <v/>
      </c>
      <c r="N8" s="371">
        <f>SUM(N9:N10)</f>
        <v/>
      </c>
      <c r="O8" s="371">
        <f>SUM(O9:O10)</f>
        <v/>
      </c>
      <c r="P8" s="381">
        <f>(N8-O8)/O8</f>
        <v/>
      </c>
      <c r="Q8" s="507">
        <f>N8/K8</f>
        <v/>
      </c>
      <c r="R8" s="507">
        <f>O8/L8</f>
        <v/>
      </c>
      <c r="S8" s="381">
        <f>(Q8-R8)/R8</f>
        <v/>
      </c>
      <c r="T8" s="508">
        <f>E8/N8</f>
        <v/>
      </c>
      <c r="U8" s="508">
        <f>F8/O8</f>
        <v/>
      </c>
      <c r="V8" s="369">
        <f>(T8-U8)/U8</f>
        <v/>
      </c>
      <c r="W8" s="508">
        <f>B8/N8</f>
        <v/>
      </c>
      <c r="X8" s="508">
        <f>C8/O8</f>
        <v/>
      </c>
      <c r="Y8" s="381">
        <f>(W8-X8)/X8</f>
        <v/>
      </c>
      <c r="Z8" s="501">
        <f>SUM(Z9:Z10)</f>
        <v/>
      </c>
      <c r="AA8" s="501">
        <f>SUM(AA9:AA10)</f>
        <v/>
      </c>
      <c r="AB8" s="381">
        <f>(Z8-AA8)/AA8</f>
        <v/>
      </c>
      <c r="AC8" s="501">
        <f>SUM(AC9:AC10)</f>
        <v/>
      </c>
      <c r="AD8" s="501">
        <f>SUM(AD9:AD10)</f>
        <v/>
      </c>
      <c r="AE8" s="381">
        <f>(AC8-AD8)/AD8</f>
        <v/>
      </c>
      <c r="AF8" s="507">
        <f>Z8/AC8</f>
        <v/>
      </c>
      <c r="AG8" s="507">
        <f>AA8/AD8</f>
        <v/>
      </c>
      <c r="AH8" s="381">
        <f>(AF8-AG8)/AG8</f>
        <v/>
      </c>
    </row>
    <row outlineLevel="1" r="9" s="452" spans="1:34">
      <c r="A9" s="373" t="s">
        <v>38</v>
      </c>
      <c r="B9" s="502">
        <f>SUMIFS('Social - Promos'!$E:$E,'Social - Promos'!$B:$B,'By Week'!$A$2)</f>
        <v/>
      </c>
      <c r="C9" s="502">
        <f>SUMIFS('Social - Promos'!$F:$F,'Social - Promos'!$B:$B,'By Week'!$A$2)</f>
        <v/>
      </c>
      <c r="D9" s="369">
        <f>(B9-C9)/C9</f>
        <v/>
      </c>
      <c r="E9" s="502">
        <f>SUMIFS('Social - Promos'!$K:$K,'Social - Promos'!$B:$B,'By Week'!$A$2)</f>
        <v/>
      </c>
      <c r="F9" s="502">
        <f>SUMIFS('Social - Promos'!$L:$L,'Social - Promos'!$B:$B,'By Week'!$A$2)</f>
        <v/>
      </c>
      <c r="G9" s="375">
        <f>(E9-F9)/F9</f>
        <v/>
      </c>
      <c r="H9" s="484">
        <f>B9/E9</f>
        <v/>
      </c>
      <c r="I9" s="484">
        <f>C9/F9</f>
        <v/>
      </c>
      <c r="J9" s="375">
        <f>(H9-I9)/I9</f>
        <v/>
      </c>
      <c r="K9" s="506">
        <f>SUMIFS('Social - Promos'!$T:$T,'Social - Promos'!$B:$B,'By Week'!$A$2)</f>
        <v/>
      </c>
      <c r="L9" s="506">
        <f>SUMIFS('Social - Promos'!$U:$U,'Social - Promos'!$B:$B,'By Week'!$A$2)</f>
        <v/>
      </c>
      <c r="M9" s="375">
        <f>(K9-L9)/L9</f>
        <v/>
      </c>
      <c r="N9" s="377">
        <f>SUMIFS('Social - Promos'!$W:$W,'Social - Promos'!$B:$B,'By Week'!$A$2)</f>
        <v/>
      </c>
      <c r="O9" s="377">
        <f>SUMIFS('Social - Promos'!$X:$X,'Social - Promos'!$B:$B,'By Week'!$A$2)</f>
        <v/>
      </c>
      <c r="P9" s="378">
        <f>(N9-O9)/O9</f>
        <v/>
      </c>
      <c r="Q9" s="505">
        <f>N9/K9</f>
        <v/>
      </c>
      <c r="R9" s="505">
        <f>O9/L9</f>
        <v/>
      </c>
      <c r="S9" s="378">
        <f>(Q9-R9)/R9</f>
        <v/>
      </c>
      <c r="T9" s="502">
        <f>E9/N9</f>
        <v/>
      </c>
      <c r="U9" s="502">
        <f>F9/O9</f>
        <v/>
      </c>
      <c r="V9" s="375">
        <f>(T9-U9)/U9</f>
        <v/>
      </c>
      <c r="W9" s="502">
        <f>B9/N9</f>
        <v/>
      </c>
      <c r="X9" s="502">
        <f>C9/O9</f>
        <v/>
      </c>
      <c r="Y9" s="378">
        <f>(W9-X9)/X9</f>
        <v/>
      </c>
      <c r="Z9" s="506">
        <f>SUMIFS('Social - Promos'!$AF:$AF,'Social - Promos'!$B:$B,'By Week'!$A$2)</f>
        <v/>
      </c>
      <c r="AA9" s="377">
        <f>SUMIFS('Social - Promos'!$AG:$AG,'Social - Promos'!$B:$B,'By Week'!$A$2)</f>
        <v/>
      </c>
      <c r="AB9" s="378">
        <f>(Z9-AA9)/AA9</f>
        <v/>
      </c>
      <c r="AC9" s="506">
        <f>SUMIFS('Social - Promos'!$AI:$AI,'Social - Promos'!$B:$B,'By Week'!$A$2)</f>
        <v/>
      </c>
      <c r="AD9" s="506">
        <f>SUMIFS('Social - Promos'!$AJ:$AJ,'Social - Promos'!$B:$B,'By Week'!$A$2)</f>
        <v/>
      </c>
      <c r="AE9" s="378">
        <f>(AC9-AD9)/AD9</f>
        <v/>
      </c>
      <c r="AF9" s="505">
        <f>Z9/AC9</f>
        <v/>
      </c>
      <c r="AG9" s="505">
        <f>AA9/AD9</f>
        <v/>
      </c>
      <c r="AH9" s="378">
        <f>(AF9-AG9)/AG9</f>
        <v/>
      </c>
    </row>
    <row outlineLevel="1" r="10" s="452" spans="1:34">
      <c r="A10" s="373" t="s">
        <v>39</v>
      </c>
      <c r="B10" s="502">
        <f>SUMIFS('Social - Remarketing'!$D:$D,'Social - Remarketing'!$B:$B,'By Week'!$A$2)</f>
        <v/>
      </c>
      <c r="C10" s="502">
        <f>SUMIFS('Social - Remarketing'!$E:$E,'Social - Remarketing'!$B:$B,'By Week'!$A$2)</f>
        <v/>
      </c>
      <c r="D10" s="369">
        <f>(B10-C10)/C10</f>
        <v/>
      </c>
      <c r="E10" s="502">
        <f>SUMIFS('Social - Remarketing'!$H:$H,'Social - Remarketing'!$B:$B,'By Week'!$A$2)</f>
        <v/>
      </c>
      <c r="F10" s="502">
        <f>SUMIFS('Social - Remarketing'!$I:$I,'Social - Remarketing'!$B:$B,'By Week'!$A$2)</f>
        <v/>
      </c>
      <c r="G10" s="369">
        <f>(E10-F10)/F10</f>
        <v/>
      </c>
      <c r="H10" s="484">
        <f>B10/E10</f>
        <v/>
      </c>
      <c r="I10" s="484">
        <f>C10/F10</f>
        <v/>
      </c>
      <c r="J10" s="369">
        <f>(H10-I10)/I10</f>
        <v/>
      </c>
      <c r="K10" s="506">
        <f>SUMIFS('Social - Remarketing'!$X:$X,'Social - Remarketing'!$B:$B,'By Week'!$A$2)</f>
        <v/>
      </c>
      <c r="L10" s="506">
        <f>SUMIFS('Social - Remarketing'!$Y:$Y,'Social - Remarketing'!$B:$B,'By Week'!$A$2)</f>
        <v/>
      </c>
      <c r="M10" s="375">
        <f>(K10-L10)/L10</f>
        <v/>
      </c>
      <c r="N10" s="377">
        <f>SUMIFS('Social - Remarketing'!$AB:$AB,'Social - Remarketing'!$B:$B,'By Week'!$A$2)</f>
        <v/>
      </c>
      <c r="O10" s="377">
        <f>SUMIFS('Social - Remarketing'!$AC:$AC,'Social - Remarketing'!$B:$B,'By Week'!$A$2)</f>
        <v/>
      </c>
      <c r="P10" s="378">
        <f>(N10-O10)/O10</f>
        <v/>
      </c>
      <c r="Q10" s="505">
        <f>N10/K10</f>
        <v/>
      </c>
      <c r="R10" s="505">
        <f>O10/L10</f>
        <v/>
      </c>
      <c r="S10" s="378">
        <f>(Q10-R10)/R10</f>
        <v/>
      </c>
      <c r="T10" s="502">
        <f>E10/N10</f>
        <v/>
      </c>
      <c r="U10" s="502">
        <f>F10/O10</f>
        <v/>
      </c>
      <c r="V10" s="375">
        <f>(T10-U10)/U10</f>
        <v/>
      </c>
      <c r="W10" s="502">
        <f>B10/N10</f>
        <v/>
      </c>
      <c r="X10" s="502">
        <f>C10/O10</f>
        <v/>
      </c>
      <c r="Y10" s="378">
        <f>(W10-X10)/X10</f>
        <v/>
      </c>
      <c r="Z10" s="506">
        <f>SUMIFS('Social - Remarketing'!$AN:$AN,'Social - Remarketing'!$B:$B,'By Week'!$A$2)</f>
        <v/>
      </c>
      <c r="AA10" s="377">
        <f>SUMIFS('Social - Remarketing'!$AO:$AO,'Social - Remarketing'!$B:$B,'By Week'!$A$2)</f>
        <v/>
      </c>
      <c r="AB10" s="378">
        <f>(Z10-AA10)/AA10</f>
        <v/>
      </c>
      <c r="AC10" s="506">
        <f>SUMIFS('Social - Remarketing'!$AR:$AR,'Social - Remarketing'!$B:$B,'By Week'!$A$2)</f>
        <v/>
      </c>
      <c r="AD10" s="377">
        <f>SUMIFS('Social - Remarketing'!$AS:$AS,'Social - Remarketing'!$B:$B,'By Week'!$A$2)</f>
        <v/>
      </c>
      <c r="AE10" s="378">
        <f>(AC10-AD10)/AD10</f>
        <v/>
      </c>
      <c r="AF10" s="505">
        <f>Z10/AC10</f>
        <v/>
      </c>
      <c r="AG10" s="505">
        <f>AA10/AD10</f>
        <v/>
      </c>
      <c r="AH10" s="378">
        <f>(AF10-AG10)/AG10</f>
        <v/>
      </c>
    </row>
    <row customFormat="1" customHeight="1" ht="21" r="11" s="367" spans="1:34">
      <c r="A11" s="367" t="s">
        <v>29</v>
      </c>
      <c r="B11" s="497">
        <f>SUM(B12:B13)</f>
        <v/>
      </c>
      <c r="C11" s="497">
        <f>SUM(C12:C13)</f>
        <v/>
      </c>
      <c r="D11" s="369">
        <f>(B11-C11)/C11</f>
        <v/>
      </c>
      <c r="E11" s="497">
        <f>SUM(E12:E13)</f>
        <v/>
      </c>
      <c r="F11" s="497">
        <f>SUM(F12:F13)</f>
        <v/>
      </c>
      <c r="G11" s="369">
        <f>(E11-F11)/F11</f>
        <v/>
      </c>
      <c r="H11" s="498">
        <f>B11/E11</f>
        <v/>
      </c>
      <c r="I11" s="498">
        <f>C11/F11</f>
        <v/>
      </c>
      <c r="J11" s="369">
        <f>(H11-I11)/I11</f>
        <v/>
      </c>
      <c r="K11" s="501">
        <f>SUM(K12:K13)</f>
        <v/>
      </c>
      <c r="L11" s="501">
        <f>SUM(L12:L13)</f>
        <v/>
      </c>
      <c r="M11" s="369">
        <f>(K11-L11)/L11</f>
        <v/>
      </c>
      <c r="N11" s="371">
        <f>SUM(N12:N13)</f>
        <v/>
      </c>
      <c r="O11" s="371">
        <f>SUM(O12:O13)</f>
        <v/>
      </c>
      <c r="P11" s="381">
        <f>(N11-O11)/O11</f>
        <v/>
      </c>
      <c r="Q11" s="507">
        <f>N11/K11</f>
        <v/>
      </c>
      <c r="R11" s="507">
        <f>O11/L11</f>
        <v/>
      </c>
      <c r="S11" s="381">
        <f>(Q11-R11)/R11</f>
        <v/>
      </c>
      <c r="T11" s="508">
        <f>E11/N11</f>
        <v/>
      </c>
      <c r="U11" s="508">
        <f>F11/O11</f>
        <v/>
      </c>
      <c r="V11" s="369">
        <f>(T11-U11)/U11</f>
        <v/>
      </c>
      <c r="W11" s="508">
        <f>B11/N11</f>
        <v/>
      </c>
      <c r="X11" s="508">
        <f>C11/O11</f>
        <v/>
      </c>
      <c r="Y11" s="381">
        <f>(W11-X11)/X11</f>
        <v/>
      </c>
      <c r="Z11" s="501">
        <f>SUM(Z12:Z13)</f>
        <v/>
      </c>
      <c r="AA11" s="371">
        <f>SUM(AA12:AA13)</f>
        <v/>
      </c>
      <c r="AB11" s="381">
        <f>(Z11-AA11)/AA11</f>
        <v/>
      </c>
      <c r="AC11" s="501">
        <f>SUM(AC12:AC13)</f>
        <v/>
      </c>
      <c r="AD11" s="371">
        <f>SUM(AD12:AD13)</f>
        <v/>
      </c>
      <c r="AE11" s="381">
        <f>(AC11-AD11)/AD11</f>
        <v/>
      </c>
      <c r="AF11" s="507">
        <f>Z11/AC11</f>
        <v/>
      </c>
      <c r="AG11" s="507">
        <f>AA11/AD11</f>
        <v/>
      </c>
      <c r="AH11" s="381">
        <f>(AF11-AG11)/AG11</f>
        <v/>
      </c>
    </row>
    <row outlineLevel="1" r="12" s="452" spans="1:34">
      <c r="A12" s="373" t="s">
        <v>38</v>
      </c>
      <c r="B12" s="502">
        <f>SUMIFS('Display - Promos'!$E:$E,'Display - Promos'!$B:$B,$A$2)</f>
        <v/>
      </c>
      <c r="C12" s="502">
        <f>SUMIFS('Display - Promos'!$F:$F,'Display - Promos'!$B:$B,$A$2)</f>
        <v/>
      </c>
      <c r="D12" s="375">
        <f>(B12-C12)/C12</f>
        <v/>
      </c>
      <c r="E12" s="502">
        <f>SUMIFS('Display - Promos'!$H:$H,'Display - Promos'!$B:$B,$A$2)</f>
        <v/>
      </c>
      <c r="F12" s="502">
        <f>SUMIFS('Display - Promos'!$I:$I,'Display - Promos'!$B:$B,$A$2)</f>
        <v/>
      </c>
      <c r="G12" s="375">
        <f>(E12-F12)/F12</f>
        <v/>
      </c>
      <c r="H12" s="484">
        <f>B12/E12</f>
        <v/>
      </c>
      <c r="I12" s="484">
        <f>C12/F12</f>
        <v/>
      </c>
      <c r="J12" s="369">
        <f>(H12-I12)/I12</f>
        <v/>
      </c>
      <c r="K12" s="506">
        <f>SUMIFS('Display - Promos'!$N:$N,'Display - Promos'!$B:$B,$A$2)</f>
        <v/>
      </c>
      <c r="L12" s="506">
        <f>SUMIFS('Display - Promos'!$O:$O,'Display - Promos'!$B:$B,$A$2)</f>
        <v/>
      </c>
      <c r="M12" s="375">
        <f>(K12-L12)/L12</f>
        <v/>
      </c>
      <c r="N12" s="377">
        <f>SUMIFS('Display - Promos'!$Q:$Q,'Display - Promos'!$B:$B,$A$2)</f>
        <v/>
      </c>
      <c r="O12" s="377">
        <f>SUMIFS('Display - Promos'!$R:$R,'Display - Promos'!$B:$B,$A$2)</f>
        <v/>
      </c>
      <c r="P12" s="378">
        <f>(N12-O12)/O12</f>
        <v/>
      </c>
      <c r="Q12" s="505">
        <f>N12/K12</f>
        <v/>
      </c>
      <c r="R12" s="505">
        <f>O12/L12</f>
        <v/>
      </c>
      <c r="S12" s="378">
        <f>(Q12-R12)/R12</f>
        <v/>
      </c>
      <c r="T12" s="502">
        <f>E12/N12</f>
        <v/>
      </c>
      <c r="U12" s="502">
        <f>F12/O12</f>
        <v/>
      </c>
      <c r="V12" s="375">
        <f>(T12-U12)/U12</f>
        <v/>
      </c>
      <c r="W12" s="502">
        <f>B12/N12</f>
        <v/>
      </c>
      <c r="X12" s="502">
        <f>C12/O12</f>
        <v/>
      </c>
      <c r="Y12" s="378">
        <f>(W12-X12)/X12</f>
        <v/>
      </c>
      <c r="Z12" s="506">
        <f>SUMIFS('Display - Promos'!$W:$W,'Display - Promos'!$B:$B,$A$2)</f>
        <v/>
      </c>
      <c r="AA12" s="377">
        <f>SUMIFS('Display - Promos'!$X:$X,'Display - Promos'!$B:$B,$A$2)</f>
        <v/>
      </c>
      <c r="AB12" s="378">
        <f>(Z12-AA12)/AA12</f>
        <v/>
      </c>
      <c r="AC12" s="506">
        <f>SUMIFS('Display - Promos'!$Z:$Z,'Display - Promos'!$B:$B,$A$2)</f>
        <v/>
      </c>
      <c r="AD12" s="418">
        <f>SUMIFS('Display - Promos'!$AA:$AA,'Display - Promos'!$B:$B,$A$2)</f>
        <v/>
      </c>
      <c r="AE12" s="378">
        <f>(AC12-AD12)/AD12</f>
        <v/>
      </c>
      <c r="AF12" s="505">
        <f>Z12/AC12</f>
        <v/>
      </c>
      <c r="AG12" s="505">
        <f>AA12/AD12</f>
        <v/>
      </c>
      <c r="AH12" s="378">
        <f>(AF12-AG12)/AG12</f>
        <v/>
      </c>
    </row>
    <row customHeight="1" ht="19.5" outlineLevel="1" r="13" s="452" spans="1:34" thickBot="1">
      <c r="A13" s="373" t="s">
        <v>39</v>
      </c>
      <c r="B13" s="502">
        <f>SUMIFS('Display - Remarketing'!$E:$E,'Display - Remarketing'!$B:$B,'By Week'!$A$2)</f>
        <v/>
      </c>
      <c r="C13" s="502">
        <f>SUMIFS('Display - Remarketing'!$D:$D,'Display - Remarketing'!$B:$B,'By Week'!$A$2)</f>
        <v/>
      </c>
      <c r="D13" s="369">
        <f>(B13-C13)/C13</f>
        <v/>
      </c>
      <c r="E13" s="502">
        <f>SUMIFS('Display - Remarketing'!$H:$H,'Display - Remarketing'!$B:$B,'By Week'!$A$2)</f>
        <v/>
      </c>
      <c r="F13" s="502">
        <f>SUMIFS('Display - Remarketing'!$I:$I,'Display - Remarketing'!$B:$B,'By Week'!$A$2)</f>
        <v/>
      </c>
      <c r="G13" s="369">
        <f>(E13-F13)/F13</f>
        <v/>
      </c>
      <c r="H13" s="484">
        <f>B13/E13</f>
        <v/>
      </c>
      <c r="I13" s="484">
        <f>C13/F13</f>
        <v/>
      </c>
      <c r="J13" s="369">
        <f>(H13-I13)/I13</f>
        <v/>
      </c>
      <c r="K13" s="377">
        <f>SUMIFS('Display - Remarketing'!$P:$P,'Display - Remarketing'!$B:$B,'By Week'!$A$2)</f>
        <v/>
      </c>
      <c r="L13" s="377">
        <f>SUMIFS('Display - Remarketing'!$Q:$Q,'Display - Remarketing'!$B:$B,'By Week'!$A$2)</f>
        <v/>
      </c>
      <c r="M13" s="375">
        <f>(K13-L13)/L13</f>
        <v/>
      </c>
      <c r="N13" s="377">
        <f>SUMIFS('Display - Remarketing'!$T:$T,'Display - Remarketing'!$B:$B,'By Week'!$A$2)</f>
        <v/>
      </c>
      <c r="O13" s="377">
        <f>SUMIFS('Display - Remarketing'!$U:$U,'Display - Remarketing'!$B:$B,'By Week'!$A$2)</f>
        <v/>
      </c>
      <c r="P13" s="378">
        <f>(N13-O13)/O13</f>
        <v/>
      </c>
      <c r="Q13" s="505">
        <f>N13/K13</f>
        <v/>
      </c>
      <c r="R13" s="505">
        <f>O13/L13</f>
        <v/>
      </c>
      <c r="S13" s="378">
        <f>(Q13-R13)/R13</f>
        <v/>
      </c>
      <c r="T13" s="502">
        <f>E13/N13</f>
        <v/>
      </c>
      <c r="U13" s="502">
        <f>F13/O13</f>
        <v/>
      </c>
      <c r="V13" s="375">
        <f>(T13-U13)/U13</f>
        <v/>
      </c>
      <c r="W13" s="502">
        <f>B13/N13</f>
        <v/>
      </c>
      <c r="X13" s="502">
        <f>C13/O13</f>
        <v/>
      </c>
      <c r="Y13" s="378">
        <f>(W13-X13)/X13</f>
        <v/>
      </c>
      <c r="Z13" s="506">
        <f>SUMIFS('Display - Remarketing'!$AB:$AB,'Display - Remarketing'!$B:$B,'By Week'!$A$2)</f>
        <v/>
      </c>
      <c r="AA13" s="377">
        <f>SUMIFS('Display - Remarketing'!$AC:$AC,'Display - Remarketing'!$B:$B,'By Week'!$A$2)</f>
        <v/>
      </c>
      <c r="AB13" s="378">
        <f>(Z13-AA13)/AA13</f>
        <v/>
      </c>
      <c r="AC13" s="506">
        <f>SUMIFS('Display - Remarketing'!$AF:$AF,'Display - Remarketing'!$B:$B,'By Week'!$A$2)</f>
        <v/>
      </c>
      <c r="AD13" s="377">
        <f>SUMIFS('Display - Remarketing'!$AG:$AG,'Display - Remarketing'!$B:$B,'By Week'!$A$2)</f>
        <v/>
      </c>
      <c r="AE13" s="378">
        <f>(AC13-AD13)/AD13</f>
        <v/>
      </c>
      <c r="AF13" s="505">
        <f>Z13/AC13</f>
        <v/>
      </c>
      <c r="AG13" s="505">
        <f>AA13/AD13</f>
        <v/>
      </c>
      <c r="AH13" s="378">
        <f>(AF13-AG13)/AG13</f>
        <v/>
      </c>
    </row>
    <row customFormat="1" customHeight="1" ht="22.5" r="14" s="395" spans="1:34" thickBot="1" thickTop="1">
      <c r="A14" s="387" t="s">
        <v>40</v>
      </c>
      <c r="B14" s="511">
        <f>B3+B7+B8+B11</f>
        <v/>
      </c>
      <c r="C14" s="511">
        <f>C3+C7+C8+C11</f>
        <v/>
      </c>
      <c r="D14" s="389">
        <f>(B14-C14)/C14</f>
        <v/>
      </c>
      <c r="E14" s="511">
        <f>E3+E7+E8+E11</f>
        <v/>
      </c>
      <c r="F14" s="511">
        <f>F3+F7+F8+F11</f>
        <v/>
      </c>
      <c r="G14" s="390">
        <f>(E14-F14)/F14</f>
        <v/>
      </c>
      <c r="H14" s="512">
        <f>B14/E14</f>
        <v/>
      </c>
      <c r="I14" s="512">
        <f>C14/F14</f>
        <v/>
      </c>
      <c r="J14" s="390">
        <f>(H14-I14)/I14</f>
        <v/>
      </c>
      <c r="K14" s="513">
        <f>K3+K7+K8+K11</f>
        <v/>
      </c>
      <c r="L14" s="513">
        <f>L3+L7+L8+L11</f>
        <v/>
      </c>
      <c r="M14" s="390">
        <f>(K14-L14)/L14</f>
        <v/>
      </c>
      <c r="N14" s="513">
        <f>N3+N7+N8+N11</f>
        <v/>
      </c>
      <c r="O14" s="513">
        <f>O3+O7+O8+O11</f>
        <v/>
      </c>
      <c r="P14" s="389">
        <f>(N14-O14)/O14</f>
        <v/>
      </c>
      <c r="Q14" s="514">
        <f>N14/K14</f>
        <v/>
      </c>
      <c r="R14" s="514">
        <f>O14/L14</f>
        <v/>
      </c>
      <c r="S14" s="389">
        <f>(Q14-R14)/R14</f>
        <v/>
      </c>
      <c r="T14" s="511">
        <f>E14/N14</f>
        <v/>
      </c>
      <c r="U14" s="511">
        <f>F14/O14</f>
        <v/>
      </c>
      <c r="V14" s="390">
        <f>(T14-U14)/U14</f>
        <v/>
      </c>
      <c r="W14" s="511">
        <f>B14/N14</f>
        <v/>
      </c>
      <c r="X14" s="511">
        <f>C14/O14</f>
        <v/>
      </c>
      <c r="Y14" s="389">
        <f>(W14-X14)/X14</f>
        <v/>
      </c>
      <c r="Z14" s="515">
        <f>Z3+Z7+Z8+Z11</f>
        <v/>
      </c>
      <c r="AA14" s="516">
        <f>AA3+AA7+AA8+AA11</f>
        <v/>
      </c>
      <c r="AB14" s="389">
        <f>(Z14-AA14)/AA14</f>
        <v/>
      </c>
      <c r="AC14" s="515">
        <f>AC3+AC7+AC8+AC11</f>
        <v/>
      </c>
      <c r="AD14" s="513">
        <f>AD3+AD7+AD8+AD11</f>
        <v/>
      </c>
      <c r="AE14" s="389">
        <f>(AC14-AD14)/AD14</f>
        <v/>
      </c>
      <c r="AF14" s="514">
        <f>Z14/AC14</f>
        <v/>
      </c>
      <c r="AG14" s="514">
        <f>AA14/AD14</f>
        <v/>
      </c>
      <c r="AH14" s="389">
        <f>(AF14-AG14)/AG14</f>
        <v/>
      </c>
    </row>
    <row r="20" spans="1:34">
      <c r="D20" s="421" t="n"/>
    </row>
  </sheetData>
  <autoFilter ref="A2:AF14"/>
  <mergeCells count="1">
    <mergeCell ref="A1:AH1"/>
  </mergeCells>
  <conditionalFormatting sqref="M3:M14 P3:P14 S3:S14 Y3:Y14 AB3:AB14 AE3:AE14 AH3:AH14 D3:D14 G10:G13 J3:J14">
    <cfRule dxfId="663" operator="lessThan" priority="7" type="cellIs">
      <formula>0</formula>
    </cfRule>
    <cfRule dxfId="662" operator="greaterThanOrEqual" priority="8" type="cellIs">
      <formula>0</formula>
    </cfRule>
  </conditionalFormatting>
  <conditionalFormatting sqref="G3:G9 G14 V3:V14">
    <cfRule dxfId="662" operator="lessThanOrEqual" priority="5" type="cellIs">
      <formula>0</formula>
    </cfRule>
    <cfRule dxfId="663" operator="greaterThanOrEqual" priority="6" type="cellIs">
      <formula>0</formula>
    </cfRule>
  </conditionalFormatting>
  <pageMargins bottom="1" footer="0.5" header="0.5" left="0.75" right="0.75" top="1"/>
  <pageSetup horizontalDpi="4294967292" orientation="portrait" verticalDpi="4294967292"/>
</worksheet>
</file>

<file path=xl/worksheets/sheet4.xml><?xml version="1.0" encoding="utf-8"?>
<worksheet xmlns="http://schemas.openxmlformats.org/spreadsheetml/2006/main">
  <sheetPr>
    <tabColor theme="7"/>
    <outlinePr summaryBelow="1" summaryRight="1"/>
    <pageSetUpPr/>
  </sheetPr>
  <dimension ref="A1:F16"/>
  <sheetViews>
    <sheetView workbookViewId="0">
      <selection activeCell="B21" sqref="B21"/>
    </sheetView>
  </sheetViews>
  <sheetFormatPr baseColWidth="8" defaultColWidth="11" defaultRowHeight="18.75" outlineLevelCol="0"/>
  <cols>
    <col customWidth="1" max="1" min="1" style="126" width="14"/>
    <col bestFit="1" customWidth="1" max="2" min="2" style="518" width="15.5"/>
    <col bestFit="1" customWidth="1" max="3" min="3" style="518" width="13.5"/>
    <col bestFit="1" customWidth="1" max="4" min="4" style="519" width="16.625"/>
    <col bestFit="1" customWidth="1" max="5" min="5" style="520" width="14.125"/>
    <col bestFit="1" customWidth="1" max="6" min="6" style="520" width="10.875"/>
  </cols>
  <sheetData>
    <row customHeight="1" ht="23.25" r="1" s="452" spans="1:6">
      <c r="A1" s="457" t="s">
        <v>54</v>
      </c>
    </row>
    <row r="2" spans="1:6">
      <c r="A2" s="122" t="s">
        <v>55</v>
      </c>
      <c r="B2" s="122" t="s">
        <v>56</v>
      </c>
      <c r="C2" s="123" t="s">
        <v>57</v>
      </c>
      <c r="D2" s="122" t="s">
        <v>58</v>
      </c>
      <c r="E2" s="122" t="s">
        <v>59</v>
      </c>
      <c r="F2" s="124" t="n"/>
    </row>
    <row r="3" spans="1:6">
      <c r="A3" s="125" t="n">
        <v>1</v>
      </c>
      <c r="B3" s="521" t="n">
        <v>35000</v>
      </c>
      <c r="C3" s="522" t="n">
        <v>28865</v>
      </c>
      <c r="D3" s="521">
        <f>B3-C3</f>
        <v/>
      </c>
      <c r="E3" s="129">
        <f>(B3-C3)/B3</f>
        <v/>
      </c>
      <c r="F3" s="523" t="n"/>
    </row>
    <row r="4" spans="1:6">
      <c r="A4" s="125" t="n">
        <v>2</v>
      </c>
      <c r="B4" s="518" t="n">
        <v>25000</v>
      </c>
      <c r="C4" s="524" t="n">
        <v>14537</v>
      </c>
      <c r="D4" s="521">
        <f>B4-C4</f>
        <v/>
      </c>
      <c r="E4" s="129">
        <f>(B4-C4)/B4</f>
        <v/>
      </c>
    </row>
    <row r="5" spans="1:6">
      <c r="A5" s="125" t="n">
        <v>3</v>
      </c>
      <c r="B5" s="518" t="n">
        <v>90000</v>
      </c>
      <c r="C5" s="524" t="n">
        <v>82673</v>
      </c>
      <c r="D5" s="521">
        <f>B5-C5</f>
        <v/>
      </c>
      <c r="E5" s="129">
        <f>(B5-C5)/B5</f>
        <v/>
      </c>
    </row>
    <row r="6" spans="1:6">
      <c r="A6" s="125" t="n">
        <v>4</v>
      </c>
      <c r="B6" s="518" t="n">
        <v>40000</v>
      </c>
      <c r="C6" s="524" t="n">
        <v>18712</v>
      </c>
      <c r="D6" s="521">
        <f>B6-C6</f>
        <v/>
      </c>
      <c r="E6" s="129">
        <f>(B6-C6)/B6</f>
        <v/>
      </c>
    </row>
    <row r="7" spans="1:6">
      <c r="A7" s="125" t="n">
        <v>5</v>
      </c>
      <c r="B7" s="518" t="n">
        <v>35000</v>
      </c>
      <c r="C7" s="524" t="n">
        <v>22681</v>
      </c>
      <c r="D7" s="521">
        <f>B7-C7</f>
        <v/>
      </c>
      <c r="E7" s="129">
        <f>(B7-C7)/B7</f>
        <v/>
      </c>
    </row>
    <row r="8" spans="1:6">
      <c r="A8" s="125" t="n">
        <v>6</v>
      </c>
      <c r="B8" s="518" t="n">
        <v>28000</v>
      </c>
      <c r="C8" s="524" t="n">
        <v>25964</v>
      </c>
      <c r="D8" s="521">
        <f>B8-C8</f>
        <v/>
      </c>
      <c r="E8" s="129">
        <f>(B8-C8)/B8</f>
        <v/>
      </c>
    </row>
    <row r="9" spans="1:6">
      <c r="A9" s="125" t="n">
        <v>7</v>
      </c>
      <c r="B9" s="518" t="n">
        <v>31000</v>
      </c>
      <c r="C9" s="524" t="n">
        <v>17529</v>
      </c>
      <c r="D9" s="521">
        <f>B9-C9</f>
        <v/>
      </c>
      <c r="E9" s="129">
        <f>(B9-C9)/B9</f>
        <v/>
      </c>
    </row>
    <row r="10" spans="1:6">
      <c r="A10" s="125" t="n">
        <v>8</v>
      </c>
      <c r="B10" s="518" t="n">
        <v>31800</v>
      </c>
      <c r="C10" s="524" t="n">
        <v>28056</v>
      </c>
      <c r="D10" s="521">
        <f>B10-C10</f>
        <v/>
      </c>
      <c r="E10" s="129">
        <f>(B10-C10)/B10</f>
        <v/>
      </c>
    </row>
    <row r="11" spans="1:6">
      <c r="A11" s="125" t="n">
        <v>9</v>
      </c>
      <c r="B11" s="518" t="n">
        <v>21400</v>
      </c>
      <c r="C11" s="524" t="n">
        <v>13113</v>
      </c>
      <c r="D11" s="521">
        <f>B11-C11</f>
        <v/>
      </c>
      <c r="E11" s="129">
        <f>(B11-C11)/B11</f>
        <v/>
      </c>
    </row>
    <row r="12" spans="1:6">
      <c r="A12" s="125" t="n">
        <v>10</v>
      </c>
      <c r="C12" s="524" t="n"/>
      <c r="D12" s="521">
        <f>B12-C12</f>
        <v/>
      </c>
      <c r="E12" s="129">
        <f>(B12-C12)/B12</f>
        <v/>
      </c>
    </row>
    <row r="13" spans="1:6">
      <c r="A13" s="122" t="n">
        <v>11</v>
      </c>
      <c r="B13" s="525" t="n"/>
      <c r="C13" s="524" t="n"/>
      <c r="D13" s="521">
        <f>B13-C13</f>
        <v/>
      </c>
      <c r="E13" s="129">
        <f>(B13-C13)/B13</f>
        <v/>
      </c>
      <c r="F13" s="124" t="n"/>
    </row>
    <row r="14" spans="1:6">
      <c r="A14" s="125" t="n">
        <v>12</v>
      </c>
      <c r="B14" s="521" t="n"/>
      <c r="C14" s="522" t="n"/>
      <c r="D14" s="521">
        <f>B14-C14</f>
        <v/>
      </c>
      <c r="E14" s="129">
        <f>(B14-C14)/B14</f>
        <v/>
      </c>
      <c r="F14" s="523" t="n"/>
    </row>
    <row r="15" spans="1:6">
      <c r="A15" s="125" t="n">
        <v>13</v>
      </c>
      <c r="C15" s="524" t="n"/>
      <c r="D15" s="521">
        <f>B15-C15</f>
        <v/>
      </c>
      <c r="E15" s="129">
        <f>(B15-C15)/B15</f>
        <v/>
      </c>
    </row>
    <row r="16" spans="1:6">
      <c r="A16" s="134" t="s">
        <v>60</v>
      </c>
      <c r="B16" s="526" t="n"/>
      <c r="C16" s="527" t="n"/>
      <c r="D16" s="528">
        <f>B16-C16</f>
        <v/>
      </c>
      <c r="E16" s="138">
        <f>D16/B16</f>
        <v/>
      </c>
    </row>
  </sheetData>
  <mergeCells count="1">
    <mergeCell ref="A1:E1"/>
  </mergeCell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AS1052"/>
  <sheetViews>
    <sheetView tabSelected="1" workbookViewId="0">
      <pane activePane="bottomLeft" state="frozen" topLeftCell="A186" ySplit="1"/>
      <selection activeCell="F204" pane="bottomLeft" sqref="F204"/>
    </sheetView>
  </sheetViews>
  <sheetFormatPr baseColWidth="8" customHeight="1" defaultColWidth="13.5" defaultRowHeight="15" outlineLevelCol="1"/>
  <cols>
    <col customWidth="1" max="1" min="1" style="452" width="9.375"/>
    <col customWidth="1" max="2" min="2" style="452" width="9.5"/>
    <col customWidth="1" max="3" min="3" style="452" width="12"/>
    <col customWidth="1" max="4" min="4" style="452" width="18.375"/>
    <col customWidth="1" max="5" min="5" style="452" width="11.875"/>
    <col customWidth="1" max="6" min="6" outlineLevel="1" style="452" width="13"/>
    <col customWidth="1" max="7" min="7" outlineLevel="1" style="452" width="7.625"/>
    <col customWidth="1" max="8" min="8" style="452" width="7.625"/>
    <col customWidth="1" max="9" min="9" style="452" width="12.125"/>
    <col customWidth="1" max="10" min="10" outlineLevel="1" style="452" width="12.125"/>
    <col collapsed="1" customWidth="1" max="11" min="11" outlineLevel="1" style="452" width="6.5"/>
    <col customWidth="1" max="12" min="12" style="452" width="6.5"/>
    <col customWidth="1" max="13" min="13" style="452" width="9.875"/>
    <col customWidth="1" max="14" min="14" outlineLevel="1" style="452" width="9.875"/>
    <col collapsed="1" customWidth="1" max="15" min="15" outlineLevel="1" style="452" width="8.125"/>
    <col customWidth="1" max="16" min="16" style="452" width="8.125"/>
    <col customWidth="1" max="17" min="17" style="452" width="8.625"/>
    <col customWidth="1" max="18" min="18" outlineLevel="1" style="452" width="10"/>
    <col collapsed="1" customWidth="1" max="19" min="19" outlineLevel="1" style="452" width="6.5"/>
    <col bestFit="1" customWidth="1" max="20" min="20" style="452" width="8"/>
    <col customWidth="1" max="21" min="21" style="452" width="9.5"/>
    <col customWidth="1" max="22" min="22" outlineLevel="1" style="452" width="7.375"/>
    <col collapsed="1" customWidth="1" max="23" min="23" outlineLevel="1" style="452" width="6.5"/>
    <col customWidth="1" max="24" min="24" style="452" width="6.5"/>
    <col customWidth="1" max="25" min="25" style="452" width="9.625"/>
    <col customWidth="1" max="26" min="26" outlineLevel="1" style="452" width="9.625"/>
    <col collapsed="1" customWidth="1" max="27" min="27" outlineLevel="1" style="452" width="6.5"/>
    <col customWidth="1" max="28" min="28" style="452" width="8.125"/>
    <col customWidth="1" max="29" min="29" style="529" width="7.875"/>
    <col customWidth="1" max="30" min="30" outlineLevel="1" style="452" width="8.625"/>
    <col collapsed="1" customWidth="1" max="31" min="31" outlineLevel="1" style="452" width="7.375"/>
    <col customWidth="1" max="32" min="32" style="452" width="7.375"/>
    <col bestFit="1" customWidth="1" max="33" min="33" style="452" width="11.125"/>
    <col customWidth="1" max="34" min="34" outlineLevel="1" style="452" width="11.125"/>
    <col collapsed="1" customWidth="1" max="35" min="35" outlineLevel="1" style="452" width="6.5"/>
    <col customWidth="1" max="36" min="36" style="452" width="6.5"/>
    <col bestFit="1" customWidth="1" max="37" min="37" style="452" width="12.125"/>
    <col collapsed="1" customWidth="1" max="38" min="38" outlineLevel="1" style="452" width="13.125"/>
    <col collapsed="1" customWidth="1" max="39" min="39" outlineLevel="1" style="452" width="6.5"/>
    <col bestFit="1" customWidth="1" max="40" min="40" style="452" width="8"/>
    <col customWidth="1" max="42" min="41" style="452" width="10.125"/>
    <col collapsed="1" customWidth="1" max="43" min="43" outlineLevel="1" style="452" width="6.5"/>
    <col customWidth="1" max="44" min="44" style="452" width="6.5"/>
    <col bestFit="1" customWidth="1" max="45" min="45" style="452" width="58.125"/>
  </cols>
  <sheetData>
    <row customHeight="1" ht="15.75" r="1" s="452" spans="1:45">
      <c r="A1" s="298" t="s">
        <v>55</v>
      </c>
      <c r="B1" s="298" t="s">
        <v>61</v>
      </c>
      <c r="C1" s="298" t="s">
        <v>62</v>
      </c>
      <c r="D1" s="298" t="s">
        <v>63</v>
      </c>
      <c r="E1" s="298" t="s">
        <v>1</v>
      </c>
      <c r="F1" s="298" t="s">
        <v>2</v>
      </c>
      <c r="G1" s="299" t="s">
        <v>64</v>
      </c>
      <c r="H1" s="299" t="s">
        <v>3</v>
      </c>
      <c r="I1" s="298" t="s">
        <v>4</v>
      </c>
      <c r="J1" s="298" t="s">
        <v>5</v>
      </c>
      <c r="K1" s="299" t="s">
        <v>64</v>
      </c>
      <c r="L1" s="299" t="s">
        <v>3</v>
      </c>
      <c r="M1" s="298" t="s">
        <v>6</v>
      </c>
      <c r="N1" s="298" t="s">
        <v>7</v>
      </c>
      <c r="O1" s="299" t="s">
        <v>64</v>
      </c>
      <c r="P1" s="299" t="s">
        <v>3</v>
      </c>
      <c r="Q1" s="298" t="s">
        <v>8</v>
      </c>
      <c r="R1" s="298" t="s">
        <v>9</v>
      </c>
      <c r="S1" s="299" t="s">
        <v>64</v>
      </c>
      <c r="T1" s="299" t="s">
        <v>3</v>
      </c>
      <c r="U1" s="298" t="s">
        <v>10</v>
      </c>
      <c r="V1" s="298" t="s">
        <v>11</v>
      </c>
      <c r="W1" s="299" t="s">
        <v>64</v>
      </c>
      <c r="X1" s="299" t="s">
        <v>3</v>
      </c>
      <c r="Y1" s="300" t="s">
        <v>12</v>
      </c>
      <c r="Z1" s="300" t="s">
        <v>13</v>
      </c>
      <c r="AA1" s="299" t="s">
        <v>64</v>
      </c>
      <c r="AB1" s="299" t="s">
        <v>3</v>
      </c>
      <c r="AC1" s="530" t="s">
        <v>16</v>
      </c>
      <c r="AD1" s="302" t="s">
        <v>17</v>
      </c>
      <c r="AE1" s="299" t="s">
        <v>64</v>
      </c>
      <c r="AF1" s="299" t="s">
        <v>3</v>
      </c>
      <c r="AG1" s="298" t="s">
        <v>18</v>
      </c>
      <c r="AH1" s="298" t="s">
        <v>19</v>
      </c>
      <c r="AI1" s="299" t="s">
        <v>64</v>
      </c>
      <c r="AJ1" s="299" t="s">
        <v>3</v>
      </c>
      <c r="AK1" s="303" t="s">
        <v>20</v>
      </c>
      <c r="AL1" s="303" t="s">
        <v>65</v>
      </c>
      <c r="AM1" s="299" t="s">
        <v>64</v>
      </c>
      <c r="AN1" s="299" t="s">
        <v>3</v>
      </c>
      <c r="AO1" s="304" t="s">
        <v>22</v>
      </c>
      <c r="AP1" s="304" t="s">
        <v>23</v>
      </c>
      <c r="AQ1" s="299" t="s">
        <v>64</v>
      </c>
      <c r="AR1" s="299" t="s">
        <v>3</v>
      </c>
      <c r="AS1" s="298" t="s">
        <v>66</v>
      </c>
    </row>
    <row customHeight="1" ht="15.75" r="2" s="452" spans="1:45">
      <c r="A2" s="29" t="s">
        <v>32</v>
      </c>
      <c r="B2" s="29" t="s">
        <v>67</v>
      </c>
      <c r="C2" s="30" t="n">
        <v>42734</v>
      </c>
      <c r="D2" s="31" t="s">
        <v>60</v>
      </c>
      <c r="E2" s="531">
        <f>E3+E4</f>
        <v/>
      </c>
      <c r="F2" s="531">
        <f>F3+F4</f>
        <v/>
      </c>
      <c r="G2" s="33">
        <f>(E2-F194)/F194</f>
        <v/>
      </c>
      <c r="H2" s="33">
        <f>(E2-F2)/F2</f>
        <v/>
      </c>
      <c r="I2" s="531">
        <f>I3+I4</f>
        <v/>
      </c>
      <c r="J2" s="532">
        <f>J3+J4</f>
        <v/>
      </c>
      <c r="K2" s="150">
        <f>(I2-J194)/J194</f>
        <v/>
      </c>
      <c r="L2" s="33">
        <f>(I2-J2)/J2</f>
        <v/>
      </c>
      <c r="M2" s="532">
        <f>E2/I2</f>
        <v/>
      </c>
      <c r="N2" s="532">
        <f>F2/J2</f>
        <v/>
      </c>
      <c r="O2" s="33">
        <f>(M2-N194)/N194</f>
        <v/>
      </c>
      <c r="P2" s="33">
        <f>(M2-N2)/N2</f>
        <v/>
      </c>
      <c r="Q2" s="533">
        <f>Q3+Q4</f>
        <v/>
      </c>
      <c r="R2" s="533">
        <f>R3+R4</f>
        <v/>
      </c>
      <c r="S2" s="33">
        <f>(Q2-R194)/R194</f>
        <v/>
      </c>
      <c r="T2" s="278">
        <f>(Q2-R2)/R2</f>
        <v/>
      </c>
      <c r="U2" s="533">
        <f>U3+U4</f>
        <v/>
      </c>
      <c r="V2" s="533">
        <f>V3+V4</f>
        <v/>
      </c>
      <c r="W2" s="33">
        <f>(U2-V194)/V194</f>
        <v/>
      </c>
      <c r="X2" s="278">
        <f>(U2-V2)/V2</f>
        <v/>
      </c>
      <c r="Y2" s="87">
        <f>U2/Q2</f>
        <v/>
      </c>
      <c r="Z2" s="87">
        <f>V2/R2</f>
        <v/>
      </c>
      <c r="AA2" s="33">
        <f>(Y2-Z194)/Z194</f>
        <v/>
      </c>
      <c r="AB2" s="278">
        <f>(Y2-Z2)/Z2</f>
        <v/>
      </c>
      <c r="AC2" s="534">
        <f>E2/U2</f>
        <v/>
      </c>
      <c r="AD2" s="534">
        <f>F2/V2</f>
        <v/>
      </c>
      <c r="AE2" s="33">
        <f>(AC2-AD194)/AD194</f>
        <v/>
      </c>
      <c r="AF2" s="431">
        <f>(AC2-AD2)/AD2</f>
        <v/>
      </c>
      <c r="AG2" s="533">
        <f>AG3+AG4</f>
        <v/>
      </c>
      <c r="AH2" s="533">
        <f>AH3+AH4</f>
        <v/>
      </c>
      <c r="AI2" s="33">
        <f>(AG2-AH194)/AH194</f>
        <v/>
      </c>
      <c r="AJ2" s="278">
        <f>(AG2-AH2)/AH2</f>
        <v/>
      </c>
      <c r="AK2" s="533">
        <f>AK3+AK4</f>
        <v/>
      </c>
      <c r="AL2" s="533">
        <f>AL3+AL4</f>
        <v/>
      </c>
      <c r="AM2" s="33">
        <f>(AK2-AL194)/AL194</f>
        <v/>
      </c>
      <c r="AN2" s="431">
        <f>(AK2-AL2)/AL2</f>
        <v/>
      </c>
      <c r="AO2" s="278">
        <f>AG2/AK2</f>
        <v/>
      </c>
      <c r="AP2" s="278">
        <f>AH2/AL2</f>
        <v/>
      </c>
      <c r="AQ2" s="33">
        <f>(AO2-AP194)/AP194</f>
        <v/>
      </c>
      <c r="AR2" s="278">
        <f>(AO2-AP2)/AP2</f>
        <v/>
      </c>
    </row>
    <row customHeight="1" ht="15.75" r="3" s="452" spans="1:45">
      <c r="A3" s="260" t="s">
        <v>32</v>
      </c>
      <c r="B3" s="260" t="s">
        <v>67</v>
      </c>
      <c r="C3" s="261" t="n">
        <v>42734</v>
      </c>
      <c r="D3" s="260" t="s">
        <v>35</v>
      </c>
      <c r="E3" s="535" t="n">
        <v>7841</v>
      </c>
      <c r="F3" s="535" t="n">
        <v>2442</v>
      </c>
      <c r="G3" s="33">
        <f>(E3-F195)/F195</f>
        <v/>
      </c>
      <c r="H3" s="33">
        <f>(E3-F3)/F3</f>
        <v/>
      </c>
      <c r="I3" s="535">
        <f>554.6+22.88</f>
        <v/>
      </c>
      <c r="J3" s="536" t="n">
        <v>452.2</v>
      </c>
      <c r="K3" s="150">
        <f>(I3-J195)/J195</f>
        <v/>
      </c>
      <c r="L3" s="282">
        <f>(I3-J3)/J3</f>
        <v/>
      </c>
      <c r="M3" s="536">
        <f>E3/I3</f>
        <v/>
      </c>
      <c r="N3" s="536">
        <f>F3/J3</f>
        <v/>
      </c>
      <c r="O3" s="33">
        <f>(M3-N195)/N195</f>
        <v/>
      </c>
      <c r="P3" s="282">
        <f>(M3-N3)/N3</f>
        <v/>
      </c>
      <c r="Q3" s="537" t="n">
        <v>5387</v>
      </c>
      <c r="R3" s="537" t="n">
        <v>2637</v>
      </c>
      <c r="S3" s="33">
        <f>(Q3-R195)/R195</f>
        <v/>
      </c>
      <c r="T3" s="282">
        <f>(Q3-R3)/R3</f>
        <v/>
      </c>
      <c r="U3" s="537" t="n">
        <v>84</v>
      </c>
      <c r="V3" s="537" t="n">
        <v>27</v>
      </c>
      <c r="W3" s="33">
        <f>(U3-V195)/V195</f>
        <v/>
      </c>
      <c r="X3" s="282">
        <f>(U3-V3)/V3</f>
        <v/>
      </c>
      <c r="Y3" s="113">
        <f>U3/Q3</f>
        <v/>
      </c>
      <c r="Z3" s="538">
        <f>V3/R3</f>
        <v/>
      </c>
      <c r="AA3" s="33">
        <f>(Y3-Z195)/Z195</f>
        <v/>
      </c>
      <c r="AB3" s="282">
        <f>(Y3-Z3)/Z3</f>
        <v/>
      </c>
      <c r="AC3" s="529">
        <f>E3/U3</f>
        <v/>
      </c>
      <c r="AD3" s="529">
        <f>F3/V3</f>
        <v/>
      </c>
      <c r="AE3" s="33">
        <f>(AC3-AD195)/AD195</f>
        <v/>
      </c>
      <c r="AF3" s="282">
        <f>(AC3-AD3)/AD3</f>
        <v/>
      </c>
      <c r="AG3" s="537">
        <f>3733+134</f>
        <v/>
      </c>
      <c r="AH3" s="537" t="n">
        <v>2315</v>
      </c>
      <c r="AI3" s="33">
        <f>(AG3-AH195)/AH195</f>
        <v/>
      </c>
      <c r="AJ3" s="282">
        <f>(AG3-AH3)/AH3</f>
        <v/>
      </c>
      <c r="AK3" s="537">
        <f>9049+364</f>
        <v/>
      </c>
      <c r="AL3" s="537" t="n">
        <v>7436</v>
      </c>
      <c r="AM3" s="33">
        <f>(AK3-AL195)/AL195</f>
        <v/>
      </c>
      <c r="AN3" s="282">
        <f>(AK3-AL3)/AL3</f>
        <v/>
      </c>
      <c r="AO3" s="282">
        <f>AG3/AK3</f>
        <v/>
      </c>
      <c r="AP3" s="282">
        <f>AH3/AL3</f>
        <v/>
      </c>
      <c r="AQ3" s="33">
        <f>(AO3-AP195)/AP195</f>
        <v/>
      </c>
      <c r="AR3" s="282">
        <f>(AO3-AP3)/AP3</f>
        <v/>
      </c>
    </row>
    <row customHeight="1" ht="15.75" r="4" s="452" spans="1:45">
      <c r="A4" s="260" t="s">
        <v>32</v>
      </c>
      <c r="B4" s="260" t="s">
        <v>67</v>
      </c>
      <c r="C4" s="261" t="n">
        <v>42734</v>
      </c>
      <c r="D4" s="260" t="s">
        <v>36</v>
      </c>
      <c r="E4" s="535" t="n">
        <v>758</v>
      </c>
      <c r="F4" s="535" t="n">
        <v>1155</v>
      </c>
      <c r="G4" s="33">
        <f>(E4-F196)/F196</f>
        <v/>
      </c>
      <c r="H4" s="33">
        <f>(E4-F4)/F4</f>
        <v/>
      </c>
      <c r="I4" s="535">
        <f>4644.64+128.25</f>
        <v/>
      </c>
      <c r="J4" s="536" t="n">
        <v>1946.89</v>
      </c>
      <c r="K4" s="150">
        <f>(I4-J196)/J196</f>
        <v/>
      </c>
      <c r="L4" s="282">
        <f>(I4-J4)/J4</f>
        <v/>
      </c>
      <c r="M4" s="536">
        <f>E4/I4</f>
        <v/>
      </c>
      <c r="N4" s="536">
        <f>F4/J4</f>
        <v/>
      </c>
      <c r="O4" s="33">
        <f>(M4-N196)/N196</f>
        <v/>
      </c>
      <c r="P4" s="282">
        <f>(M4-N4)/N4</f>
        <v/>
      </c>
      <c r="Q4" s="537" t="n">
        <v>4625</v>
      </c>
      <c r="R4" s="537" t="n">
        <v>2137</v>
      </c>
      <c r="S4" s="33">
        <f>(Q4-R196)/R196</f>
        <v/>
      </c>
      <c r="T4" s="282">
        <f>(Q4-R4)/R4</f>
        <v/>
      </c>
      <c r="U4" s="537" t="n">
        <v>13</v>
      </c>
      <c r="V4" s="537" t="n">
        <v>13</v>
      </c>
      <c r="W4" s="33">
        <f>(U4-V196)/V196</f>
        <v/>
      </c>
      <c r="X4" s="282">
        <f>(U4-V4)/V4</f>
        <v/>
      </c>
      <c r="Y4" s="113">
        <f>U4/Q4</f>
        <v/>
      </c>
      <c r="Z4" s="538">
        <f>V4/R4</f>
        <v/>
      </c>
      <c r="AA4" s="33">
        <f>(Y4-Z196)/Z196</f>
        <v/>
      </c>
      <c r="AB4" s="282">
        <f>(Y4-Z4)/Z4</f>
        <v/>
      </c>
      <c r="AC4" s="529">
        <f>E4/U4</f>
        <v/>
      </c>
      <c r="AD4" s="529">
        <f>F4/V4</f>
        <v/>
      </c>
      <c r="AE4" s="33">
        <f>(AC4-AD196)/AD196</f>
        <v/>
      </c>
      <c r="AF4" s="282">
        <f>(AC4-AD4)/AD4</f>
        <v/>
      </c>
      <c r="AG4" s="537">
        <f>4072+152</f>
        <v/>
      </c>
      <c r="AH4" s="537" t="n">
        <v>2076</v>
      </c>
      <c r="AI4" s="33">
        <f>(AG4-AH196)/AH196</f>
        <v/>
      </c>
      <c r="AJ4" s="282">
        <f>(AG4-AH4)/AH4</f>
        <v/>
      </c>
      <c r="AK4" s="537">
        <f>52615+2133</f>
        <v/>
      </c>
      <c r="AL4" s="537" t="n">
        <v>28857</v>
      </c>
      <c r="AM4" s="33">
        <f>(AK4-AL196)/AL196</f>
        <v/>
      </c>
      <c r="AN4" s="282">
        <f>(AK4-AL4)/AL4</f>
        <v/>
      </c>
      <c r="AO4" s="282">
        <f>AG4/AK4</f>
        <v/>
      </c>
      <c r="AP4" s="282">
        <f>AH4/AL4</f>
        <v/>
      </c>
      <c r="AQ4" s="33">
        <f>(AO4-AP196)/AP196</f>
        <v/>
      </c>
      <c r="AR4" s="282">
        <f>(AO4-AP4)/AP4</f>
        <v/>
      </c>
    </row>
    <row customHeight="1" ht="15.75" r="5" s="452" spans="1:45">
      <c r="A5" s="260" t="s">
        <v>32</v>
      </c>
      <c r="B5" s="260" t="s">
        <v>67</v>
      </c>
      <c r="C5" s="261" t="n">
        <v>42734</v>
      </c>
      <c r="D5" s="260" t="s">
        <v>37</v>
      </c>
      <c r="E5" s="535" t="n"/>
      <c r="F5" s="535" t="n"/>
      <c r="G5" s="33">
        <f>(E5-F197)/F197</f>
        <v/>
      </c>
      <c r="H5" s="33">
        <f>(E5-F5)/F5</f>
        <v/>
      </c>
      <c r="I5" s="535" t="n"/>
      <c r="J5" s="536" t="n"/>
      <c r="K5" s="150" t="n"/>
      <c r="L5" s="282" t="n"/>
      <c r="M5" s="536" t="n"/>
      <c r="N5" s="536" t="n"/>
      <c r="O5" s="33" t="n"/>
      <c r="P5" s="282" t="n"/>
      <c r="Q5" s="537" t="n"/>
      <c r="R5" s="537" t="n"/>
      <c r="S5" s="33" t="n"/>
      <c r="T5" s="282" t="n"/>
      <c r="U5" s="537" t="n"/>
      <c r="V5" s="537" t="n"/>
      <c r="W5" s="33" t="n"/>
      <c r="X5" s="282" t="n"/>
      <c r="Y5" s="113" t="n"/>
      <c r="Z5" s="538" t="n"/>
      <c r="AA5" s="33" t="n"/>
      <c r="AB5" s="282" t="n"/>
      <c r="AC5" s="529" t="n"/>
      <c r="AD5" s="529" t="n"/>
      <c r="AE5" s="33" t="n"/>
      <c r="AF5" s="282" t="n"/>
      <c r="AG5" s="537" t="n"/>
      <c r="AH5" s="537" t="n"/>
      <c r="AI5" s="33" t="n"/>
      <c r="AJ5" s="282" t="n"/>
      <c r="AK5" s="537" t="n"/>
      <c r="AL5" s="537" t="n"/>
      <c r="AM5" s="33" t="n"/>
      <c r="AN5" s="282" t="n"/>
      <c r="AO5" s="282" t="n"/>
      <c r="AP5" s="282" t="n"/>
      <c r="AQ5" s="33" t="n"/>
      <c r="AR5" s="282" t="n"/>
    </row>
    <row customHeight="1" ht="15.75" r="6" s="452" spans="1:45">
      <c r="A6" s="29" t="s">
        <v>32</v>
      </c>
      <c r="B6" s="29" t="s">
        <v>68</v>
      </c>
      <c r="C6" s="30">
        <f>C2+7</f>
        <v/>
      </c>
      <c r="D6" s="31" t="s">
        <v>60</v>
      </c>
      <c r="E6" s="531">
        <f>E7+E8</f>
        <v/>
      </c>
      <c r="F6" s="531">
        <f>F7+F8</f>
        <v/>
      </c>
      <c r="G6" s="33">
        <f>(E6-E2)/E2</f>
        <v/>
      </c>
      <c r="H6" s="33">
        <f>(E6-F6)/F6</f>
        <v/>
      </c>
      <c r="I6" s="531">
        <f>I7+I8</f>
        <v/>
      </c>
      <c r="J6" s="532">
        <f>J7+J8</f>
        <v/>
      </c>
      <c r="K6" s="33">
        <f>(I6-I2)/I2</f>
        <v/>
      </c>
      <c r="L6" s="33">
        <f>(I6-J6)/J6</f>
        <v/>
      </c>
      <c r="M6" s="532">
        <f>E6/I6</f>
        <v/>
      </c>
      <c r="N6" s="532">
        <f>F6/J6</f>
        <v/>
      </c>
      <c r="O6" s="33">
        <f>(M6-M2)/M2</f>
        <v/>
      </c>
      <c r="P6" s="33">
        <f>(M6-N6)/N6</f>
        <v/>
      </c>
      <c r="Q6" s="533">
        <f>Q7+Q8</f>
        <v/>
      </c>
      <c r="R6" s="533">
        <f>R7+R8</f>
        <v/>
      </c>
      <c r="S6" s="33">
        <f>(Q6-Q2)/Q2</f>
        <v/>
      </c>
      <c r="T6" s="33">
        <f>(Q6-R6)/R6</f>
        <v/>
      </c>
      <c r="U6" s="533">
        <f>U7+U8</f>
        <v/>
      </c>
      <c r="V6" s="533">
        <f>V7+V8</f>
        <v/>
      </c>
      <c r="W6" s="33">
        <f>(U6-U2)/U2</f>
        <v/>
      </c>
      <c r="X6" s="33">
        <f>(U6-V6)/V6</f>
        <v/>
      </c>
      <c r="Y6" s="88">
        <f>U6/Q6</f>
        <v/>
      </c>
      <c r="Z6" s="539">
        <f>V6/R6</f>
        <v/>
      </c>
      <c r="AA6" s="33">
        <f>(Y6-Y2)/Y2</f>
        <v/>
      </c>
      <c r="AB6" s="33">
        <f>(Y6-Z6)/Z6</f>
        <v/>
      </c>
      <c r="AC6" s="540">
        <f>E6/U6</f>
        <v/>
      </c>
      <c r="AD6" s="534">
        <f>F6/V6</f>
        <v/>
      </c>
      <c r="AE6" s="33">
        <f>(AC6-AC2)/AC2</f>
        <v/>
      </c>
      <c r="AF6" s="33">
        <f>(AC6-AD6)/AD6</f>
        <v/>
      </c>
      <c r="AG6" s="533">
        <f>AG7+AG8</f>
        <v/>
      </c>
      <c r="AH6" s="533">
        <f>AH7+AH8</f>
        <v/>
      </c>
      <c r="AI6" s="33">
        <f>(AG6-AG2)/AG2</f>
        <v/>
      </c>
      <c r="AJ6" s="33">
        <f>(AG6-AH6)/AH6</f>
        <v/>
      </c>
      <c r="AK6" s="533">
        <f>AK7+AK8</f>
        <v/>
      </c>
      <c r="AL6" s="533">
        <f>AL7+AL8</f>
        <v/>
      </c>
      <c r="AM6" s="150">
        <f>(AK6-AK2)/AK2</f>
        <v/>
      </c>
      <c r="AN6" s="431">
        <f>(AK6-AL6)/AL6</f>
        <v/>
      </c>
      <c r="AO6" s="33">
        <f>AG6/AK6</f>
        <v/>
      </c>
      <c r="AP6" s="33">
        <f>AH6/AL6</f>
        <v/>
      </c>
      <c r="AQ6" s="33">
        <f>(AO6-AO2)/AO2</f>
        <v/>
      </c>
      <c r="AR6" s="33">
        <f>(AO6-AP6)/AP6</f>
        <v/>
      </c>
    </row>
    <row customHeight="1" ht="15.75" r="7" s="452" spans="1:45">
      <c r="A7" s="260" t="s">
        <v>32</v>
      </c>
      <c r="B7" s="260" t="s">
        <v>68</v>
      </c>
      <c r="C7" s="261">
        <f>C3+7</f>
        <v/>
      </c>
      <c r="D7" s="260" t="s">
        <v>35</v>
      </c>
      <c r="E7" s="535" t="n">
        <v>5762</v>
      </c>
      <c r="F7" s="535" t="n">
        <v>895</v>
      </c>
      <c r="G7" s="33">
        <f>(E7-E3)/E3</f>
        <v/>
      </c>
      <c r="H7" s="33">
        <f>(E7-F7)/F7</f>
        <v/>
      </c>
      <c r="I7" s="535">
        <f>387.69+40.3</f>
        <v/>
      </c>
      <c r="J7" s="536" t="n">
        <v>677.62</v>
      </c>
      <c r="K7" s="33">
        <f>(I7-I3)/I3</f>
        <v/>
      </c>
      <c r="L7" s="33">
        <f>(I7-J7)/J7</f>
        <v/>
      </c>
      <c r="M7" s="536">
        <f>E7/I7</f>
        <v/>
      </c>
      <c r="N7" s="536">
        <f>F7/J7</f>
        <v/>
      </c>
      <c r="O7" s="33">
        <f>(M7-M3)/M3</f>
        <v/>
      </c>
      <c r="P7" s="33">
        <f>(M7-N7)/N7</f>
        <v/>
      </c>
      <c r="Q7" s="537" t="n">
        <v>4934</v>
      </c>
      <c r="R7" s="537" t="n">
        <v>2450</v>
      </c>
      <c r="S7" s="33">
        <f>(Q7-Q3)/Q3</f>
        <v/>
      </c>
      <c r="T7" s="33">
        <f>(Q7-R7)/R7</f>
        <v/>
      </c>
      <c r="U7" s="537" t="n">
        <v>57</v>
      </c>
      <c r="V7" s="537" t="n">
        <v>10</v>
      </c>
      <c r="W7" s="33">
        <f>(U7-U3)/U3</f>
        <v/>
      </c>
      <c r="X7" s="33">
        <f>(U7-V7)/V7</f>
        <v/>
      </c>
      <c r="Y7" s="113">
        <f>U7/Q7</f>
        <v/>
      </c>
      <c r="Z7" s="113">
        <f>V7/R7</f>
        <v/>
      </c>
      <c r="AA7" s="33">
        <f>(Y7-Y3)/Y3</f>
        <v/>
      </c>
      <c r="AB7" s="33">
        <f>(Y7-Z7)/Z7</f>
        <v/>
      </c>
      <c r="AC7" s="529">
        <f>E7/U7</f>
        <v/>
      </c>
      <c r="AD7" s="529">
        <f>F7/V7</f>
        <v/>
      </c>
      <c r="AE7" s="33">
        <f>(AC7-AC3)/AC3</f>
        <v/>
      </c>
      <c r="AF7" s="33">
        <f>(AC7-AD7)/AD7</f>
        <v/>
      </c>
      <c r="AG7" s="537">
        <f>3380+149</f>
        <v/>
      </c>
      <c r="AH7" s="537" t="n">
        <v>2284</v>
      </c>
      <c r="AI7" s="33">
        <f>(AG7-AG3)/AG3</f>
        <v/>
      </c>
      <c r="AJ7" s="33">
        <f>(AG7-AH7)/AH7</f>
        <v/>
      </c>
      <c r="AK7" s="537">
        <f>7309+641</f>
        <v/>
      </c>
      <c r="AL7" s="537" t="n">
        <v>7398</v>
      </c>
      <c r="AM7" s="150">
        <f>(AK7-AK3)/AK3</f>
        <v/>
      </c>
      <c r="AN7" s="431">
        <f>(AK7-AL7)/AL7</f>
        <v/>
      </c>
      <c r="AO7" s="282">
        <f>AG7/AK7</f>
        <v/>
      </c>
      <c r="AP7" s="282">
        <f>AH7/AL7</f>
        <v/>
      </c>
      <c r="AQ7" s="33">
        <f>(AO7-AO3)/AO3</f>
        <v/>
      </c>
      <c r="AR7" s="33">
        <f>(AO7-AP7)/AP7</f>
        <v/>
      </c>
    </row>
    <row customHeight="1" ht="15.75" r="8" s="452" spans="1:45">
      <c r="A8" s="260" t="s">
        <v>32</v>
      </c>
      <c r="B8" s="260" t="s">
        <v>68</v>
      </c>
      <c r="C8" s="261">
        <f>C4+7</f>
        <v/>
      </c>
      <c r="D8" s="260" t="s">
        <v>36</v>
      </c>
      <c r="E8" s="535" t="n">
        <v>534</v>
      </c>
      <c r="F8" s="535" t="n">
        <v>0</v>
      </c>
      <c r="G8" s="33">
        <f>(E8-E4)/E4</f>
        <v/>
      </c>
      <c r="H8" s="33">
        <f>(E8-F8)/F8</f>
        <v/>
      </c>
      <c r="I8" s="535">
        <f>1453.7+136.13</f>
        <v/>
      </c>
      <c r="J8" s="536" t="n">
        <v>493.86</v>
      </c>
      <c r="K8" s="33">
        <f>(I8-I4)/I4</f>
        <v/>
      </c>
      <c r="L8" s="33">
        <f>(I8-J8)/J8</f>
        <v/>
      </c>
      <c r="M8" s="536">
        <f>E8/I8</f>
        <v/>
      </c>
      <c r="N8" s="536">
        <f>F8/J8</f>
        <v/>
      </c>
      <c r="O8" s="33">
        <f>(M8-M4)/M4</f>
        <v/>
      </c>
      <c r="P8" s="33">
        <f>(M8-N8)/N8</f>
        <v/>
      </c>
      <c r="Q8" s="537" t="n">
        <v>2057</v>
      </c>
      <c r="R8" s="537" t="n">
        <v>659</v>
      </c>
      <c r="S8" s="33">
        <f>(Q8-Q4)/Q4</f>
        <v/>
      </c>
      <c r="T8" s="33">
        <f>(Q8-R8)/R8</f>
        <v/>
      </c>
      <c r="U8" s="537" t="n">
        <v>8</v>
      </c>
      <c r="V8" s="537" t="n">
        <v>0</v>
      </c>
      <c r="W8" s="33">
        <f>(U8-U4)/U4</f>
        <v/>
      </c>
      <c r="X8" s="33">
        <f>(U8-V8)/V8</f>
        <v/>
      </c>
      <c r="Y8" s="113">
        <f>U8/Q8</f>
        <v/>
      </c>
      <c r="Z8" s="113">
        <f>V8/R8</f>
        <v/>
      </c>
      <c r="AA8" s="33">
        <f>(Y8-Y4)/Y4</f>
        <v/>
      </c>
      <c r="AB8" s="33">
        <f>(Y8-Z8)/Z8</f>
        <v/>
      </c>
      <c r="AC8" s="529">
        <f>E8/U8</f>
        <v/>
      </c>
      <c r="AD8" s="529">
        <f>F8/V8</f>
        <v/>
      </c>
      <c r="AE8" s="33">
        <f>(AC8-AC4)/AC4</f>
        <v/>
      </c>
      <c r="AF8" s="33">
        <f>(AC8-AD8)/AD8</f>
        <v/>
      </c>
      <c r="AG8" s="537">
        <f>1629+165</f>
        <v/>
      </c>
      <c r="AH8" s="537" t="n">
        <v>556</v>
      </c>
      <c r="AI8" s="33">
        <f>(AG8-AG4)/AG4</f>
        <v/>
      </c>
      <c r="AJ8" s="33">
        <f>(AG8-AH8)/AH8</f>
        <v/>
      </c>
      <c r="AK8" s="537">
        <f>20836+2143</f>
        <v/>
      </c>
      <c r="AL8" s="537" t="n">
        <v>9821</v>
      </c>
      <c r="AM8" s="150">
        <f>(AK8-AK4)/AK4</f>
        <v/>
      </c>
      <c r="AN8" s="431">
        <f>(AK8-AL8)/AL8</f>
        <v/>
      </c>
      <c r="AO8" s="282">
        <f>AG8/AK8</f>
        <v/>
      </c>
      <c r="AP8" s="282">
        <f>AH8/AL8</f>
        <v/>
      </c>
      <c r="AQ8" s="33">
        <f>(AO8-AO4)/AO4</f>
        <v/>
      </c>
      <c r="AR8" s="33">
        <f>(AO8-AP8)/AP8</f>
        <v/>
      </c>
    </row>
    <row customHeight="1" ht="15.75" r="9" s="452" spans="1:45">
      <c r="A9" s="260" t="s">
        <v>32</v>
      </c>
      <c r="B9" s="260" t="s">
        <v>68</v>
      </c>
      <c r="C9" s="261">
        <f>C5+7</f>
        <v/>
      </c>
      <c r="D9" s="260" t="s">
        <v>37</v>
      </c>
      <c r="E9" s="535" t="n"/>
      <c r="F9" s="535" t="n"/>
      <c r="G9" s="33">
        <f>(E9-E5)/E5</f>
        <v/>
      </c>
      <c r="H9" s="33">
        <f>(E9-F9)/F9</f>
        <v/>
      </c>
      <c r="I9" s="535" t="n"/>
      <c r="J9" s="536" t="n"/>
      <c r="K9" s="33">
        <f>(I9-I5)/I5</f>
        <v/>
      </c>
      <c r="L9" s="33">
        <f>(I9-J9)/J9</f>
        <v/>
      </c>
      <c r="M9" s="536" t="n"/>
      <c r="N9" s="536" t="n"/>
      <c r="O9" s="33">
        <f>(M9-M5)/M5</f>
        <v/>
      </c>
      <c r="P9" s="33">
        <f>(M9-N9)/N9</f>
        <v/>
      </c>
      <c r="Q9" s="537" t="n"/>
      <c r="R9" s="537" t="n"/>
      <c r="S9" s="33">
        <f>(Q9-Q5)/Q5</f>
        <v/>
      </c>
      <c r="T9" s="33">
        <f>(Q9-R9)/R9</f>
        <v/>
      </c>
      <c r="U9" s="537" t="n"/>
      <c r="V9" s="537" t="n"/>
      <c r="W9" s="33">
        <f>(U9-U5)/U5</f>
        <v/>
      </c>
      <c r="X9" s="33">
        <f>(U9-V9)/V9</f>
        <v/>
      </c>
      <c r="Y9" s="113" t="n"/>
      <c r="Z9" s="113" t="n"/>
      <c r="AA9" s="33">
        <f>(Y9-Y5)/Y5</f>
        <v/>
      </c>
      <c r="AB9" s="33">
        <f>(Y9-Z9)/Z9</f>
        <v/>
      </c>
      <c r="AC9" s="529" t="n"/>
      <c r="AD9" s="529" t="n"/>
      <c r="AE9" s="33">
        <f>(AC9-AC5)/AC5</f>
        <v/>
      </c>
      <c r="AF9" s="33">
        <f>(AC9-AD9)/AD9</f>
        <v/>
      </c>
      <c r="AG9" s="537" t="n"/>
      <c r="AH9" s="537" t="n"/>
      <c r="AI9" s="33">
        <f>(AG9-AG5)/AG5</f>
        <v/>
      </c>
      <c r="AJ9" s="33">
        <f>(AG9-AH9)/AH9</f>
        <v/>
      </c>
      <c r="AK9" s="537" t="n"/>
      <c r="AL9" s="537" t="n"/>
      <c r="AM9" s="150">
        <f>(AK9-AK5)/AK5</f>
        <v/>
      </c>
      <c r="AN9" s="431">
        <f>(AK9-AL9)/AL9</f>
        <v/>
      </c>
      <c r="AO9" s="282" t="n"/>
      <c r="AP9" s="282" t="n"/>
      <c r="AQ9" s="33">
        <f>(AO9-AO5)/AO5</f>
        <v/>
      </c>
      <c r="AR9" s="33">
        <f>(AO9-AP9)/AP9</f>
        <v/>
      </c>
    </row>
    <row customHeight="1" ht="15.75" r="10" s="452" spans="1:45">
      <c r="A10" s="29" t="s">
        <v>32</v>
      </c>
      <c r="B10" s="29" t="s">
        <v>69</v>
      </c>
      <c r="C10" s="30">
        <f>C6+7</f>
        <v/>
      </c>
      <c r="D10" s="31" t="s">
        <v>60</v>
      </c>
      <c r="E10" s="531">
        <f>E11+E12</f>
        <v/>
      </c>
      <c r="F10" s="531">
        <f>F11+F12</f>
        <v/>
      </c>
      <c r="G10" s="33">
        <f>(E10-E6)/E6</f>
        <v/>
      </c>
      <c r="H10" s="33">
        <f>(E10-F10)/F10</f>
        <v/>
      </c>
      <c r="I10" s="531">
        <f>I11+I12</f>
        <v/>
      </c>
      <c r="J10" s="532">
        <f>J11+J12</f>
        <v/>
      </c>
      <c r="K10" s="33">
        <f>(I10-I6)/I6</f>
        <v/>
      </c>
      <c r="L10" s="33">
        <f>(I10-J10)/J10</f>
        <v/>
      </c>
      <c r="M10" s="532">
        <f>E10/I10</f>
        <v/>
      </c>
      <c r="N10" s="532">
        <f>F10/J10</f>
        <v/>
      </c>
      <c r="O10" s="33">
        <f>(M10-M6)/M6</f>
        <v/>
      </c>
      <c r="P10" s="33">
        <f>(M10-N10)/N10</f>
        <v/>
      </c>
      <c r="Q10" s="533">
        <f>Q11+Q12</f>
        <v/>
      </c>
      <c r="R10" s="533">
        <f>R11+R12</f>
        <v/>
      </c>
      <c r="S10" s="33">
        <f>(Q10-Q6)/Q6</f>
        <v/>
      </c>
      <c r="T10" s="33">
        <f>(Q10-R10)/R10</f>
        <v/>
      </c>
      <c r="U10" s="533">
        <f>U11+U12</f>
        <v/>
      </c>
      <c r="V10" s="533">
        <f>V11+V12</f>
        <v/>
      </c>
      <c r="W10" s="33">
        <f>(U10-U6)/U6</f>
        <v/>
      </c>
      <c r="X10" s="33">
        <f>(U10-V10)/V10</f>
        <v/>
      </c>
      <c r="Y10" s="88">
        <f>U10/Q10</f>
        <v/>
      </c>
      <c r="Z10" s="88">
        <f>V10/R10</f>
        <v/>
      </c>
      <c r="AA10" s="33">
        <f>(Y10-Y6)/Y6</f>
        <v/>
      </c>
      <c r="AB10" s="33">
        <f>(Y10-Z10)/Z10</f>
        <v/>
      </c>
      <c r="AC10" s="540">
        <f>E10/U10</f>
        <v/>
      </c>
      <c r="AD10" s="534">
        <f>F10/V10</f>
        <v/>
      </c>
      <c r="AE10" s="33">
        <f>(AC10-AC6)/AC6</f>
        <v/>
      </c>
      <c r="AF10" s="33">
        <f>(AC10-AD10)/AD10</f>
        <v/>
      </c>
      <c r="AG10" s="533">
        <f>AG11+AG12</f>
        <v/>
      </c>
      <c r="AH10" s="533">
        <f>AH11+AH12</f>
        <v/>
      </c>
      <c r="AI10" s="33">
        <f>(AG10-AG6)/AG6</f>
        <v/>
      </c>
      <c r="AJ10" s="33">
        <f>(AG10-AH10)/AH10</f>
        <v/>
      </c>
      <c r="AK10" s="533">
        <f>AK11+AK12</f>
        <v/>
      </c>
      <c r="AL10" s="533">
        <f>AL11+AL12</f>
        <v/>
      </c>
      <c r="AM10" s="150">
        <f>(AK10-AK6)/AK6</f>
        <v/>
      </c>
      <c r="AN10" s="431">
        <f>(AK10-AL10)/AL10</f>
        <v/>
      </c>
      <c r="AO10" s="33">
        <f>AG10/AK10</f>
        <v/>
      </c>
      <c r="AP10" s="33">
        <f>AH10/AL10</f>
        <v/>
      </c>
      <c r="AQ10" s="33">
        <f>(AO10-AO6)/AO6</f>
        <v/>
      </c>
      <c r="AR10" s="33">
        <f>(AO10-AP10)/AP10</f>
        <v/>
      </c>
      <c r="AS10" t="s">
        <v>70</v>
      </c>
    </row>
    <row customHeight="1" ht="15.75" r="11" s="452" spans="1:45">
      <c r="A11" s="260" t="s">
        <v>32</v>
      </c>
      <c r="B11" s="260" t="s">
        <v>69</v>
      </c>
      <c r="C11" s="261">
        <f>C7+7</f>
        <v/>
      </c>
      <c r="D11" s="260" t="s">
        <v>35</v>
      </c>
      <c r="E11" s="535" t="n">
        <v>10381</v>
      </c>
      <c r="F11" s="535" t="n">
        <v>1069</v>
      </c>
      <c r="G11" s="33">
        <f>(E11-E7)/E7</f>
        <v/>
      </c>
      <c r="H11" s="33">
        <f>(E11-F11)/F11</f>
        <v/>
      </c>
      <c r="I11" s="535">
        <f>303.77+22.28</f>
        <v/>
      </c>
      <c r="J11" s="536" t="n">
        <v>637.34</v>
      </c>
      <c r="K11" s="33">
        <f>(I11-I7)/I7</f>
        <v/>
      </c>
      <c r="L11" s="33">
        <f>(I11-J11)/J11</f>
        <v/>
      </c>
      <c r="M11" s="536">
        <f>E11/I11</f>
        <v/>
      </c>
      <c r="N11" s="536">
        <f>F11/J11</f>
        <v/>
      </c>
      <c r="O11" s="33">
        <f>(M11-M7)/M7</f>
        <v/>
      </c>
      <c r="P11" s="33">
        <f>(M11-N11)/N11</f>
        <v/>
      </c>
      <c r="Q11" s="537" t="n">
        <v>4950</v>
      </c>
      <c r="R11" s="537" t="n">
        <v>2458</v>
      </c>
      <c r="S11" s="33">
        <f>(Q11-Q7)/Q7</f>
        <v/>
      </c>
      <c r="T11" s="33">
        <f>(Q11-R11)/R11</f>
        <v/>
      </c>
      <c r="U11" s="537" t="n">
        <v>97</v>
      </c>
      <c r="V11" s="537" t="n">
        <v>17</v>
      </c>
      <c r="W11" s="33">
        <f>(U11-U7)/U7</f>
        <v/>
      </c>
      <c r="X11" s="33">
        <f>(U11-V11)/V11</f>
        <v/>
      </c>
      <c r="Y11" s="113">
        <f>U11/Q11</f>
        <v/>
      </c>
      <c r="Z11" s="113">
        <f>V11/R11</f>
        <v/>
      </c>
      <c r="AA11" s="33">
        <f>(Y11-Y7)/Y7</f>
        <v/>
      </c>
      <c r="AB11" s="33">
        <f>(Y11-Z11)/Z11</f>
        <v/>
      </c>
      <c r="AC11" s="529">
        <f>E11/U11</f>
        <v/>
      </c>
      <c r="AD11" s="529">
        <f>F11/V11</f>
        <v/>
      </c>
      <c r="AE11" s="33">
        <f>(AC11-AC7)/AC7</f>
        <v/>
      </c>
      <c r="AF11" s="33">
        <f>(AC11-AD11)/AD11</f>
        <v/>
      </c>
      <c r="AG11" s="537">
        <f>3314+145</f>
        <v/>
      </c>
      <c r="AH11" s="537" t="n">
        <v>2214</v>
      </c>
      <c r="AI11" s="33">
        <f>(AG11-AG7)/AG7</f>
        <v/>
      </c>
      <c r="AJ11" s="33">
        <f>(AG11-AH11)/AH11</f>
        <v/>
      </c>
      <c r="AK11" s="537">
        <f>5960+398</f>
        <v/>
      </c>
      <c r="AL11" s="537" t="n">
        <v>7450</v>
      </c>
      <c r="AM11" s="150">
        <f>(AK11-AK7)/AK7</f>
        <v/>
      </c>
      <c r="AN11" s="431">
        <f>(AK11-AL11)/AL11</f>
        <v/>
      </c>
      <c r="AO11" s="282">
        <f>AG11/AK11</f>
        <v/>
      </c>
      <c r="AP11" s="282">
        <f>AH11/AL11</f>
        <v/>
      </c>
      <c r="AQ11" s="33">
        <f>(AO11-AO7)/AO7</f>
        <v/>
      </c>
      <c r="AR11" s="33">
        <f>(AO11-AP11)/AP11</f>
        <v/>
      </c>
    </row>
    <row customHeight="1" ht="15.75" r="12" s="452" spans="1:45">
      <c r="A12" s="260" t="s">
        <v>32</v>
      </c>
      <c r="B12" s="260" t="s">
        <v>69</v>
      </c>
      <c r="C12" s="261">
        <f>C8+7</f>
        <v/>
      </c>
      <c r="D12" s="260" t="s">
        <v>36</v>
      </c>
      <c r="E12" s="535" t="n">
        <v>181</v>
      </c>
      <c r="F12" s="535" t="n">
        <v>45</v>
      </c>
      <c r="G12" s="33">
        <f>(E12-E8)/E8</f>
        <v/>
      </c>
      <c r="H12" s="33">
        <f>(E12-F12)/F12</f>
        <v/>
      </c>
      <c r="I12" s="535">
        <f>1009.13+151.55</f>
        <v/>
      </c>
      <c r="J12" s="536" t="n">
        <v>493.79</v>
      </c>
      <c r="K12" s="33">
        <f>(I12-I8)/I8</f>
        <v/>
      </c>
      <c r="L12" s="33">
        <f>(I12-J12)/J12</f>
        <v/>
      </c>
      <c r="M12" s="536">
        <f>E12/I12</f>
        <v/>
      </c>
      <c r="N12" s="536">
        <f>F12/J12</f>
        <v/>
      </c>
      <c r="O12" s="33">
        <f>(M12-M8)/M8</f>
        <v/>
      </c>
      <c r="P12" s="33">
        <f>(M12-N12)/N12</f>
        <v/>
      </c>
      <c r="Q12" s="537" t="n">
        <v>1343</v>
      </c>
      <c r="R12" s="537" t="n">
        <v>587</v>
      </c>
      <c r="S12" s="33">
        <f>(Q12-Q8)/Q8</f>
        <v/>
      </c>
      <c r="T12" s="33">
        <f>(Q12-R12)/R12</f>
        <v/>
      </c>
      <c r="U12" s="537" t="n">
        <v>3</v>
      </c>
      <c r="V12" s="537" t="n">
        <v>1</v>
      </c>
      <c r="W12" s="33">
        <f>(U12-U8)/U8</f>
        <v/>
      </c>
      <c r="X12" s="33">
        <f>(U12-V12)/V12</f>
        <v/>
      </c>
      <c r="Y12" s="113">
        <f>U12/Q12</f>
        <v/>
      </c>
      <c r="Z12" s="113">
        <f>V12/R12</f>
        <v/>
      </c>
      <c r="AA12" s="33">
        <f>(Y12-Y8)/Y8</f>
        <v/>
      </c>
      <c r="AB12" s="33">
        <f>(Y12-Z12)/Z12</f>
        <v/>
      </c>
      <c r="AC12" s="529">
        <f>E12/U12</f>
        <v/>
      </c>
      <c r="AD12" s="529">
        <f>F12/V12</f>
        <v/>
      </c>
      <c r="AE12" s="33">
        <f>(AC12-AC8)/AC8</f>
        <v/>
      </c>
      <c r="AF12" s="33">
        <f>(AC12-AD12)/AD12</f>
        <v/>
      </c>
      <c r="AG12" s="537">
        <f>1044+182</f>
        <v/>
      </c>
      <c r="AH12" s="537" t="n">
        <v>546</v>
      </c>
      <c r="AI12" s="33">
        <f>(AG12-AG8)/AG8</f>
        <v/>
      </c>
      <c r="AJ12" s="33">
        <f>(AG12-AH12)/AH12</f>
        <v/>
      </c>
      <c r="AK12" s="537">
        <f>14201+1970</f>
        <v/>
      </c>
      <c r="AL12" s="537" t="n">
        <v>9809</v>
      </c>
      <c r="AM12" s="150">
        <f>(AK12-AK8)/AK8</f>
        <v/>
      </c>
      <c r="AN12" s="431">
        <f>(AK12-AL12)/AL12</f>
        <v/>
      </c>
      <c r="AO12" s="282">
        <f>AG12/AK12</f>
        <v/>
      </c>
      <c r="AP12" s="282">
        <f>AH12/AL12</f>
        <v/>
      </c>
      <c r="AQ12" s="33">
        <f>(AO12-AO8)/AO8</f>
        <v/>
      </c>
      <c r="AR12" s="33">
        <f>(AO12-AP12)/AP12</f>
        <v/>
      </c>
    </row>
    <row customHeight="1" ht="15.75" r="13" s="452" spans="1:45">
      <c r="A13" s="260" t="s">
        <v>32</v>
      </c>
      <c r="B13" s="260" t="s">
        <v>69</v>
      </c>
      <c r="C13" s="261">
        <f>C9+7</f>
        <v/>
      </c>
      <c r="D13" s="260" t="s">
        <v>37</v>
      </c>
      <c r="E13" s="535" t="n"/>
      <c r="F13" s="535" t="n"/>
      <c r="G13" s="33">
        <f>(E13-E9)/E9</f>
        <v/>
      </c>
      <c r="H13" s="33">
        <f>(E13-F13)/F13</f>
        <v/>
      </c>
      <c r="I13" s="535" t="n"/>
      <c r="J13" s="536" t="n"/>
      <c r="K13" s="33">
        <f>(I13-I9)/I9</f>
        <v/>
      </c>
      <c r="L13" s="33">
        <f>(I13-J13)/J13</f>
        <v/>
      </c>
      <c r="M13" s="536" t="n"/>
      <c r="N13" s="536" t="n"/>
      <c r="O13" s="33">
        <f>(M13-M9)/M9</f>
        <v/>
      </c>
      <c r="P13" s="33">
        <f>(M13-N13)/N13</f>
        <v/>
      </c>
      <c r="Q13" s="537" t="n"/>
      <c r="R13" s="537" t="n"/>
      <c r="S13" s="33">
        <f>(Q13-Q9)/Q9</f>
        <v/>
      </c>
      <c r="T13" s="33">
        <f>(Q13-R13)/R13</f>
        <v/>
      </c>
      <c r="U13" s="537" t="n"/>
      <c r="V13" s="537" t="n"/>
      <c r="W13" s="33">
        <f>(U13-U9)/U9</f>
        <v/>
      </c>
      <c r="X13" s="33">
        <f>(U13-V13)/V13</f>
        <v/>
      </c>
      <c r="Y13" s="113" t="n"/>
      <c r="Z13" s="113" t="n"/>
      <c r="AA13" s="33">
        <f>(Y13-Y9)/Y9</f>
        <v/>
      </c>
      <c r="AB13" s="33">
        <f>(Y13-Z13)/Z13</f>
        <v/>
      </c>
      <c r="AC13" s="529" t="n"/>
      <c r="AD13" s="529" t="n"/>
      <c r="AE13" s="33">
        <f>(AC13-AC9)/AC9</f>
        <v/>
      </c>
      <c r="AF13" s="33">
        <f>(AC13-AD13)/AD13</f>
        <v/>
      </c>
      <c r="AG13" s="537" t="n"/>
      <c r="AH13" s="537" t="n"/>
      <c r="AI13" s="33">
        <f>(AG13-AG9)/AG9</f>
        <v/>
      </c>
      <c r="AJ13" s="33">
        <f>(AG13-AH13)/AH13</f>
        <v/>
      </c>
      <c r="AK13" s="537" t="n"/>
      <c r="AL13" s="537" t="n"/>
      <c r="AM13" s="150">
        <f>(AK13-AK9)/AK9</f>
        <v/>
      </c>
      <c r="AN13" s="431">
        <f>(AK13-AL13)/AL13</f>
        <v/>
      </c>
      <c r="AO13" s="282" t="n"/>
      <c r="AP13" s="282" t="n"/>
      <c r="AQ13" s="33">
        <f>(AO13-AO9)/AO9</f>
        <v/>
      </c>
      <c r="AR13" s="33">
        <f>(AO13-AP13)/AP13</f>
        <v/>
      </c>
    </row>
    <row customHeight="1" ht="15.75" r="14" s="452" spans="1:45">
      <c r="A14" s="29" t="s">
        <v>32</v>
      </c>
      <c r="B14" s="29" t="s">
        <v>71</v>
      </c>
      <c r="C14" s="30">
        <f>C10+7</f>
        <v/>
      </c>
      <c r="D14" s="31" t="s">
        <v>60</v>
      </c>
      <c r="E14" s="531">
        <f>E15+E16</f>
        <v/>
      </c>
      <c r="F14" s="531">
        <f>F15+F16</f>
        <v/>
      </c>
      <c r="G14" s="33">
        <f>(E14-E10)/E10</f>
        <v/>
      </c>
      <c r="H14" s="33">
        <f>(E14-F14)/F14</f>
        <v/>
      </c>
      <c r="I14" s="531">
        <f>I15+I16</f>
        <v/>
      </c>
      <c r="J14" s="532">
        <f>J15+J16</f>
        <v/>
      </c>
      <c r="K14" s="33">
        <f>(I14-I10)/I10</f>
        <v/>
      </c>
      <c r="L14" s="33">
        <f>(I14-J14)/J14</f>
        <v/>
      </c>
      <c r="M14" s="532">
        <f>E14/I14</f>
        <v/>
      </c>
      <c r="N14" s="532">
        <f>F14/J14</f>
        <v/>
      </c>
      <c r="O14" s="33">
        <f>(M14-M10)/M10</f>
        <v/>
      </c>
      <c r="P14" s="33">
        <f>(M14-N14)/N14</f>
        <v/>
      </c>
      <c r="Q14" s="533">
        <f>Q15+Q16</f>
        <v/>
      </c>
      <c r="R14" s="533">
        <f>R15+R16</f>
        <v/>
      </c>
      <c r="S14" s="33">
        <f>(Q14-Q10)/Q10</f>
        <v/>
      </c>
      <c r="T14" s="33">
        <f>(Q14-R14)/R14</f>
        <v/>
      </c>
      <c r="U14" s="533">
        <f>U15+U16</f>
        <v/>
      </c>
      <c r="V14" s="533">
        <f>V15+V16</f>
        <v/>
      </c>
      <c r="W14" s="33">
        <f>(U14-U10)/U10</f>
        <v/>
      </c>
      <c r="X14" s="33">
        <f>(U14-V14)/V14</f>
        <v/>
      </c>
      <c r="Y14" s="88">
        <f>U14/Q14</f>
        <v/>
      </c>
      <c r="Z14" s="88">
        <f>V14/R14</f>
        <v/>
      </c>
      <c r="AA14" s="33">
        <f>(Y14-Y10)/Y10</f>
        <v/>
      </c>
      <c r="AB14" s="33">
        <f>(Y14-Z14)/Z14</f>
        <v/>
      </c>
      <c r="AC14" s="540">
        <f>E14/U14</f>
        <v/>
      </c>
      <c r="AD14" s="534">
        <f>F14/V14</f>
        <v/>
      </c>
      <c r="AE14" s="33">
        <f>(AC14-AC10)/AC10</f>
        <v/>
      </c>
      <c r="AF14" s="33">
        <f>(AC14-AD14)/AD14</f>
        <v/>
      </c>
      <c r="AG14" s="533">
        <f>AG15+AG16</f>
        <v/>
      </c>
      <c r="AH14" s="533">
        <f>AH15+AH16</f>
        <v/>
      </c>
      <c r="AI14" s="33">
        <f>(AG14-AG10)/AG10</f>
        <v/>
      </c>
      <c r="AJ14" s="33">
        <f>(AG14-AH14)/AH14</f>
        <v/>
      </c>
      <c r="AK14" s="533">
        <f>AK15+AK16</f>
        <v/>
      </c>
      <c r="AL14" s="533">
        <f>AL15+AL16</f>
        <v/>
      </c>
      <c r="AM14" s="150">
        <f>(AK14-AK10)/AK10</f>
        <v/>
      </c>
      <c r="AN14" s="431">
        <f>(AK14-AL14)/AL14</f>
        <v/>
      </c>
      <c r="AO14" s="33">
        <f>AG14/AK14</f>
        <v/>
      </c>
      <c r="AP14" s="33">
        <f>AH14/AL14</f>
        <v/>
      </c>
      <c r="AQ14" s="33">
        <f>(AO14-AO10)/AO10</f>
        <v/>
      </c>
      <c r="AR14" s="33">
        <f>(AO14-AP14)/AP14</f>
        <v/>
      </c>
      <c r="AS14" t="s">
        <v>72</v>
      </c>
    </row>
    <row customHeight="1" ht="15.75" r="15" s="452" spans="1:45">
      <c r="A15" s="260" t="s">
        <v>32</v>
      </c>
      <c r="B15" s="260" t="s">
        <v>71</v>
      </c>
      <c r="C15" s="261">
        <f>C11+7</f>
        <v/>
      </c>
      <c r="D15" s="260" t="s">
        <v>35</v>
      </c>
      <c r="E15" s="535" t="n">
        <v>10327</v>
      </c>
      <c r="F15" s="535" t="n">
        <v>3391</v>
      </c>
      <c r="G15" s="33">
        <f>(E15-E11)/E11</f>
        <v/>
      </c>
      <c r="H15" s="33">
        <f>(E15-F15)/F15</f>
        <v/>
      </c>
      <c r="I15" s="535">
        <f>320.47+29.29</f>
        <v/>
      </c>
      <c r="J15" s="536" t="n">
        <v>764.88</v>
      </c>
      <c r="K15" s="33">
        <f>(I15-I11)/I11</f>
        <v/>
      </c>
      <c r="L15" s="33">
        <f>(I15-J15)/J15</f>
        <v/>
      </c>
      <c r="M15" s="536">
        <f>E15/I15</f>
        <v/>
      </c>
      <c r="N15" s="536">
        <f>F15/J15</f>
        <v/>
      </c>
      <c r="O15" s="33">
        <f>(M15-M11)/M11</f>
        <v/>
      </c>
      <c r="P15" s="33">
        <f>(M15-N15)/N15</f>
        <v/>
      </c>
      <c r="Q15" s="537" t="n">
        <v>4624</v>
      </c>
      <c r="R15" s="537" t="n">
        <v>2591</v>
      </c>
      <c r="S15" s="33">
        <f>(Q15-Q11)/Q11</f>
        <v/>
      </c>
      <c r="T15" s="33">
        <f>(Q15-R15)/R15</f>
        <v/>
      </c>
      <c r="U15" s="537" t="n">
        <v>90</v>
      </c>
      <c r="V15" s="537" t="n">
        <v>30</v>
      </c>
      <c r="W15" s="33">
        <f>(U15-U11)/U11</f>
        <v/>
      </c>
      <c r="X15" s="33">
        <f>(U15-V15)/V15</f>
        <v/>
      </c>
      <c r="Y15" s="113">
        <f>U15/Q15</f>
        <v/>
      </c>
      <c r="Z15" s="113">
        <f>V15/R15</f>
        <v/>
      </c>
      <c r="AA15" s="33">
        <f>(Y15-Y11)/Y11</f>
        <v/>
      </c>
      <c r="AB15" s="33">
        <f>(Y15-Z15)/Z15</f>
        <v/>
      </c>
      <c r="AC15" s="529">
        <f>E15/U15</f>
        <v/>
      </c>
      <c r="AD15" s="529">
        <f>F15/V15</f>
        <v/>
      </c>
      <c r="AE15" s="33">
        <f>(AC15-AC11)/AC11</f>
        <v/>
      </c>
      <c r="AF15" s="33">
        <f>(AC15-AD15)/AD15</f>
        <v/>
      </c>
      <c r="AG15" s="537">
        <f>3136+139</f>
        <v/>
      </c>
      <c r="AH15" s="537" t="n">
        <v>2485</v>
      </c>
      <c r="AI15" s="33">
        <f>(AG15-AG11)/AG11</f>
        <v/>
      </c>
      <c r="AJ15" s="33">
        <f>(AG15-AH15)/AH15</f>
        <v/>
      </c>
      <c r="AK15" s="537">
        <f>6718+410</f>
        <v/>
      </c>
      <c r="AL15" s="537" t="n">
        <v>8838</v>
      </c>
      <c r="AM15" s="150">
        <f>(AK15-AK11)/AK11</f>
        <v/>
      </c>
      <c r="AN15" s="431">
        <f>(AK15-AL15)/AL15</f>
        <v/>
      </c>
      <c r="AO15" s="282">
        <f>AG15/AK15</f>
        <v/>
      </c>
      <c r="AP15" s="282">
        <f>AH15/AL15</f>
        <v/>
      </c>
      <c r="AQ15" s="33">
        <f>(AO15-AO11)/AO11</f>
        <v/>
      </c>
      <c r="AR15" s="33">
        <f>(AO15-AP15)/AP15</f>
        <v/>
      </c>
    </row>
    <row customHeight="1" ht="15.75" r="16" s="452" spans="1:45">
      <c r="A16" s="260" t="s">
        <v>32</v>
      </c>
      <c r="B16" s="260" t="s">
        <v>71</v>
      </c>
      <c r="C16" s="261">
        <f>C12+7</f>
        <v/>
      </c>
      <c r="D16" s="260" t="s">
        <v>36</v>
      </c>
      <c r="E16" s="535" t="n">
        <v>576</v>
      </c>
      <c r="F16" s="535" t="n">
        <v>1296</v>
      </c>
      <c r="G16" s="33">
        <f>(E16-E12)/E12</f>
        <v/>
      </c>
      <c r="H16" s="33">
        <f>(E16-F16)/F16</f>
        <v/>
      </c>
      <c r="I16" s="535">
        <f>714.16+167.63</f>
        <v/>
      </c>
      <c r="J16" s="536" t="n">
        <v>663.3</v>
      </c>
      <c r="K16" s="33">
        <f>(I16-I12)/I12</f>
        <v/>
      </c>
      <c r="L16" s="33">
        <f>(I16-J16)/J16</f>
        <v/>
      </c>
      <c r="M16" s="536">
        <f>E16/I16</f>
        <v/>
      </c>
      <c r="N16" s="536">
        <f>F16/J16</f>
        <v/>
      </c>
      <c r="O16" s="33">
        <f>(M16-M12)/M12</f>
        <v/>
      </c>
      <c r="P16" s="33">
        <f>(M16-N16)/N16</f>
        <v/>
      </c>
      <c r="Q16" s="537" t="n">
        <v>1051</v>
      </c>
      <c r="R16" s="537" t="n">
        <v>790</v>
      </c>
      <c r="S16" s="33">
        <f>(Q16-Q12)/Q12</f>
        <v/>
      </c>
      <c r="T16" s="33">
        <f>(Q16-R16)/R16</f>
        <v/>
      </c>
      <c r="U16" s="537" t="n">
        <v>4</v>
      </c>
      <c r="V16" s="537" t="n">
        <v>13</v>
      </c>
      <c r="W16" s="33">
        <f>(U16-U12)/U12</f>
        <v/>
      </c>
      <c r="X16" s="33">
        <f>(U16-V16)/V16</f>
        <v/>
      </c>
      <c r="Y16" s="113">
        <f>U16/Q16</f>
        <v/>
      </c>
      <c r="Z16" s="113">
        <f>V16/R16</f>
        <v/>
      </c>
      <c r="AA16" s="33">
        <f>(Y16-Y12)/Y12</f>
        <v/>
      </c>
      <c r="AB16" s="33">
        <f>(Y16-Z16)/Z16</f>
        <v/>
      </c>
      <c r="AC16" s="529">
        <f>E16/U16</f>
        <v/>
      </c>
      <c r="AD16" s="529">
        <f>F16/V16</f>
        <v/>
      </c>
      <c r="AE16" s="33">
        <f>(AC16-AC12)/AC12</f>
        <v/>
      </c>
      <c r="AF16" s="33">
        <f>(AC16-AD16)/AD16</f>
        <v/>
      </c>
      <c r="AG16" s="537">
        <f>723+180</f>
        <v/>
      </c>
      <c r="AH16" s="537" t="n">
        <v>727</v>
      </c>
      <c r="AI16" s="33">
        <f>(AG16-AG12)/AG12</f>
        <v/>
      </c>
      <c r="AJ16" s="33">
        <f>(AG16-AH16)/AH16</f>
        <v/>
      </c>
      <c r="AK16" s="537">
        <f>9658+2107</f>
        <v/>
      </c>
      <c r="AL16" s="537" t="n">
        <v>13445</v>
      </c>
      <c r="AM16" s="150">
        <f>(AK16-AK12)/AK12</f>
        <v/>
      </c>
      <c r="AN16" s="431">
        <f>(AK16-AL16)/AL16</f>
        <v/>
      </c>
      <c r="AO16" s="282">
        <f>AG16/AK16</f>
        <v/>
      </c>
      <c r="AP16" s="282">
        <f>AH16/AL16</f>
        <v/>
      </c>
      <c r="AQ16" s="33">
        <f>(AO16-AO12)/AO12</f>
        <v/>
      </c>
      <c r="AR16" s="33">
        <f>(AO16-AP16)/AP16</f>
        <v/>
      </c>
    </row>
    <row customHeight="1" ht="15.75" r="17" s="452" spans="1:45">
      <c r="A17" s="260" t="s">
        <v>32</v>
      </c>
      <c r="B17" s="260" t="s">
        <v>71</v>
      </c>
      <c r="C17" s="261">
        <f>C13+7</f>
        <v/>
      </c>
      <c r="D17" s="260" t="s">
        <v>37</v>
      </c>
      <c r="E17" s="535" t="n"/>
      <c r="F17" s="535" t="n"/>
      <c r="G17" s="33">
        <f>(E17-E13)/E13</f>
        <v/>
      </c>
      <c r="H17" s="33">
        <f>(E17-F17)/F17</f>
        <v/>
      </c>
      <c r="I17" s="535" t="n"/>
      <c r="J17" s="536" t="n"/>
      <c r="K17" s="33">
        <f>(I17-I13)/I13</f>
        <v/>
      </c>
      <c r="L17" s="33">
        <f>(I17-J17)/J17</f>
        <v/>
      </c>
      <c r="M17" s="536" t="n"/>
      <c r="N17" s="536" t="n"/>
      <c r="O17" s="33">
        <f>(M17-M13)/M13</f>
        <v/>
      </c>
      <c r="P17" s="33">
        <f>(M17-N17)/N17</f>
        <v/>
      </c>
      <c r="Q17" s="537" t="n"/>
      <c r="R17" s="537" t="n"/>
      <c r="S17" s="33">
        <f>(Q17-Q13)/Q13</f>
        <v/>
      </c>
      <c r="T17" s="33">
        <f>(Q17-R17)/R17</f>
        <v/>
      </c>
      <c r="U17" s="537" t="n"/>
      <c r="V17" s="537" t="n"/>
      <c r="W17" s="33">
        <f>(U17-U13)/U13</f>
        <v/>
      </c>
      <c r="X17" s="33">
        <f>(U17-V17)/V17</f>
        <v/>
      </c>
      <c r="Y17" s="113" t="n"/>
      <c r="Z17" s="113" t="n"/>
      <c r="AA17" s="33">
        <f>(Y17-Y13)/Y13</f>
        <v/>
      </c>
      <c r="AB17" s="33">
        <f>(Y17-Z17)/Z17</f>
        <v/>
      </c>
      <c r="AC17" s="529" t="n"/>
      <c r="AD17" s="529" t="n"/>
      <c r="AE17" s="33">
        <f>(AC17-AC13)/AC13</f>
        <v/>
      </c>
      <c r="AF17" s="33">
        <f>(AC17-AD17)/AD17</f>
        <v/>
      </c>
      <c r="AG17" s="537" t="n"/>
      <c r="AH17" s="537" t="n"/>
      <c r="AI17" s="33">
        <f>(AG17-AG13)/AG13</f>
        <v/>
      </c>
      <c r="AJ17" s="33">
        <f>(AG17-AH17)/AH17</f>
        <v/>
      </c>
      <c r="AK17" s="537" t="n"/>
      <c r="AL17" s="537" t="n"/>
      <c r="AM17" s="150">
        <f>(AK17-AK13)/AK13</f>
        <v/>
      </c>
      <c r="AN17" s="431">
        <f>(AK17-AL17)/AL17</f>
        <v/>
      </c>
      <c r="AO17" s="282" t="n"/>
      <c r="AP17" s="282" t="n"/>
      <c r="AQ17" s="33">
        <f>(AO17-AO13)/AO13</f>
        <v/>
      </c>
      <c r="AR17" s="33">
        <f>(AO17-AP17)/AP17</f>
        <v/>
      </c>
    </row>
    <row customFormat="1" customHeight="1" ht="15.75" r="18" s="108" spans="1:45">
      <c r="A18" s="272" t="s">
        <v>41</v>
      </c>
      <c r="B18" s="272" t="s">
        <v>73</v>
      </c>
      <c r="C18" s="273">
        <f>C14+7</f>
        <v/>
      </c>
      <c r="D18" s="274" t="s">
        <v>60</v>
      </c>
      <c r="E18" s="541">
        <f>E19+E20</f>
        <v/>
      </c>
      <c r="F18" s="541">
        <f>F19+F20</f>
        <v/>
      </c>
      <c r="G18" s="116">
        <f>(E18-E14)/E14</f>
        <v/>
      </c>
      <c r="H18" s="116">
        <f>(E18-F18)/F18</f>
        <v/>
      </c>
      <c r="I18" s="541">
        <f>I19+I20</f>
        <v/>
      </c>
      <c r="J18" s="542">
        <f>J19+J20</f>
        <v/>
      </c>
      <c r="K18" s="116">
        <f>(I18-I14)/I14</f>
        <v/>
      </c>
      <c r="L18" s="116">
        <f>(I18-J18)/J18</f>
        <v/>
      </c>
      <c r="M18" s="542">
        <f>E18/I18</f>
        <v/>
      </c>
      <c r="N18" s="542">
        <f>F18/J18</f>
        <v/>
      </c>
      <c r="O18" s="116">
        <f>(M18-M14)/M14</f>
        <v/>
      </c>
      <c r="P18" s="116">
        <f>(M18-N18)/N18</f>
        <v/>
      </c>
      <c r="Q18" s="543">
        <f>Q19+Q20</f>
        <v/>
      </c>
      <c r="R18" s="543">
        <f>R19+R20</f>
        <v/>
      </c>
      <c r="S18" s="116">
        <f>(Q18-Q14)/Q14</f>
        <v/>
      </c>
      <c r="T18" s="116">
        <f>(Q18-R18)/R18</f>
        <v/>
      </c>
      <c r="U18" s="543">
        <f>U19+U20</f>
        <v/>
      </c>
      <c r="V18" s="543">
        <f>V19+V20</f>
        <v/>
      </c>
      <c r="W18" s="116">
        <f>(U18-U14)/U14</f>
        <v/>
      </c>
      <c r="X18" s="116">
        <f>(U18-V18)/V18</f>
        <v/>
      </c>
      <c r="Y18" s="119">
        <f>U18/Q18</f>
        <v/>
      </c>
      <c r="Z18" s="119">
        <f>V18/R18</f>
        <v/>
      </c>
      <c r="AA18" s="116">
        <f>(Y18-Y14)/Y14</f>
        <v/>
      </c>
      <c r="AB18" s="116">
        <f>(Y18-Z18)/Z18</f>
        <v/>
      </c>
      <c r="AC18" s="544">
        <f>E18/U18</f>
        <v/>
      </c>
      <c r="AD18" s="545">
        <f>F18/V18</f>
        <v/>
      </c>
      <c r="AE18" s="116">
        <f>(AC18-AC14)/AC14</f>
        <v/>
      </c>
      <c r="AF18" s="116">
        <f>(AC18-AD18)/AD18</f>
        <v/>
      </c>
      <c r="AG18" s="543">
        <f>AG19+AG20</f>
        <v/>
      </c>
      <c r="AH18" s="543">
        <f>AH19+AH20</f>
        <v/>
      </c>
      <c r="AI18" s="116">
        <f>(AG18-AG14)/AG14</f>
        <v/>
      </c>
      <c r="AJ18" s="116">
        <f>(AG18-AH18)/AH18</f>
        <v/>
      </c>
      <c r="AK18" s="543">
        <f>AK19+AK20</f>
        <v/>
      </c>
      <c r="AL18" s="543">
        <f>AL19+AL20</f>
        <v/>
      </c>
      <c r="AM18" s="276">
        <f>(AK18-AK14)/AK14</f>
        <v/>
      </c>
      <c r="AN18" s="277">
        <f>(AK18-AL18)/AL18</f>
        <v/>
      </c>
      <c r="AO18" s="116">
        <f>AG18/AK18</f>
        <v/>
      </c>
      <c r="AP18" s="116">
        <f>AH18/AL18</f>
        <v/>
      </c>
      <c r="AQ18" s="116">
        <f>(AO18-AO14)/AO14</f>
        <v/>
      </c>
      <c r="AR18" s="116">
        <f>(AO18-AP18)/AP18</f>
        <v/>
      </c>
      <c r="AS18" s="108" t="s">
        <v>74</v>
      </c>
    </row>
    <row customHeight="1" ht="15.75" r="19" s="452" spans="1:45">
      <c r="A19" s="260" t="s">
        <v>41</v>
      </c>
      <c r="B19" s="260" t="s">
        <v>73</v>
      </c>
      <c r="C19" s="261">
        <f>C15+7</f>
        <v/>
      </c>
      <c r="D19" s="260" t="s">
        <v>35</v>
      </c>
      <c r="E19" s="535" t="n">
        <v>10452</v>
      </c>
      <c r="F19" s="535">
        <f>2547</f>
        <v/>
      </c>
      <c r="G19" s="33">
        <f>(E19-E15)/E15</f>
        <v/>
      </c>
      <c r="H19" s="33">
        <f>(E19-F19)/F19</f>
        <v/>
      </c>
      <c r="I19" s="535">
        <f>555.03+29.88</f>
        <v/>
      </c>
      <c r="J19" s="536">
        <f>786.8+108.89</f>
        <v/>
      </c>
      <c r="K19" s="33">
        <f>(I19-I15)/I15</f>
        <v/>
      </c>
      <c r="L19" s="33">
        <f>(I19-J19)/J19</f>
        <v/>
      </c>
      <c r="M19" s="536">
        <f>E19/I19</f>
        <v/>
      </c>
      <c r="N19" s="536">
        <f>F19/J19</f>
        <v/>
      </c>
      <c r="O19" s="33">
        <f>(M19-M15)/M15</f>
        <v/>
      </c>
      <c r="P19" s="33">
        <f>(M19-N19)/N19</f>
        <v/>
      </c>
      <c r="Q19" s="537" t="n">
        <v>5409</v>
      </c>
      <c r="R19" s="537">
        <f>3101</f>
        <v/>
      </c>
      <c r="S19" s="33">
        <f>(Q19-Q15)/Q15</f>
        <v/>
      </c>
      <c r="T19" s="33">
        <f>(Q19-R19)/R19</f>
        <v/>
      </c>
      <c r="U19" s="537" t="n">
        <v>122</v>
      </c>
      <c r="V19" s="537">
        <f>38</f>
        <v/>
      </c>
      <c r="W19" s="33">
        <f>(U19-U15)/U15</f>
        <v/>
      </c>
      <c r="X19" s="33">
        <f>(U19-V19)/V19</f>
        <v/>
      </c>
      <c r="Y19" s="113">
        <f>U19/Q19</f>
        <v/>
      </c>
      <c r="Z19" s="113">
        <f>V19/R19</f>
        <v/>
      </c>
      <c r="AA19" s="33">
        <f>(Y19-Y15)/Y15</f>
        <v/>
      </c>
      <c r="AB19" s="33">
        <f>(Y19-Z19)/Z19</f>
        <v/>
      </c>
      <c r="AC19" s="529">
        <f>E19/U19</f>
        <v/>
      </c>
      <c r="AD19" s="534">
        <f>F19/V19</f>
        <v/>
      </c>
      <c r="AE19" s="33">
        <f>(AC19-AC15)/AC15</f>
        <v/>
      </c>
      <c r="AF19" s="33">
        <f>(AC19-AD19)/AD19</f>
        <v/>
      </c>
      <c r="AG19" s="537">
        <f>3741+165</f>
        <v/>
      </c>
      <c r="AH19" s="537">
        <f>2499+227</f>
        <v/>
      </c>
      <c r="AI19" s="33">
        <f>(AG19-AG15)/AG15</f>
        <v/>
      </c>
      <c r="AJ19" s="33">
        <f>(AG19-AH19)/AH19</f>
        <v/>
      </c>
      <c r="AK19" s="537">
        <f>9565+448</f>
        <v/>
      </c>
      <c r="AL19" s="537">
        <f>10213+1173</f>
        <v/>
      </c>
      <c r="AM19" s="150">
        <f>(AK19-AK15)/AK15</f>
        <v/>
      </c>
      <c r="AN19" s="431">
        <f>(AK19-AL19)/AL19</f>
        <v/>
      </c>
      <c r="AO19" s="282">
        <f>AG19/AK19</f>
        <v/>
      </c>
      <c r="AP19" s="282">
        <f>AH19/AL19</f>
        <v/>
      </c>
      <c r="AQ19" s="33">
        <f>(AO19-AO15)/AO15</f>
        <v/>
      </c>
      <c r="AR19" s="33">
        <f>(AO19-AP19)/AP19</f>
        <v/>
      </c>
    </row>
    <row customHeight="1" ht="15.75" r="20" s="452" spans="1:45">
      <c r="A20" s="260" t="s">
        <v>41</v>
      </c>
      <c r="B20" s="260" t="s">
        <v>73</v>
      </c>
      <c r="C20" s="261">
        <f>C16+7</f>
        <v/>
      </c>
      <c r="D20" s="260" t="s">
        <v>36</v>
      </c>
      <c r="E20" s="535" t="n">
        <v>355</v>
      </c>
      <c r="F20" s="535" t="n">
        <v>231</v>
      </c>
      <c r="G20" s="33">
        <f>(E20-E16)/E16</f>
        <v/>
      </c>
      <c r="H20" s="33">
        <f>(E20-F20)/F20</f>
        <v/>
      </c>
      <c r="I20" s="535">
        <f>519.89+134.86</f>
        <v/>
      </c>
      <c r="J20" s="536">
        <f>1181.15+0.62</f>
        <v/>
      </c>
      <c r="K20" s="33">
        <f>(I20-I16)/I16</f>
        <v/>
      </c>
      <c r="L20" s="33">
        <f>(I20-J20)/J20</f>
        <v/>
      </c>
      <c r="M20" s="536">
        <f>E20/I20</f>
        <v/>
      </c>
      <c r="N20" s="536">
        <f>F20/J20</f>
        <v/>
      </c>
      <c r="O20" s="33">
        <f>(M20-M16)/M16</f>
        <v/>
      </c>
      <c r="P20" s="33">
        <f>(M20-N20)/N20</f>
        <v/>
      </c>
      <c r="Q20" s="537" t="n">
        <v>676</v>
      </c>
      <c r="R20" s="537">
        <f>1467</f>
        <v/>
      </c>
      <c r="S20" s="33">
        <f>(Q20-Q16)/Q16</f>
        <v/>
      </c>
      <c r="T20" s="33">
        <f>(Q20-R20)/R20</f>
        <v/>
      </c>
      <c r="U20" s="537" t="n">
        <v>6</v>
      </c>
      <c r="V20" s="537">
        <f>4</f>
        <v/>
      </c>
      <c r="W20" s="33">
        <f>(U20-U16)/U16</f>
        <v/>
      </c>
      <c r="X20" s="33">
        <f>(U20-V20)/V20</f>
        <v/>
      </c>
      <c r="Y20" s="113">
        <f>U20/Q20</f>
        <v/>
      </c>
      <c r="Z20" s="113">
        <f>V20/R20</f>
        <v/>
      </c>
      <c r="AA20" s="33">
        <f>(Y20-Y16)/Y16</f>
        <v/>
      </c>
      <c r="AB20" s="33">
        <f>(Y20-Z20)/Z20</f>
        <v/>
      </c>
      <c r="AC20" s="529">
        <f>E20/U20</f>
        <v/>
      </c>
      <c r="AD20" s="534">
        <f>F20/V20</f>
        <v/>
      </c>
      <c r="AE20" s="33">
        <f>(AC20-AC16)/AC16</f>
        <v/>
      </c>
      <c r="AF20" s="33">
        <f>(AC20-AD20)/AD20</f>
        <v/>
      </c>
      <c r="AG20" s="537">
        <f>437+160</f>
        <v/>
      </c>
      <c r="AH20" s="537">
        <f>1289+1</f>
        <v/>
      </c>
      <c r="AI20" s="33">
        <f>(AG20-AG16)/AG16</f>
        <v/>
      </c>
      <c r="AJ20" s="33">
        <f>(AG20-AH20)/AH20</f>
        <v/>
      </c>
      <c r="AK20" s="537">
        <f>6681+2357</f>
        <v/>
      </c>
      <c r="AL20" s="537">
        <f>20745+85</f>
        <v/>
      </c>
      <c r="AM20" s="150">
        <f>(AK20-AK16)/AK16</f>
        <v/>
      </c>
      <c r="AN20" s="431">
        <f>(AK20-AL20)/AL20</f>
        <v/>
      </c>
      <c r="AO20" s="282">
        <f>AG20/AK20</f>
        <v/>
      </c>
      <c r="AP20" s="282">
        <f>AH20/AL20</f>
        <v/>
      </c>
      <c r="AQ20" s="33">
        <f>(AO20-AO16)/AO16</f>
        <v/>
      </c>
      <c r="AR20" s="33">
        <f>(AO20-AP20)/AP20</f>
        <v/>
      </c>
    </row>
    <row customHeight="1" ht="15.75" r="21" s="452" spans="1:45">
      <c r="A21" s="260" t="s">
        <v>41</v>
      </c>
      <c r="B21" s="260" t="s">
        <v>73</v>
      </c>
      <c r="C21" s="261">
        <f>C17+7</f>
        <v/>
      </c>
      <c r="D21" s="260" t="s">
        <v>37</v>
      </c>
      <c r="E21" s="535" t="n"/>
      <c r="F21" s="535" t="n"/>
      <c r="G21" s="33">
        <f>(E21-E17)/E17</f>
        <v/>
      </c>
      <c r="H21" s="33">
        <f>(E21-F21)/F21</f>
        <v/>
      </c>
      <c r="I21" s="535" t="n"/>
      <c r="J21" s="536" t="n"/>
      <c r="K21" s="33">
        <f>(I21-I17)/I17</f>
        <v/>
      </c>
      <c r="L21" s="33">
        <f>(I21-J21)/J21</f>
        <v/>
      </c>
      <c r="M21" s="536" t="n"/>
      <c r="N21" s="536" t="n"/>
      <c r="O21" s="33">
        <f>(M21-M17)/M17</f>
        <v/>
      </c>
      <c r="P21" s="33">
        <f>(M21-N21)/N21</f>
        <v/>
      </c>
      <c r="Q21" s="537" t="n"/>
      <c r="R21" s="537" t="n"/>
      <c r="S21" s="33">
        <f>(Q21-Q17)/Q17</f>
        <v/>
      </c>
      <c r="T21" s="33">
        <f>(Q21-R21)/R21</f>
        <v/>
      </c>
      <c r="U21" s="537" t="n"/>
      <c r="V21" s="537" t="n"/>
      <c r="W21" s="33">
        <f>(U21-U17)/U17</f>
        <v/>
      </c>
      <c r="X21" s="33">
        <f>(U21-V21)/V21</f>
        <v/>
      </c>
      <c r="Y21" s="113" t="n"/>
      <c r="Z21" s="113" t="n"/>
      <c r="AA21" s="33">
        <f>(Y21-Y17)/Y17</f>
        <v/>
      </c>
      <c r="AB21" s="33">
        <f>(Y21-Z21)/Z21</f>
        <v/>
      </c>
      <c r="AC21" s="529" t="n"/>
      <c r="AD21" s="534" t="n"/>
      <c r="AE21" s="33">
        <f>(AC21-AC17)/AC17</f>
        <v/>
      </c>
      <c r="AF21" s="33">
        <f>(AC21-AD21)/AD21</f>
        <v/>
      </c>
      <c r="AG21" s="537" t="n"/>
      <c r="AH21" s="537" t="n"/>
      <c r="AI21" s="33">
        <f>(AG21-AG17)/AG17</f>
        <v/>
      </c>
      <c r="AJ21" s="33">
        <f>(AG21-AH21)/AH21</f>
        <v/>
      </c>
      <c r="AK21" s="537" t="n"/>
      <c r="AL21" s="537" t="n"/>
      <c r="AM21" s="150">
        <f>(AK21-AK17)/AK17</f>
        <v/>
      </c>
      <c r="AN21" s="431">
        <f>(AK21-AL21)/AL21</f>
        <v/>
      </c>
      <c r="AO21" s="282" t="n"/>
      <c r="AP21" s="282" t="n"/>
      <c r="AQ21" s="33">
        <f>(AO21-AO17)/AO17</f>
        <v/>
      </c>
      <c r="AR21" s="33">
        <f>(AO21-AP21)/AP21</f>
        <v/>
      </c>
    </row>
    <row customHeight="1" ht="15.75" r="22" s="452" spans="1:45">
      <c r="A22" s="29" t="s">
        <v>41</v>
      </c>
      <c r="B22" s="29" t="s">
        <v>75</v>
      </c>
      <c r="C22" s="30">
        <f>C18+7</f>
        <v/>
      </c>
      <c r="D22" s="31" t="s">
        <v>60</v>
      </c>
      <c r="E22" s="531">
        <f>E23+E24</f>
        <v/>
      </c>
      <c r="F22" s="531">
        <f>F23+F24</f>
        <v/>
      </c>
      <c r="G22" s="33">
        <f>(E22-E18)/E18</f>
        <v/>
      </c>
      <c r="H22" s="33">
        <f>(E22-F22)/F22</f>
        <v/>
      </c>
      <c r="I22" s="531">
        <f>I23+I24</f>
        <v/>
      </c>
      <c r="J22" s="532">
        <f>J23+J24</f>
        <v/>
      </c>
      <c r="K22" s="33">
        <f>(I22-I18)/I18</f>
        <v/>
      </c>
      <c r="L22" s="33">
        <f>(I22-J22)/J22</f>
        <v/>
      </c>
      <c r="M22" s="532">
        <f>E22/I22</f>
        <v/>
      </c>
      <c r="N22" s="532">
        <f>F22/J22</f>
        <v/>
      </c>
      <c r="O22" s="33">
        <f>(M22-M18)/M18</f>
        <v/>
      </c>
      <c r="P22" s="33">
        <f>(M22-N22)/N22</f>
        <v/>
      </c>
      <c r="Q22" s="533">
        <f>Q23+Q24</f>
        <v/>
      </c>
      <c r="R22" s="533">
        <f>R23+R24</f>
        <v/>
      </c>
      <c r="S22" s="33">
        <f>(Q22-Q18)/Q18</f>
        <v/>
      </c>
      <c r="T22" s="33">
        <f>(Q22-R22)/R22</f>
        <v/>
      </c>
      <c r="U22" s="533">
        <f>U23+U24</f>
        <v/>
      </c>
      <c r="V22" s="533">
        <f>V23+V24</f>
        <v/>
      </c>
      <c r="W22" s="33">
        <f>(U22-U18)/U18</f>
        <v/>
      </c>
      <c r="X22" s="33">
        <f>(U22-V22)/V22</f>
        <v/>
      </c>
      <c r="Y22" s="88">
        <f>U22/Q22</f>
        <v/>
      </c>
      <c r="Z22" s="88">
        <f>V22/R22</f>
        <v/>
      </c>
      <c r="AA22" s="33">
        <f>(Y22-Y18)/Y18</f>
        <v/>
      </c>
      <c r="AB22" s="33">
        <f>(Y22-Z22)/Z22</f>
        <v/>
      </c>
      <c r="AC22" s="540">
        <f>E22/U22</f>
        <v/>
      </c>
      <c r="AD22" s="534">
        <f>F22/V22</f>
        <v/>
      </c>
      <c r="AE22" s="33">
        <f>(AC22-AC18)/AC18</f>
        <v/>
      </c>
      <c r="AF22" s="33">
        <f>(AC22-AD22)/AD22</f>
        <v/>
      </c>
      <c r="AG22" s="533">
        <f>AG23+AG24</f>
        <v/>
      </c>
      <c r="AH22" s="533">
        <f>AH23+AH24</f>
        <v/>
      </c>
      <c r="AI22" s="33">
        <f>(AG22-AG18)/AG18</f>
        <v/>
      </c>
      <c r="AJ22" s="33">
        <f>(AG22-AH22)/AH22</f>
        <v/>
      </c>
      <c r="AK22" s="533">
        <f>AK23+AK24</f>
        <v/>
      </c>
      <c r="AL22" s="533">
        <f>AL23+AL24</f>
        <v/>
      </c>
      <c r="AM22" s="150">
        <f>(AK22-AK18)/AK18</f>
        <v/>
      </c>
      <c r="AN22" s="431">
        <f>(AK22-AL22)/AL22</f>
        <v/>
      </c>
      <c r="AO22" s="33">
        <f>AG22/AK22</f>
        <v/>
      </c>
      <c r="AP22" s="33">
        <f>AH22/AL22</f>
        <v/>
      </c>
      <c r="AQ22" s="33">
        <f>(AO22-AO18)/AO18</f>
        <v/>
      </c>
      <c r="AR22" s="33">
        <f>(AO22-AP22)/AP22</f>
        <v/>
      </c>
      <c r="AS22" t="s">
        <v>76</v>
      </c>
    </row>
    <row customHeight="1" ht="15.75" r="23" s="452" spans="1:45">
      <c r="A23" s="260" t="s">
        <v>41</v>
      </c>
      <c r="B23" s="260" t="s">
        <v>75</v>
      </c>
      <c r="C23" s="261">
        <f>C19+7</f>
        <v/>
      </c>
      <c r="D23" s="260" t="s">
        <v>35</v>
      </c>
      <c r="E23" s="535" t="n">
        <v>8642</v>
      </c>
      <c r="F23" s="535" t="n">
        <v>3383</v>
      </c>
      <c r="G23" s="33">
        <f>(E23-E19)/E19</f>
        <v/>
      </c>
      <c r="H23" s="33">
        <f>(E23-F23)/F23</f>
        <v/>
      </c>
      <c r="I23" s="535">
        <f>589.75+41.8</f>
        <v/>
      </c>
      <c r="J23" s="536">
        <f>740.35+103.65</f>
        <v/>
      </c>
      <c r="K23" s="33">
        <f>(I23-I19)/I19</f>
        <v/>
      </c>
      <c r="L23" s="33">
        <f>(I23-J23)/J23</f>
        <v/>
      </c>
      <c r="M23" s="536">
        <f>E23/I23</f>
        <v/>
      </c>
      <c r="N23" s="536">
        <f>F23/J23</f>
        <v/>
      </c>
      <c r="O23" s="33">
        <f>(M23-M19)/M19</f>
        <v/>
      </c>
      <c r="P23" s="33">
        <f>(M23-N23)/N23</f>
        <v/>
      </c>
      <c r="Q23" s="537" t="n">
        <v>5762</v>
      </c>
      <c r="R23" s="537" t="n">
        <v>3013</v>
      </c>
      <c r="S23" s="33">
        <f>(Q23-Q19)/Q19</f>
        <v/>
      </c>
      <c r="T23" s="33">
        <f>(Q23-R23)/R23</f>
        <v/>
      </c>
      <c r="U23" s="537" t="n">
        <v>101</v>
      </c>
      <c r="V23" s="537" t="n">
        <v>37</v>
      </c>
      <c r="W23" s="33">
        <f>(U23-U19)/U19</f>
        <v/>
      </c>
      <c r="X23" s="33">
        <f>(U23-V23)/V23</f>
        <v/>
      </c>
      <c r="Y23" s="113">
        <f>U23/Q23</f>
        <v/>
      </c>
      <c r="Z23" s="113">
        <f>V23/R23</f>
        <v/>
      </c>
      <c r="AA23" s="33">
        <f>(Y23-Y19)/Y19</f>
        <v/>
      </c>
      <c r="AB23" s="33">
        <f>(Y23-Z23)/Z23</f>
        <v/>
      </c>
      <c r="AC23" s="529">
        <f>E23/U23</f>
        <v/>
      </c>
      <c r="AD23" s="534">
        <f>F23/V23</f>
        <v/>
      </c>
      <c r="AE23" s="33">
        <f>(AC23-AC19)/AC19</f>
        <v/>
      </c>
      <c r="AF23" s="33">
        <f>(AC23-AD23)/AD23</f>
        <v/>
      </c>
      <c r="AG23" s="537">
        <f>3970+174</f>
        <v/>
      </c>
      <c r="AH23" s="537">
        <f>2493+98</f>
        <v/>
      </c>
      <c r="AI23" s="33">
        <f>(AG23-AG19)/AG19</f>
        <v/>
      </c>
      <c r="AJ23" s="33">
        <f>(AG23-AH23)/AH23</f>
        <v/>
      </c>
      <c r="AK23" s="537">
        <f>10259+479</f>
        <v/>
      </c>
      <c r="AL23" s="537">
        <f>10934+275</f>
        <v/>
      </c>
      <c r="AM23" s="150">
        <f>(AK23-AK19)/AK19</f>
        <v/>
      </c>
      <c r="AN23" s="431">
        <f>(AK23-AL23)/AL23</f>
        <v/>
      </c>
      <c r="AO23" s="282">
        <f>AG23/AK23</f>
        <v/>
      </c>
      <c r="AP23" s="282">
        <f>AH23/AL23</f>
        <v/>
      </c>
      <c r="AQ23" s="33">
        <f>(AO23-AO19)/AO19</f>
        <v/>
      </c>
      <c r="AR23" s="33">
        <f>(AO23-AP23)/AP23</f>
        <v/>
      </c>
    </row>
    <row customHeight="1" ht="15.75" r="24" s="452" spans="1:45">
      <c r="A24" s="260" t="s">
        <v>41</v>
      </c>
      <c r="B24" s="260" t="s">
        <v>75</v>
      </c>
      <c r="C24" s="261">
        <f>C20+7</f>
        <v/>
      </c>
      <c r="D24" s="260" t="s">
        <v>36</v>
      </c>
      <c r="E24" s="535" t="n">
        <v>410</v>
      </c>
      <c r="F24" s="535" t="n">
        <v>746</v>
      </c>
      <c r="G24" s="33">
        <f>(E24-E20)/E20</f>
        <v/>
      </c>
      <c r="H24" s="33">
        <f>(E24-F24)/F24</f>
        <v/>
      </c>
      <c r="I24" s="535">
        <f>1185.01+146.3</f>
        <v/>
      </c>
      <c r="J24" s="536">
        <f>1335.11+7.08</f>
        <v/>
      </c>
      <c r="K24" s="33">
        <f>(I24-I20)/I20</f>
        <v/>
      </c>
      <c r="L24" s="33">
        <f>(I24-J24)/J24</f>
        <v/>
      </c>
      <c r="M24" s="536">
        <f>E24/I24</f>
        <v/>
      </c>
      <c r="N24" s="536">
        <f>F24/J24</f>
        <v/>
      </c>
      <c r="O24" s="33">
        <f>(M24-M20)/M20</f>
        <v/>
      </c>
      <c r="P24" s="33">
        <f>(M24-N24)/N24</f>
        <v/>
      </c>
      <c r="Q24" s="537" t="n">
        <v>1184</v>
      </c>
      <c r="R24" s="537" t="n">
        <v>1502</v>
      </c>
      <c r="S24" s="33">
        <f>(Q24-Q20)/Q20</f>
        <v/>
      </c>
      <c r="T24" s="33">
        <f>(Q24-R24)/R24</f>
        <v/>
      </c>
      <c r="U24" s="537" t="n">
        <v>6</v>
      </c>
      <c r="V24" s="537" t="n">
        <v>11</v>
      </c>
      <c r="W24" s="33">
        <f>(U24-U20)/U20</f>
        <v/>
      </c>
      <c r="X24" s="33">
        <f>(U24-V24)/V24</f>
        <v/>
      </c>
      <c r="Y24" s="113">
        <f>U24/Q24</f>
        <v/>
      </c>
      <c r="Z24" s="113">
        <f>V24/R24</f>
        <v/>
      </c>
      <c r="AA24" s="33">
        <f>(Y24-Y20)/Y20</f>
        <v/>
      </c>
      <c r="AB24" s="33">
        <f>(Y24-Z24)/Z24</f>
        <v/>
      </c>
      <c r="AC24" s="529">
        <f>E24/U24</f>
        <v/>
      </c>
      <c r="AD24" s="534">
        <f>F24/V24</f>
        <v/>
      </c>
      <c r="AE24" s="33">
        <f>(AC24-AC20)/AC20</f>
        <v/>
      </c>
      <c r="AF24" s="33">
        <f>(AC24-AD24)/AD24</f>
        <v/>
      </c>
      <c r="AG24" s="537">
        <f>915+172</f>
        <v/>
      </c>
      <c r="AH24" s="537">
        <f>1452+7</f>
        <v/>
      </c>
      <c r="AI24" s="33">
        <f>(AG24-AG20)/AG20</f>
        <v/>
      </c>
      <c r="AJ24" s="33">
        <f>(AG24-AH24)/AH24</f>
        <v/>
      </c>
      <c r="AK24" s="537">
        <f>13488+2425</f>
        <v/>
      </c>
      <c r="AL24" s="537">
        <f>23833+373</f>
        <v/>
      </c>
      <c r="AM24" s="150">
        <f>(AK24-AK20)/AK20</f>
        <v/>
      </c>
      <c r="AN24" s="431">
        <f>(AK24-AL24)/AL24</f>
        <v/>
      </c>
      <c r="AO24" s="282">
        <f>AG24/AK24</f>
        <v/>
      </c>
      <c r="AP24" s="282">
        <f>AH24/AL24</f>
        <v/>
      </c>
      <c r="AQ24" s="33">
        <f>(AO24-AO20)/AO20</f>
        <v/>
      </c>
      <c r="AR24" s="33">
        <f>(AO24-AP24)/AP24</f>
        <v/>
      </c>
    </row>
    <row customHeight="1" ht="15.75" r="25" s="452" spans="1:45">
      <c r="A25" s="260" t="s">
        <v>41</v>
      </c>
      <c r="B25" s="260" t="s">
        <v>75</v>
      </c>
      <c r="C25" s="261">
        <f>C21+7</f>
        <v/>
      </c>
      <c r="D25" s="260" t="s">
        <v>37</v>
      </c>
      <c r="E25" s="535" t="n"/>
      <c r="F25" s="535" t="n"/>
      <c r="G25" s="33">
        <f>(E25-E21)/E21</f>
        <v/>
      </c>
      <c r="H25" s="33">
        <f>(E25-F25)/F25</f>
        <v/>
      </c>
      <c r="I25" s="535" t="n"/>
      <c r="J25" s="536" t="n"/>
      <c r="K25" s="33">
        <f>(I25-I21)/I21</f>
        <v/>
      </c>
      <c r="L25" s="33">
        <f>(I25-J25)/J25</f>
        <v/>
      </c>
      <c r="M25" s="536" t="n"/>
      <c r="N25" s="536" t="n"/>
      <c r="O25" s="33">
        <f>(M25-M21)/M21</f>
        <v/>
      </c>
      <c r="P25" s="33">
        <f>(M25-N25)/N25</f>
        <v/>
      </c>
      <c r="Q25" s="537" t="n"/>
      <c r="R25" s="537" t="n"/>
      <c r="S25" s="33">
        <f>(Q25-Q21)/Q21</f>
        <v/>
      </c>
      <c r="T25" s="33">
        <f>(Q25-R25)/R25</f>
        <v/>
      </c>
      <c r="U25" s="537" t="n"/>
      <c r="V25" s="537" t="n"/>
      <c r="W25" s="33">
        <f>(U25-U21)/U21</f>
        <v/>
      </c>
      <c r="X25" s="33">
        <f>(U25-V25)/V25</f>
        <v/>
      </c>
      <c r="Y25" s="113" t="n"/>
      <c r="Z25" s="113" t="n"/>
      <c r="AA25" s="33">
        <f>(Y25-Y21)/Y21</f>
        <v/>
      </c>
      <c r="AB25" s="33">
        <f>(Y25-Z25)/Z25</f>
        <v/>
      </c>
      <c r="AC25" s="529" t="n"/>
      <c r="AD25" s="534" t="n"/>
      <c r="AE25" s="33">
        <f>(AC25-AC21)/AC21</f>
        <v/>
      </c>
      <c r="AF25" s="33">
        <f>(AC25-AD25)/AD25</f>
        <v/>
      </c>
      <c r="AG25" s="537" t="n"/>
      <c r="AH25" s="537" t="n"/>
      <c r="AI25" s="33">
        <f>(AG25-AG21)/AG21</f>
        <v/>
      </c>
      <c r="AJ25" s="33">
        <f>(AG25-AH25)/AH25</f>
        <v/>
      </c>
      <c r="AK25" s="537" t="n"/>
      <c r="AL25" s="537" t="n"/>
      <c r="AM25" s="150">
        <f>(AK25-AK21)/AK21</f>
        <v/>
      </c>
      <c r="AN25" s="431">
        <f>(AK25-AL25)/AL25</f>
        <v/>
      </c>
      <c r="AO25" s="282" t="n"/>
      <c r="AP25" s="282" t="n"/>
      <c r="AQ25" s="33">
        <f>(AO25-AO21)/AO21</f>
        <v/>
      </c>
      <c r="AR25" s="33">
        <f>(AO25-AP25)/AP25</f>
        <v/>
      </c>
    </row>
    <row customHeight="1" ht="15.75" r="26" s="452" spans="1:45">
      <c r="A26" s="29" t="s">
        <v>41</v>
      </c>
      <c r="B26" s="29" t="s">
        <v>77</v>
      </c>
      <c r="C26" s="30">
        <f>C22+7</f>
        <v/>
      </c>
      <c r="D26" s="31" t="s">
        <v>60</v>
      </c>
      <c r="E26" s="531">
        <f>E27+E28</f>
        <v/>
      </c>
      <c r="F26" s="531">
        <f>F27+F28</f>
        <v/>
      </c>
      <c r="G26" s="33">
        <f>(E26-E22)/E22</f>
        <v/>
      </c>
      <c r="H26" s="33">
        <f>(E26-F26)/F26</f>
        <v/>
      </c>
      <c r="I26" s="531">
        <f>I27+I28</f>
        <v/>
      </c>
      <c r="J26" s="532">
        <f>J27+J28</f>
        <v/>
      </c>
      <c r="K26" s="33">
        <f>(I26-I22)/I22</f>
        <v/>
      </c>
      <c r="L26" s="33">
        <f>(I26-J26)/J26</f>
        <v/>
      </c>
      <c r="M26" s="532">
        <f>E26/I26</f>
        <v/>
      </c>
      <c r="N26" s="532">
        <f>F26/J26</f>
        <v/>
      </c>
      <c r="O26" s="33">
        <f>(M26-M22)/M22</f>
        <v/>
      </c>
      <c r="P26" s="33">
        <f>(M26-N26)/N26</f>
        <v/>
      </c>
      <c r="Q26" s="533">
        <f>Q27+Q28</f>
        <v/>
      </c>
      <c r="R26" s="533">
        <f>R27+R28</f>
        <v/>
      </c>
      <c r="S26" s="33">
        <f>(Q26-Q22)/Q22</f>
        <v/>
      </c>
      <c r="T26" s="33">
        <f>(Q26-R26)/R26</f>
        <v/>
      </c>
      <c r="U26" s="533">
        <f>U27+U28</f>
        <v/>
      </c>
      <c r="V26" s="533">
        <f>V27+V28</f>
        <v/>
      </c>
      <c r="W26" s="33">
        <f>(U26-U22)/U22</f>
        <v/>
      </c>
      <c r="X26" s="33">
        <f>(U26-V26)/V26</f>
        <v/>
      </c>
      <c r="Y26" s="88">
        <f>U26/Q26</f>
        <v/>
      </c>
      <c r="Z26" s="88">
        <f>V26/R26</f>
        <v/>
      </c>
      <c r="AA26" s="33">
        <f>(Y26-Y22)/Y22</f>
        <v/>
      </c>
      <c r="AB26" s="33">
        <f>(Y26-Z26)/Z26</f>
        <v/>
      </c>
      <c r="AC26" s="540">
        <f>E26/U26</f>
        <v/>
      </c>
      <c r="AD26" s="534">
        <f>F26/V26</f>
        <v/>
      </c>
      <c r="AE26" s="33">
        <f>(AC26-AC22)/AC22</f>
        <v/>
      </c>
      <c r="AF26" s="33">
        <f>(AC26-AD26)/AD26</f>
        <v/>
      </c>
      <c r="AG26" s="533">
        <f>AG27+AG28</f>
        <v/>
      </c>
      <c r="AH26" s="533">
        <f>AH27+AH28</f>
        <v/>
      </c>
      <c r="AI26" s="33">
        <f>(AG26-AG22)/AG22</f>
        <v/>
      </c>
      <c r="AJ26" s="33">
        <f>(AG26-AH26)/AH26</f>
        <v/>
      </c>
      <c r="AK26" s="533">
        <f>AK27+AK28</f>
        <v/>
      </c>
      <c r="AL26" s="533">
        <f>AL27+AL28</f>
        <v/>
      </c>
      <c r="AM26" s="150">
        <f>(AK26-AK22)/AK22</f>
        <v/>
      </c>
      <c r="AN26" s="431">
        <f>(AK26-AL26)/AL26</f>
        <v/>
      </c>
      <c r="AO26" s="33">
        <f>AG26/AK26</f>
        <v/>
      </c>
      <c r="AP26" s="33">
        <f>AH26/AL26</f>
        <v/>
      </c>
      <c r="AQ26" s="33">
        <f>(AO26-AO22)/AO22</f>
        <v/>
      </c>
      <c r="AR26" s="33">
        <f>(AO26-AP26)/AP26</f>
        <v/>
      </c>
      <c r="AS26" t="s">
        <v>78</v>
      </c>
    </row>
    <row customHeight="1" ht="15.75" r="27" s="452" spans="1:45">
      <c r="A27" s="260" t="s">
        <v>41</v>
      </c>
      <c r="B27" s="260" t="s">
        <v>77</v>
      </c>
      <c r="C27" s="261">
        <f>C23+7</f>
        <v/>
      </c>
      <c r="D27" s="260" t="s">
        <v>35</v>
      </c>
      <c r="E27" s="535" t="n">
        <v>33368</v>
      </c>
      <c r="F27" s="535">
        <f>1896</f>
        <v/>
      </c>
      <c r="G27" s="33">
        <f>(E27-E23)/E23</f>
        <v/>
      </c>
      <c r="H27" s="33">
        <f>(E27-F27)/F27</f>
        <v/>
      </c>
      <c r="I27" s="535">
        <f>712.1+55.67</f>
        <v/>
      </c>
      <c r="J27" s="536">
        <f>631.88+63.45</f>
        <v/>
      </c>
      <c r="K27" s="33">
        <f>(I27-I23)/I23</f>
        <v/>
      </c>
      <c r="L27" s="33">
        <f>(I27-J27)/J27</f>
        <v/>
      </c>
      <c r="M27" s="536">
        <f>E27/I27</f>
        <v/>
      </c>
      <c r="N27" s="536">
        <f>F27/J27</f>
        <v/>
      </c>
      <c r="O27" s="33">
        <f>(M27-M23)/M23</f>
        <v/>
      </c>
      <c r="P27" s="33">
        <f>(M27-N27)/N27</f>
        <v/>
      </c>
      <c r="Q27" s="537" t="n">
        <v>7124</v>
      </c>
      <c r="R27" s="537" t="n">
        <v>3299</v>
      </c>
      <c r="S27" s="33">
        <f>(Q27-Q23)/Q23</f>
        <v/>
      </c>
      <c r="T27" s="33">
        <f>(Q27-R27)/R27</f>
        <v/>
      </c>
      <c r="U27" s="537" t="n">
        <v>239</v>
      </c>
      <c r="V27" s="537" t="n">
        <v>17</v>
      </c>
      <c r="W27" s="33">
        <f>(U27-U23)/U23</f>
        <v/>
      </c>
      <c r="X27" s="33">
        <f>(U27-V27)/V27</f>
        <v/>
      </c>
      <c r="Y27" s="113">
        <f>U27/Q27</f>
        <v/>
      </c>
      <c r="Z27" s="113">
        <f>V27/R27</f>
        <v/>
      </c>
      <c r="AA27" s="33">
        <f>(Y27-Y23)/Y23</f>
        <v/>
      </c>
      <c r="AB27" s="33">
        <f>(Y27-Z27)/Z27</f>
        <v/>
      </c>
      <c r="AC27" s="529">
        <f>E27/U27</f>
        <v/>
      </c>
      <c r="AD27" s="534">
        <f>F27/V27</f>
        <v/>
      </c>
      <c r="AE27" s="33">
        <f>(AC27-AC23)/AC23</f>
        <v/>
      </c>
      <c r="AF27" s="33">
        <f>(AC27-AD27)/AD27</f>
        <v/>
      </c>
      <c r="AG27" s="537">
        <f>4960+225</f>
        <v/>
      </c>
      <c r="AH27" s="537">
        <f>3092+183</f>
        <v/>
      </c>
      <c r="AI27" s="33">
        <f>(AG27-AG23)/AG23</f>
        <v/>
      </c>
      <c r="AJ27" s="33">
        <f>(AG27-AH27)/AH27</f>
        <v/>
      </c>
      <c r="AK27" s="537">
        <f>12434+578</f>
        <v/>
      </c>
      <c r="AL27" s="537">
        <f>11529+703</f>
        <v/>
      </c>
      <c r="AM27" s="150">
        <f>(AK27-AK23)/AK23</f>
        <v/>
      </c>
      <c r="AN27" s="431">
        <f>(AK27-AL27)/AL27</f>
        <v/>
      </c>
      <c r="AO27" s="282">
        <f>AG27/AK27</f>
        <v/>
      </c>
      <c r="AP27" s="282">
        <f>AH27/AL27</f>
        <v/>
      </c>
      <c r="AQ27" s="33">
        <f>(AO27-AO23)/AO23</f>
        <v/>
      </c>
      <c r="AR27" s="33">
        <f>(AO27-AP27)/AP27</f>
        <v/>
      </c>
    </row>
    <row customHeight="1" ht="15.75" r="28" s="452" spans="1:45">
      <c r="A28" s="260" t="s">
        <v>41</v>
      </c>
      <c r="B28" s="260" t="s">
        <v>77</v>
      </c>
      <c r="C28" s="261">
        <f>C24+7</f>
        <v/>
      </c>
      <c r="D28" s="260" t="s">
        <v>36</v>
      </c>
      <c r="E28" s="535" t="n">
        <v>954</v>
      </c>
      <c r="F28" s="535" t="n">
        <v>261</v>
      </c>
      <c r="G28" s="33">
        <f>(E28-E24)/E24</f>
        <v/>
      </c>
      <c r="H28" s="33">
        <f>(E28-F28)/F28</f>
        <v/>
      </c>
      <c r="I28" s="535">
        <f>1395.99+174.04</f>
        <v/>
      </c>
      <c r="J28" s="536">
        <f>1582.44+8.2</f>
        <v/>
      </c>
      <c r="K28" s="33">
        <f>(I28-I24)/I24</f>
        <v/>
      </c>
      <c r="L28" s="33">
        <f>(I28-J28)/J28</f>
        <v/>
      </c>
      <c r="M28" s="536">
        <f>E28/I28</f>
        <v/>
      </c>
      <c r="N28" s="536">
        <f>F28/J28</f>
        <v/>
      </c>
      <c r="O28" s="33">
        <f>(M28-M24)/M24</f>
        <v/>
      </c>
      <c r="P28" s="33">
        <f>(M28-N28)/N28</f>
        <v/>
      </c>
      <c r="Q28" s="537" t="n">
        <v>1362</v>
      </c>
      <c r="R28" s="537">
        <f>1760</f>
        <v/>
      </c>
      <c r="S28" s="33">
        <f>(Q28-Q24)/Q24</f>
        <v/>
      </c>
      <c r="T28" s="33">
        <f>(Q28-R28)/R28</f>
        <v/>
      </c>
      <c r="U28" s="537" t="n">
        <v>9</v>
      </c>
      <c r="V28" s="537" t="n">
        <v>3</v>
      </c>
      <c r="W28" s="33">
        <f>(U28-U24)/U24</f>
        <v/>
      </c>
      <c r="X28" s="33">
        <f>(U28-V28)/V28</f>
        <v/>
      </c>
      <c r="Y28" s="113">
        <f>U28/Q28</f>
        <v/>
      </c>
      <c r="Z28" s="113">
        <f>V28/R28</f>
        <v/>
      </c>
      <c r="AA28" s="33">
        <f>(Y28-Y24)/Y24</f>
        <v/>
      </c>
      <c r="AB28" s="33">
        <f>(Y28-Z28)/Z28</f>
        <v/>
      </c>
      <c r="AC28" s="529">
        <f>E28/U28</f>
        <v/>
      </c>
      <c r="AD28" s="534">
        <f>F28/V28</f>
        <v/>
      </c>
      <c r="AE28" s="33">
        <f>(AC28-AC24)/AC24</f>
        <v/>
      </c>
      <c r="AF28" s="33">
        <f>(AC28-AD28)/AD28</f>
        <v/>
      </c>
      <c r="AG28" s="537">
        <f>1098+207</f>
        <v/>
      </c>
      <c r="AH28" s="537">
        <f>1674+7</f>
        <v/>
      </c>
      <c r="AI28" s="33">
        <f>(AG28-AG24)/AG24</f>
        <v/>
      </c>
      <c r="AJ28" s="33">
        <f>(AG28-AH28)/AH28</f>
        <v/>
      </c>
      <c r="AK28" s="537">
        <f>17294+2243</f>
        <v/>
      </c>
      <c r="AL28" s="537">
        <f>27590+480</f>
        <v/>
      </c>
      <c r="AM28" s="150">
        <f>(AK28-AK24)/AK24</f>
        <v/>
      </c>
      <c r="AN28" s="431">
        <f>(AK28-AL28)/AL28</f>
        <v/>
      </c>
      <c r="AO28" s="282">
        <f>AG28/AK28</f>
        <v/>
      </c>
      <c r="AP28" s="282">
        <f>AH28/AL28</f>
        <v/>
      </c>
      <c r="AQ28" s="33">
        <f>(AO28-AO24)/AO24</f>
        <v/>
      </c>
      <c r="AR28" s="33">
        <f>(AO28-AP28)/AP28</f>
        <v/>
      </c>
    </row>
    <row customHeight="1" ht="15.75" r="29" s="452" spans="1:45">
      <c r="A29" s="260" t="s">
        <v>41</v>
      </c>
      <c r="B29" s="260" t="s">
        <v>77</v>
      </c>
      <c r="C29" s="261">
        <f>C25+7</f>
        <v/>
      </c>
      <c r="D29" s="260" t="s">
        <v>37</v>
      </c>
      <c r="E29" s="535" t="n"/>
      <c r="F29" s="535" t="n"/>
      <c r="G29" s="33">
        <f>(E29-E25)/E25</f>
        <v/>
      </c>
      <c r="H29" s="33">
        <f>(E29-F29)/F29</f>
        <v/>
      </c>
      <c r="I29" s="535" t="n"/>
      <c r="J29" s="536" t="n"/>
      <c r="K29" s="33">
        <f>(I29-I25)/I25</f>
        <v/>
      </c>
      <c r="L29" s="33">
        <f>(I29-J29)/J29</f>
        <v/>
      </c>
      <c r="M29" s="536" t="n"/>
      <c r="N29" s="536" t="n"/>
      <c r="O29" s="33">
        <f>(M29-M25)/M25</f>
        <v/>
      </c>
      <c r="P29" s="33">
        <f>(M29-N29)/N29</f>
        <v/>
      </c>
      <c r="Q29" s="537" t="n"/>
      <c r="R29" s="537" t="n"/>
      <c r="S29" s="33">
        <f>(Q29-Q25)/Q25</f>
        <v/>
      </c>
      <c r="T29" s="33">
        <f>(Q29-R29)/R29</f>
        <v/>
      </c>
      <c r="U29" s="537" t="n"/>
      <c r="V29" s="537" t="n"/>
      <c r="W29" s="33">
        <f>(U29-U25)/U25</f>
        <v/>
      </c>
      <c r="X29" s="33">
        <f>(U29-V29)/V29</f>
        <v/>
      </c>
      <c r="Y29" s="113" t="n"/>
      <c r="Z29" s="113" t="n"/>
      <c r="AA29" s="33">
        <f>(Y29-Y25)/Y25</f>
        <v/>
      </c>
      <c r="AB29" s="33">
        <f>(Y29-Z29)/Z29</f>
        <v/>
      </c>
      <c r="AC29" s="529" t="n"/>
      <c r="AD29" s="534" t="n"/>
      <c r="AE29" s="33">
        <f>(AC29-AC25)/AC25</f>
        <v/>
      </c>
      <c r="AF29" s="33">
        <f>(AC29-AD29)/AD29</f>
        <v/>
      </c>
      <c r="AG29" s="537" t="n"/>
      <c r="AH29" s="537" t="n"/>
      <c r="AI29" s="33">
        <f>(AG29-AG25)/AG25</f>
        <v/>
      </c>
      <c r="AJ29" s="33">
        <f>(AG29-AH29)/AH29</f>
        <v/>
      </c>
      <c r="AK29" s="537" t="n"/>
      <c r="AL29" s="537" t="n"/>
      <c r="AM29" s="150">
        <f>(AK29-AK25)/AK25</f>
        <v/>
      </c>
      <c r="AN29" s="431">
        <f>(AK29-AL29)/AL29</f>
        <v/>
      </c>
      <c r="AO29" s="282" t="n"/>
      <c r="AP29" s="282" t="n"/>
      <c r="AQ29" s="33">
        <f>(AO29-AO25)/AO25</f>
        <v/>
      </c>
      <c r="AR29" s="33">
        <f>(AO29-AP29)/AP29</f>
        <v/>
      </c>
    </row>
    <row customHeight="1" ht="15.75" r="30" s="452" spans="1:45">
      <c r="A30" s="29" t="s">
        <v>41</v>
      </c>
      <c r="B30" s="29" t="s">
        <v>79</v>
      </c>
      <c r="C30" s="30">
        <f>C26+7</f>
        <v/>
      </c>
      <c r="D30" s="31" t="s">
        <v>60</v>
      </c>
      <c r="E30" s="531">
        <f>E31+E32</f>
        <v/>
      </c>
      <c r="F30" s="531">
        <f>F31+F32</f>
        <v/>
      </c>
      <c r="G30" s="33">
        <f>(E30-E26)/E26</f>
        <v/>
      </c>
      <c r="H30" s="33">
        <f>(E30-F30)/F30</f>
        <v/>
      </c>
      <c r="I30" s="531">
        <f>I31+I32</f>
        <v/>
      </c>
      <c r="J30" s="532">
        <f>J31+J32</f>
        <v/>
      </c>
      <c r="K30" s="33">
        <f>(I30-I26)/I26</f>
        <v/>
      </c>
      <c r="L30" s="33">
        <f>(I30-J30)/J30</f>
        <v/>
      </c>
      <c r="M30" s="532">
        <f>E30/I30</f>
        <v/>
      </c>
      <c r="N30" s="532">
        <f>F30/J30</f>
        <v/>
      </c>
      <c r="O30" s="33">
        <f>(M30-M26)/M26</f>
        <v/>
      </c>
      <c r="P30" s="33">
        <f>(M30-N30)/N30</f>
        <v/>
      </c>
      <c r="Q30" s="533">
        <f>Q31+Q32</f>
        <v/>
      </c>
      <c r="R30" s="533">
        <f>R31+R32</f>
        <v/>
      </c>
      <c r="S30" s="33">
        <f>(Q30-Q26)/Q26</f>
        <v/>
      </c>
      <c r="T30" s="33">
        <f>(Q30-R30)/R30</f>
        <v/>
      </c>
      <c r="U30" s="533">
        <f>U31+U32</f>
        <v/>
      </c>
      <c r="V30" s="533">
        <f>V31+V32</f>
        <v/>
      </c>
      <c r="W30" s="33">
        <f>(U30-U26)/U26</f>
        <v/>
      </c>
      <c r="X30" s="33">
        <f>(U30-V30)/V30</f>
        <v/>
      </c>
      <c r="Y30" s="88">
        <f>U30/Q30</f>
        <v/>
      </c>
      <c r="Z30" s="88">
        <f>V30/R30</f>
        <v/>
      </c>
      <c r="AA30" s="33">
        <f>(Y30-Y26)/Y26</f>
        <v/>
      </c>
      <c r="AB30" s="33">
        <f>(Y30-Z30)/Z30</f>
        <v/>
      </c>
      <c r="AC30" s="540">
        <f>E30/U30</f>
        <v/>
      </c>
      <c r="AD30" s="534">
        <f>F30/V30</f>
        <v/>
      </c>
      <c r="AE30" s="33">
        <f>(AC30-AC26)/AC26</f>
        <v/>
      </c>
      <c r="AF30" s="33">
        <f>(AC30-AD30)/AD30</f>
        <v/>
      </c>
      <c r="AG30" s="533">
        <f>AG31+AG32</f>
        <v/>
      </c>
      <c r="AH30" s="533">
        <f>AH31+AH32</f>
        <v/>
      </c>
      <c r="AI30" s="33">
        <f>(AG30-AG26)/AG26</f>
        <v/>
      </c>
      <c r="AJ30" s="33">
        <f>(AG30-AH30)/AH30</f>
        <v/>
      </c>
      <c r="AK30" s="533">
        <f>AK31+AK32</f>
        <v/>
      </c>
      <c r="AL30" s="533">
        <f>AL31+AL32</f>
        <v/>
      </c>
      <c r="AM30" s="150">
        <f>(AK30-AK26)/AK26</f>
        <v/>
      </c>
      <c r="AN30" s="431">
        <f>(AK30-AL30)/AL30</f>
        <v/>
      </c>
      <c r="AO30" s="33">
        <f>AG30/AK30</f>
        <v/>
      </c>
      <c r="AP30" s="33">
        <f>AH30/AL30</f>
        <v/>
      </c>
      <c r="AQ30" s="33">
        <f>(AO30-AO26)/AO26</f>
        <v/>
      </c>
      <c r="AR30" s="33">
        <f>(AO30-AP30)/AP30</f>
        <v/>
      </c>
      <c r="AS30" t="s">
        <v>72</v>
      </c>
    </row>
    <row customHeight="1" ht="15.75" r="31" s="452" spans="1:45">
      <c r="A31" s="260" t="s">
        <v>41</v>
      </c>
      <c r="B31" s="260" t="s">
        <v>79</v>
      </c>
      <c r="C31" s="261">
        <f>C27+7</f>
        <v/>
      </c>
      <c r="D31" s="260" t="s">
        <v>35</v>
      </c>
      <c r="E31" s="535" t="n">
        <v>8172</v>
      </c>
      <c r="F31" s="535">
        <f>5785</f>
        <v/>
      </c>
      <c r="G31" s="33">
        <f>(E31-E27)/E27</f>
        <v/>
      </c>
      <c r="H31" s="33">
        <f>(E31-F31)/F31</f>
        <v/>
      </c>
      <c r="I31" s="535">
        <f>493.06+29.09</f>
        <v/>
      </c>
      <c r="J31" s="536">
        <f>474.17+111.15</f>
        <v/>
      </c>
      <c r="K31" s="33">
        <f>(I31-I27)/I27</f>
        <v/>
      </c>
      <c r="L31" s="33">
        <f>(I31-J31)/J31</f>
        <v/>
      </c>
      <c r="M31" s="536">
        <f>E31/I31</f>
        <v/>
      </c>
      <c r="N31" s="536">
        <f>F31/J31</f>
        <v/>
      </c>
      <c r="O31" s="33">
        <f>(M31-M27)/M27</f>
        <v/>
      </c>
      <c r="P31" s="33">
        <f>(M31-N31)/N31</f>
        <v/>
      </c>
      <c r="Q31" s="537" t="n">
        <v>5299</v>
      </c>
      <c r="R31" s="537">
        <f>3440</f>
        <v/>
      </c>
      <c r="S31" s="33">
        <f>(Q31-Q27)/Q27</f>
        <v/>
      </c>
      <c r="T31" s="33">
        <f>(Q31-R31)/R31</f>
        <v/>
      </c>
      <c r="U31" s="537" t="n">
        <v>83</v>
      </c>
      <c r="V31" s="537">
        <f>46</f>
        <v/>
      </c>
      <c r="W31" s="33">
        <f>(U31-U27)/U27</f>
        <v/>
      </c>
      <c r="X31" s="33">
        <f>(U31-V31)/V31</f>
        <v/>
      </c>
      <c r="Y31" s="113">
        <f>U31/Q31</f>
        <v/>
      </c>
      <c r="Z31" s="113">
        <f>V31/R31</f>
        <v/>
      </c>
      <c r="AA31" s="33">
        <f>(Y31-Y27)/Y27</f>
        <v/>
      </c>
      <c r="AB31" s="33">
        <f>(Y31-Z31)/Z31</f>
        <v/>
      </c>
      <c r="AC31" s="529">
        <f>E31/U31</f>
        <v/>
      </c>
      <c r="AD31" s="534">
        <f>F31/V31</f>
        <v/>
      </c>
      <c r="AE31" s="33">
        <f>(AC31-AC27)/AC27</f>
        <v/>
      </c>
      <c r="AF31" s="33">
        <f>(AC31-AD31)/AD31</f>
        <v/>
      </c>
      <c r="AG31" s="537">
        <f>3523+143</f>
        <v/>
      </c>
      <c r="AH31" s="537">
        <f>2826+313</f>
        <v/>
      </c>
      <c r="AI31" s="33">
        <f>(AG31-AG27)/AG27</f>
        <v/>
      </c>
      <c r="AJ31" s="33">
        <f>(AG31-AH31)/AH31</f>
        <v/>
      </c>
      <c r="AK31" s="537">
        <f>9637+391</f>
        <v/>
      </c>
      <c r="AL31" s="537">
        <f>9316+1479</f>
        <v/>
      </c>
      <c r="AM31" s="150">
        <f>(AK31-AK27)/AK27</f>
        <v/>
      </c>
      <c r="AN31" s="431">
        <f>(AK31-AL31)/AL31</f>
        <v/>
      </c>
      <c r="AO31" s="282">
        <f>AG31/AK31</f>
        <v/>
      </c>
      <c r="AP31" s="282">
        <f>AH31/AL31</f>
        <v/>
      </c>
      <c r="AQ31" s="33">
        <f>(AO31-AO27)/AO27</f>
        <v/>
      </c>
      <c r="AR31" s="33">
        <f>(AO31-AP31)/AP31</f>
        <v/>
      </c>
    </row>
    <row customHeight="1" ht="15.75" r="32" s="452" spans="1:45">
      <c r="A32" s="260" t="s">
        <v>41</v>
      </c>
      <c r="B32" s="260" t="s">
        <v>79</v>
      </c>
      <c r="C32" s="261">
        <f>C28+7</f>
        <v/>
      </c>
      <c r="D32" s="260" t="s">
        <v>36</v>
      </c>
      <c r="E32" s="535" t="n">
        <v>991</v>
      </c>
      <c r="F32" s="535">
        <f>371</f>
        <v/>
      </c>
      <c r="G32" s="33">
        <f>(E32-E28)/E28</f>
        <v/>
      </c>
      <c r="H32" s="33">
        <f>(E32-F32)/F32</f>
        <v/>
      </c>
      <c r="I32" s="535">
        <f>1393.91+144.38</f>
        <v/>
      </c>
      <c r="J32" s="536">
        <f>1634.38+54.72</f>
        <v/>
      </c>
      <c r="K32" s="33">
        <f>(I32-I28)/I28</f>
        <v/>
      </c>
      <c r="L32" s="33">
        <f>(I32-J32)/J32</f>
        <v/>
      </c>
      <c r="M32" s="536">
        <f>E32/I32</f>
        <v/>
      </c>
      <c r="N32" s="536">
        <f>F32/J32</f>
        <v/>
      </c>
      <c r="O32" s="33">
        <f>(M32-M28)/M28</f>
        <v/>
      </c>
      <c r="P32" s="33">
        <f>(M32-N32)/N32</f>
        <v/>
      </c>
      <c r="Q32" s="537" t="n">
        <v>1400</v>
      </c>
      <c r="R32" s="537">
        <f>1865</f>
        <v/>
      </c>
      <c r="S32" s="33">
        <f>(Q32-Q28)/Q28</f>
        <v/>
      </c>
      <c r="T32" s="33">
        <f>(Q32-R32)/R32</f>
        <v/>
      </c>
      <c r="U32" s="537" t="n">
        <v>6</v>
      </c>
      <c r="V32" s="537">
        <f>6</f>
        <v/>
      </c>
      <c r="W32" s="33">
        <f>(U32-U28)/U28</f>
        <v/>
      </c>
      <c r="X32" s="33">
        <f>(U32-V32)/V32</f>
        <v/>
      </c>
      <c r="Y32" s="113">
        <f>U32/Q32</f>
        <v/>
      </c>
      <c r="Z32" s="113">
        <f>V32/R32</f>
        <v/>
      </c>
      <c r="AA32" s="33">
        <f>(Y32-Y28)/Y28</f>
        <v/>
      </c>
      <c r="AB32" s="33">
        <f>(Y32-Z32)/Z32</f>
        <v/>
      </c>
      <c r="AC32" s="529">
        <f>E32/U32</f>
        <v/>
      </c>
      <c r="AD32" s="534">
        <f>F32/V32</f>
        <v/>
      </c>
      <c r="AE32" s="33">
        <f>(AC32-AC28)/AC28</f>
        <v/>
      </c>
      <c r="AF32" s="33">
        <f>(AC32-AD32)/AD32</f>
        <v/>
      </c>
      <c r="AG32" s="537">
        <f>1143+169</f>
        <v/>
      </c>
      <c r="AH32" s="537">
        <f>1790+65</f>
        <v/>
      </c>
      <c r="AI32" s="33">
        <f>(AG32-AG28)/AG28</f>
        <v/>
      </c>
      <c r="AJ32" s="33">
        <f>(AG32-AH32)/AH32</f>
        <v/>
      </c>
      <c r="AK32" s="537">
        <f>17619+2153</f>
        <v/>
      </c>
      <c r="AL32" s="537">
        <f>27557+1785</f>
        <v/>
      </c>
      <c r="AM32" s="150">
        <f>(AK32-AK28)/AK28</f>
        <v/>
      </c>
      <c r="AN32" s="431">
        <f>(AK32-AL32)/AL32</f>
        <v/>
      </c>
      <c r="AO32" s="282">
        <f>AG32/AK32</f>
        <v/>
      </c>
      <c r="AP32" s="282">
        <f>AH32/AL32</f>
        <v/>
      </c>
      <c r="AQ32" s="33">
        <f>(AO32-AO28)/AO28</f>
        <v/>
      </c>
      <c r="AR32" s="33">
        <f>(AO32-AP32)/AP32</f>
        <v/>
      </c>
    </row>
    <row customHeight="1" ht="15.75" r="33" s="452" spans="1:45">
      <c r="A33" s="260" t="s">
        <v>41</v>
      </c>
      <c r="B33" s="260" t="s">
        <v>79</v>
      </c>
      <c r="C33" s="261">
        <f>C29+7</f>
        <v/>
      </c>
      <c r="D33" s="260" t="s">
        <v>37</v>
      </c>
      <c r="E33" s="535" t="n"/>
      <c r="F33" s="535" t="n"/>
      <c r="G33" s="33">
        <f>(E33-E29)/E29</f>
        <v/>
      </c>
      <c r="H33" s="33">
        <f>(E33-F33)/F33</f>
        <v/>
      </c>
      <c r="I33" s="535" t="n"/>
      <c r="J33" s="536" t="n"/>
      <c r="K33" s="33">
        <f>(I33-I29)/I29</f>
        <v/>
      </c>
      <c r="L33" s="33">
        <f>(I33-J33)/J33</f>
        <v/>
      </c>
      <c r="M33" s="536" t="n"/>
      <c r="N33" s="536" t="n"/>
      <c r="O33" s="33">
        <f>(M33-M29)/M29</f>
        <v/>
      </c>
      <c r="P33" s="33">
        <f>(M33-N33)/N33</f>
        <v/>
      </c>
      <c r="Q33" s="537" t="n"/>
      <c r="R33" s="537" t="n"/>
      <c r="S33" s="33">
        <f>(Q33-Q29)/Q29</f>
        <v/>
      </c>
      <c r="T33" s="33">
        <f>(Q33-R33)/R33</f>
        <v/>
      </c>
      <c r="U33" s="537" t="n"/>
      <c r="V33" s="537" t="n"/>
      <c r="W33" s="33">
        <f>(U33-U29)/U29</f>
        <v/>
      </c>
      <c r="X33" s="33">
        <f>(U33-V33)/V33</f>
        <v/>
      </c>
      <c r="Y33" s="113" t="n"/>
      <c r="Z33" s="113" t="n"/>
      <c r="AA33" s="33">
        <f>(Y33-Y29)/Y29</f>
        <v/>
      </c>
      <c r="AB33" s="33">
        <f>(Y33-Z33)/Z33</f>
        <v/>
      </c>
      <c r="AC33" s="529" t="n"/>
      <c r="AD33" s="534" t="n"/>
      <c r="AE33" s="33">
        <f>(AC33-AC29)/AC29</f>
        <v/>
      </c>
      <c r="AF33" s="33">
        <f>(AC33-AD33)/AD33</f>
        <v/>
      </c>
      <c r="AG33" s="537" t="n"/>
      <c r="AH33" s="537" t="n"/>
      <c r="AI33" s="33">
        <f>(AG33-AG29)/AG29</f>
        <v/>
      </c>
      <c r="AJ33" s="33">
        <f>(AG33-AH33)/AH33</f>
        <v/>
      </c>
      <c r="AK33" s="537" t="n"/>
      <c r="AL33" s="537" t="n"/>
      <c r="AM33" s="150">
        <f>(AK33-AK29)/AK29</f>
        <v/>
      </c>
      <c r="AN33" s="431">
        <f>(AK33-AL33)/AL33</f>
        <v/>
      </c>
      <c r="AO33" s="282" t="n"/>
      <c r="AP33" s="282" t="n"/>
      <c r="AQ33" s="33">
        <f>(AO33-AO29)/AO29</f>
        <v/>
      </c>
      <c r="AR33" s="33">
        <f>(AO33-AP33)/AP33</f>
        <v/>
      </c>
    </row>
    <row customFormat="1" customHeight="1" ht="15.75" r="34" s="108" spans="1:45">
      <c r="A34" s="272" t="s">
        <v>42</v>
      </c>
      <c r="B34" s="272" t="s">
        <v>80</v>
      </c>
      <c r="C34" s="273">
        <f>C30+7</f>
        <v/>
      </c>
      <c r="D34" s="274" t="s">
        <v>60</v>
      </c>
      <c r="E34" s="541">
        <f>E35+E36</f>
        <v/>
      </c>
      <c r="F34" s="541">
        <f>F35+F36</f>
        <v/>
      </c>
      <c r="G34" s="116">
        <f>(E34-E30)/E30</f>
        <v/>
      </c>
      <c r="H34" s="116">
        <f>(E34-F34)/F34</f>
        <v/>
      </c>
      <c r="I34" s="541">
        <f>I35+I36</f>
        <v/>
      </c>
      <c r="J34" s="542">
        <f>J35+J36</f>
        <v/>
      </c>
      <c r="K34" s="116">
        <f>(I34-I30)/I30</f>
        <v/>
      </c>
      <c r="L34" s="116">
        <f>(I34-J34)/J34</f>
        <v/>
      </c>
      <c r="M34" s="542">
        <f>E34/I34</f>
        <v/>
      </c>
      <c r="N34" s="542">
        <f>F34/J34</f>
        <v/>
      </c>
      <c r="O34" s="116">
        <f>(M34-M30)/M30</f>
        <v/>
      </c>
      <c r="P34" s="116">
        <f>(M34-N34)/N34</f>
        <v/>
      </c>
      <c r="Q34" s="543">
        <f>Q35+Q36</f>
        <v/>
      </c>
      <c r="R34" s="543">
        <f>R35+R36</f>
        <v/>
      </c>
      <c r="S34" s="116">
        <f>(Q34-Q30)/Q30</f>
        <v/>
      </c>
      <c r="T34" s="116">
        <f>(Q34-R34)/R34</f>
        <v/>
      </c>
      <c r="U34" s="543">
        <f>U35+U36</f>
        <v/>
      </c>
      <c r="V34" s="543">
        <f>V35+V36</f>
        <v/>
      </c>
      <c r="W34" s="116">
        <f>(U34-U30)/U30</f>
        <v/>
      </c>
      <c r="X34" s="116">
        <f>(U34-V34)/V34</f>
        <v/>
      </c>
      <c r="Y34" s="119">
        <f>U34/Q34</f>
        <v/>
      </c>
      <c r="Z34" s="119">
        <f>V34/R34</f>
        <v/>
      </c>
      <c r="AA34" s="116">
        <f>(Y34-Y30)/Y30</f>
        <v/>
      </c>
      <c r="AB34" s="116">
        <f>(Y34-Z34)/Z34</f>
        <v/>
      </c>
      <c r="AC34" s="544">
        <f>E34/U34</f>
        <v/>
      </c>
      <c r="AD34" s="545">
        <f>F34/V34</f>
        <v/>
      </c>
      <c r="AE34" s="116">
        <f>(AC34-AC30)/AC30</f>
        <v/>
      </c>
      <c r="AF34" s="116">
        <f>(AC34-AD34)/AD34</f>
        <v/>
      </c>
      <c r="AG34" s="543">
        <f>AG35+AG36</f>
        <v/>
      </c>
      <c r="AH34" s="543">
        <f>AH35+AH36</f>
        <v/>
      </c>
      <c r="AI34" s="116">
        <f>(AG34-AG30)/AG30</f>
        <v/>
      </c>
      <c r="AJ34" s="116">
        <f>(AG34-AH34)/AH34</f>
        <v/>
      </c>
      <c r="AK34" s="543">
        <f>AK35+AK36</f>
        <v/>
      </c>
      <c r="AL34" s="543">
        <f>AL35+AL36</f>
        <v/>
      </c>
      <c r="AM34" s="276">
        <f>(AK34-AK30)/AK30</f>
        <v/>
      </c>
      <c r="AN34" s="277">
        <f>(AK34-AL34)/AL34</f>
        <v/>
      </c>
      <c r="AO34" s="116">
        <f>AG34/AK34</f>
        <v/>
      </c>
      <c r="AP34" s="116">
        <f>AH34/AL34</f>
        <v/>
      </c>
      <c r="AQ34" s="116">
        <f>(AO34-AO30)/AO30</f>
        <v/>
      </c>
      <c r="AR34" s="116">
        <f>(AO34-AP34)/AP34</f>
        <v/>
      </c>
      <c r="AS34" s="108" t="s">
        <v>81</v>
      </c>
    </row>
    <row customHeight="1" ht="15.75" r="35" s="452" spans="1:45">
      <c r="A35" s="260" t="s">
        <v>42</v>
      </c>
      <c r="B35" s="260" t="s">
        <v>80</v>
      </c>
      <c r="C35" s="261">
        <f>C31+7</f>
        <v/>
      </c>
      <c r="D35" s="260" t="s">
        <v>35</v>
      </c>
      <c r="E35" s="535" t="n">
        <v>26467</v>
      </c>
      <c r="F35" s="535" t="n">
        <v>2917</v>
      </c>
      <c r="G35" s="33">
        <f>(E35-E31)/E31</f>
        <v/>
      </c>
      <c r="H35" s="33">
        <f>(E35-F35)/F35</f>
        <v/>
      </c>
      <c r="I35" s="535">
        <f>1332.71+146.43</f>
        <v/>
      </c>
      <c r="J35" s="536">
        <f>486.77+95.9</f>
        <v/>
      </c>
      <c r="K35" s="33">
        <f>(I35-I31)/I31</f>
        <v/>
      </c>
      <c r="L35" s="33">
        <f>(I35-J35)/J35</f>
        <v/>
      </c>
      <c r="M35" s="536">
        <f>E35/I35</f>
        <v/>
      </c>
      <c r="N35" s="536">
        <f>F35/J35</f>
        <v/>
      </c>
      <c r="O35" s="33">
        <f>(M35-M31)/M31</f>
        <v/>
      </c>
      <c r="P35" s="33">
        <f>(M35-N35)/N35</f>
        <v/>
      </c>
      <c r="Q35" s="537" t="n">
        <v>17544</v>
      </c>
      <c r="R35" s="537" t="n">
        <v>3006</v>
      </c>
      <c r="S35" s="33">
        <f>(Q35-Q31)/Q31</f>
        <v/>
      </c>
      <c r="T35" s="33">
        <f>(Q35-R35)/R35</f>
        <v/>
      </c>
      <c r="U35" s="537" t="n">
        <v>413</v>
      </c>
      <c r="V35" s="537" t="n">
        <v>34</v>
      </c>
      <c r="W35" s="33">
        <f>(U35-U31)/U31</f>
        <v/>
      </c>
      <c r="X35" s="33">
        <f>(U35-V35)/V35</f>
        <v/>
      </c>
      <c r="Y35" s="113">
        <f>U35/Q35</f>
        <v/>
      </c>
      <c r="Z35" s="113">
        <f>V35/R35</f>
        <v/>
      </c>
      <c r="AA35" s="33">
        <f>(Y35-Y31)/Y31</f>
        <v/>
      </c>
      <c r="AB35" s="33">
        <f>(Y35-Z35)/Z35</f>
        <v/>
      </c>
      <c r="AC35" s="529">
        <f>E35/U35</f>
        <v/>
      </c>
      <c r="AD35" s="534">
        <f>F35/V35</f>
        <v/>
      </c>
      <c r="AE35" s="33">
        <f>(AC35-AC31)/AC31</f>
        <v/>
      </c>
      <c r="AF35" s="33">
        <f>(AC35-AD35)/AD35</f>
        <v/>
      </c>
      <c r="AG35" s="537">
        <f>13779+1080</f>
        <v/>
      </c>
      <c r="AH35" s="537">
        <f>2413+282</f>
        <v/>
      </c>
      <c r="AI35" s="33">
        <f>(AG35-AG31)/AG31</f>
        <v/>
      </c>
      <c r="AJ35" s="33">
        <f>(AG35-AH35)/AH35</f>
        <v/>
      </c>
      <c r="AK35" s="537">
        <f>27232+2106</f>
        <v/>
      </c>
      <c r="AL35" s="537">
        <f>8282+1254</f>
        <v/>
      </c>
      <c r="AM35" s="150">
        <f>(AK35-AK31)/AK31</f>
        <v/>
      </c>
      <c r="AN35" s="431">
        <f>(AK35-AL35)/AL35</f>
        <v/>
      </c>
      <c r="AO35" s="282">
        <f>AG35/AK35</f>
        <v/>
      </c>
      <c r="AP35" s="282">
        <f>AH35/AL35</f>
        <v/>
      </c>
      <c r="AQ35" s="33">
        <f>(AO35-AO31)/AO31</f>
        <v/>
      </c>
      <c r="AR35" s="33">
        <f>(AO35-AP35)/AP35</f>
        <v/>
      </c>
    </row>
    <row customHeight="1" ht="15.75" r="36" s="452" spans="1:45">
      <c r="A36" s="260" t="s">
        <v>42</v>
      </c>
      <c r="B36" s="260" t="s">
        <v>80</v>
      </c>
      <c r="C36" s="261">
        <f>C32+7</f>
        <v/>
      </c>
      <c r="D36" s="260" t="s">
        <v>36</v>
      </c>
      <c r="E36" s="535" t="n">
        <v>398</v>
      </c>
      <c r="F36" s="535" t="n">
        <v>326</v>
      </c>
      <c r="G36" s="33">
        <f>(E36-E32)/E32</f>
        <v/>
      </c>
      <c r="H36" s="33">
        <f>(E36-F36)/F36</f>
        <v/>
      </c>
      <c r="I36" s="535">
        <f>1592.14+160.27</f>
        <v/>
      </c>
      <c r="J36" s="536">
        <f>1602.97+53.46</f>
        <v/>
      </c>
      <c r="K36" s="33">
        <f>(I36-I32)/I32</f>
        <v/>
      </c>
      <c r="L36" s="33">
        <f>(I36-J36)/J36</f>
        <v/>
      </c>
      <c r="M36" s="536">
        <f>E36/I36</f>
        <v/>
      </c>
      <c r="N36" s="536">
        <f>F36/J36</f>
        <v/>
      </c>
      <c r="O36" s="33">
        <f>(M36-M32)/M32</f>
        <v/>
      </c>
      <c r="P36" s="33">
        <f>(M36-N36)/N36</f>
        <v/>
      </c>
      <c r="Q36" s="537" t="n">
        <v>1777</v>
      </c>
      <c r="R36" s="537" t="n">
        <v>1896</v>
      </c>
      <c r="S36" s="33">
        <f>(Q36-Q32)/Q32</f>
        <v/>
      </c>
      <c r="T36" s="33">
        <f>(Q36-R36)/R36</f>
        <v/>
      </c>
      <c r="U36" s="537" t="n">
        <v>8</v>
      </c>
      <c r="V36" s="537" t="n">
        <v>3</v>
      </c>
      <c r="W36" s="33">
        <f>(U36-U32)/U32</f>
        <v/>
      </c>
      <c r="X36" s="33">
        <f>(U36-V36)/V36</f>
        <v/>
      </c>
      <c r="Y36" s="113">
        <f>U36/Q36</f>
        <v/>
      </c>
      <c r="Z36" s="113">
        <f>V36/R36</f>
        <v/>
      </c>
      <c r="AA36" s="33">
        <f>(Y36-Y32)/Y32</f>
        <v/>
      </c>
      <c r="AB36" s="33">
        <f>(Y36-Z36)/Z36</f>
        <v/>
      </c>
      <c r="AC36" s="529">
        <f>E36/U36</f>
        <v/>
      </c>
      <c r="AD36" s="534">
        <f>F36/V36</f>
        <v/>
      </c>
      <c r="AE36" s="33">
        <f>(AC36-AC32)/AC32</f>
        <v/>
      </c>
      <c r="AF36" s="33">
        <f>(AC36-AD36)/AD36</f>
        <v/>
      </c>
      <c r="AG36" s="537">
        <f>1405+164</f>
        <v/>
      </c>
      <c r="AH36" s="537">
        <f>1752+76</f>
        <v/>
      </c>
      <c r="AI36" s="33">
        <f>(AG36-AG32)/AG32</f>
        <v/>
      </c>
      <c r="AJ36" s="33">
        <f>(AG36-AH36)/AH36</f>
        <v/>
      </c>
      <c r="AK36" s="537">
        <f>21132+2134</f>
        <v/>
      </c>
      <c r="AL36" s="537">
        <f>26149+1706</f>
        <v/>
      </c>
      <c r="AM36" s="150">
        <f>(AK36-AK32)/AK32</f>
        <v/>
      </c>
      <c r="AN36" s="431">
        <f>(AK36-AL36)/AL36</f>
        <v/>
      </c>
      <c r="AO36" s="282">
        <f>AG36/AK36</f>
        <v/>
      </c>
      <c r="AP36" s="282">
        <f>AH36/AL36</f>
        <v/>
      </c>
      <c r="AQ36" s="33">
        <f>(AO36-AO32)/AO32</f>
        <v/>
      </c>
      <c r="AR36" s="33">
        <f>(AO36-AP36)/AP36</f>
        <v/>
      </c>
    </row>
    <row customHeight="1" ht="15.75" r="37" s="452" spans="1:45">
      <c r="A37" s="260" t="s">
        <v>42</v>
      </c>
      <c r="B37" s="260" t="s">
        <v>80</v>
      </c>
      <c r="C37" s="261">
        <f>C33+7</f>
        <v/>
      </c>
      <c r="D37" s="260" t="s">
        <v>37</v>
      </c>
      <c r="E37" s="535" t="n"/>
      <c r="F37" s="535" t="n"/>
      <c r="G37" s="33">
        <f>(E37-E33)/E33</f>
        <v/>
      </c>
      <c r="H37" s="33">
        <f>(E37-F37)/F37</f>
        <v/>
      </c>
      <c r="I37" s="535" t="n"/>
      <c r="J37" s="536" t="n"/>
      <c r="K37" s="33">
        <f>(I37-I33)/I33</f>
        <v/>
      </c>
      <c r="L37" s="33">
        <f>(I37-J37)/J37</f>
        <v/>
      </c>
      <c r="M37" s="536" t="n"/>
      <c r="N37" s="536" t="n"/>
      <c r="O37" s="33">
        <f>(M37-M33)/M33</f>
        <v/>
      </c>
      <c r="P37" s="33">
        <f>(M37-N37)/N37</f>
        <v/>
      </c>
      <c r="Q37" s="537" t="n"/>
      <c r="R37" s="537" t="n"/>
      <c r="S37" s="33">
        <f>(Q37-Q33)/Q33</f>
        <v/>
      </c>
      <c r="T37" s="33">
        <f>(Q37-R37)/R37</f>
        <v/>
      </c>
      <c r="U37" s="537" t="n"/>
      <c r="V37" s="537" t="n"/>
      <c r="W37" s="33">
        <f>(U37-U33)/U33</f>
        <v/>
      </c>
      <c r="X37" s="33">
        <f>(U37-V37)/V37</f>
        <v/>
      </c>
      <c r="Y37" s="113" t="n"/>
      <c r="Z37" s="113" t="n"/>
      <c r="AA37" s="33">
        <f>(Y37-Y33)/Y33</f>
        <v/>
      </c>
      <c r="AB37" s="33">
        <f>(Y37-Z37)/Z37</f>
        <v/>
      </c>
      <c r="AC37" s="529" t="n"/>
      <c r="AD37" s="534" t="n"/>
      <c r="AE37" s="33">
        <f>(AC37-AC33)/AC33</f>
        <v/>
      </c>
      <c r="AF37" s="33">
        <f>(AC37-AD37)/AD37</f>
        <v/>
      </c>
      <c r="AG37" s="537" t="n"/>
      <c r="AH37" s="537" t="n"/>
      <c r="AI37" s="33">
        <f>(AG37-AG33)/AG33</f>
        <v/>
      </c>
      <c r="AJ37" s="33">
        <f>(AG37-AH37)/AH37</f>
        <v/>
      </c>
      <c r="AK37" s="537" t="n"/>
      <c r="AL37" s="537" t="n"/>
      <c r="AM37" s="150">
        <f>(AK37-AK33)/AK33</f>
        <v/>
      </c>
      <c r="AN37" s="431">
        <f>(AK37-AL37)/AL37</f>
        <v/>
      </c>
      <c r="AO37" s="282" t="n"/>
      <c r="AP37" s="282" t="n"/>
      <c r="AQ37" s="33">
        <f>(AO37-AO33)/AO33</f>
        <v/>
      </c>
      <c r="AR37" s="33">
        <f>(AO37-AP37)/AP37</f>
        <v/>
      </c>
    </row>
    <row customHeight="1" ht="15.75" r="38" s="452" spans="1:45">
      <c r="A38" s="29" t="s">
        <v>42</v>
      </c>
      <c r="B38" s="29" t="s">
        <v>82</v>
      </c>
      <c r="C38" s="30" t="n">
        <v>42797</v>
      </c>
      <c r="D38" s="31" t="s">
        <v>60</v>
      </c>
      <c r="E38" s="531">
        <f>E39+E40</f>
        <v/>
      </c>
      <c r="F38" s="531">
        <f>F39+F40</f>
        <v/>
      </c>
      <c r="G38" s="33">
        <f>(E38-E34)/E34</f>
        <v/>
      </c>
      <c r="H38" s="33">
        <f>(E38-F38)/F38</f>
        <v/>
      </c>
      <c r="I38" s="531">
        <f>I39+I40</f>
        <v/>
      </c>
      <c r="J38" s="532">
        <f>J39+J40</f>
        <v/>
      </c>
      <c r="K38" s="33">
        <f>(I38-I34)/I34</f>
        <v/>
      </c>
      <c r="L38" s="33">
        <f>(I38-J38)/J38</f>
        <v/>
      </c>
      <c r="M38" s="532">
        <f>E38/I38</f>
        <v/>
      </c>
      <c r="N38" s="532">
        <f>F38/J38</f>
        <v/>
      </c>
      <c r="O38" s="33">
        <f>(M38-M34)/M34</f>
        <v/>
      </c>
      <c r="P38" s="33">
        <f>(M38-N38)/N38</f>
        <v/>
      </c>
      <c r="Q38" s="533">
        <f>Q39+Q40</f>
        <v/>
      </c>
      <c r="R38" s="533">
        <f>R39+R40</f>
        <v/>
      </c>
      <c r="S38" s="33">
        <f>(Q38-Q34)/Q34</f>
        <v/>
      </c>
      <c r="T38" s="33">
        <f>(Q38-R38)/R38</f>
        <v/>
      </c>
      <c r="U38" s="533">
        <f>U39+U40</f>
        <v/>
      </c>
      <c r="V38" s="533">
        <f>V39+V40</f>
        <v/>
      </c>
      <c r="W38" s="33">
        <f>(U38-U34)/U34</f>
        <v/>
      </c>
      <c r="X38" s="33">
        <f>(U38-V38)/V38</f>
        <v/>
      </c>
      <c r="Y38" s="88">
        <f>U38/Q38</f>
        <v/>
      </c>
      <c r="Z38" s="88">
        <f>V38/R38</f>
        <v/>
      </c>
      <c r="AA38" s="33">
        <f>(Y38-Y34)/Y34</f>
        <v/>
      </c>
      <c r="AB38" s="33">
        <f>(Y38-Z38)/Z38</f>
        <v/>
      </c>
      <c r="AC38" s="540">
        <f>E38/U38</f>
        <v/>
      </c>
      <c r="AD38" s="534">
        <f>F38/V38</f>
        <v/>
      </c>
      <c r="AE38" s="33">
        <f>(AC38-AC34)/AC34</f>
        <v/>
      </c>
      <c r="AF38" s="33">
        <f>(AC38-AD38)/AD38</f>
        <v/>
      </c>
      <c r="AG38" s="533">
        <f>AG39+AG40</f>
        <v/>
      </c>
      <c r="AH38" s="533">
        <f>AH39+AH40</f>
        <v/>
      </c>
      <c r="AI38" s="33">
        <f>(AG38-AG34)/AG34</f>
        <v/>
      </c>
      <c r="AJ38" s="33">
        <f>(AG38-AH38)/AH38</f>
        <v/>
      </c>
      <c r="AK38" s="533">
        <f>AK39+AK40</f>
        <v/>
      </c>
      <c r="AL38" s="533">
        <f>AL39+AL40</f>
        <v/>
      </c>
      <c r="AM38" s="150">
        <f>(AK38-AK34)/AK34</f>
        <v/>
      </c>
      <c r="AN38" s="431">
        <f>(AK38-AL38)/AL38</f>
        <v/>
      </c>
      <c r="AO38" s="33">
        <f>AG38/AK38</f>
        <v/>
      </c>
      <c r="AP38" s="33">
        <f>AH38/AL38</f>
        <v/>
      </c>
      <c r="AQ38" s="33">
        <f>(AO38-AO34)/AO34</f>
        <v/>
      </c>
      <c r="AR38" s="33">
        <f>(AO38-AP38)/AP38</f>
        <v/>
      </c>
      <c r="AS38" t="s">
        <v>83</v>
      </c>
    </row>
    <row customHeight="1" ht="15.75" r="39" s="452" spans="1:45">
      <c r="A39" s="260" t="s">
        <v>42</v>
      </c>
      <c r="B39" s="260" t="s">
        <v>82</v>
      </c>
      <c r="C39" s="261" t="n">
        <v>42797</v>
      </c>
      <c r="D39" s="260" t="s">
        <v>35</v>
      </c>
      <c r="E39" s="535" t="n">
        <v>55300</v>
      </c>
      <c r="F39" s="535" t="n">
        <v>5886</v>
      </c>
      <c r="G39" s="33">
        <f>(E39-E35)/E35</f>
        <v/>
      </c>
      <c r="H39" s="33">
        <f>(E39-F39)/F39</f>
        <v/>
      </c>
      <c r="I39" s="535">
        <f>1762.9+187.4</f>
        <v/>
      </c>
      <c r="J39" s="536">
        <f>693.37+93.16</f>
        <v/>
      </c>
      <c r="K39" s="33">
        <f>(I39-I35)/I35</f>
        <v/>
      </c>
      <c r="L39" s="33">
        <f>(I39-J39)/J39</f>
        <v/>
      </c>
      <c r="M39" s="536">
        <f>E39/I39</f>
        <v/>
      </c>
      <c r="N39" s="536">
        <f>F39/J39</f>
        <v/>
      </c>
      <c r="O39" s="33">
        <f>(M39-M35)/M35</f>
        <v/>
      </c>
      <c r="P39" s="33">
        <f>(M39-N39)/N39</f>
        <v/>
      </c>
      <c r="Q39" s="537" t="n">
        <v>23929</v>
      </c>
      <c r="R39" s="537" t="n">
        <v>3093</v>
      </c>
      <c r="S39" s="33">
        <f>(Q39-Q35)/Q35</f>
        <v/>
      </c>
      <c r="T39" s="33">
        <f>(Q39-R39)/R39</f>
        <v/>
      </c>
      <c r="U39" s="537" t="n">
        <v>768</v>
      </c>
      <c r="V39" s="537" t="n">
        <v>44</v>
      </c>
      <c r="W39" s="33">
        <f>(U39-U35)/U35</f>
        <v/>
      </c>
      <c r="X39" s="33">
        <f>(U39-V39)/V39</f>
        <v/>
      </c>
      <c r="Y39" s="113">
        <f>U39/Q39</f>
        <v/>
      </c>
      <c r="Z39" s="113">
        <f>V39/R39</f>
        <v/>
      </c>
      <c r="AA39" s="33">
        <f>(Y39-Y35)/Y35</f>
        <v/>
      </c>
      <c r="AB39" s="33">
        <f>(Y39-Z39)/Z39</f>
        <v/>
      </c>
      <c r="AC39" s="529">
        <f>E39/U39</f>
        <v/>
      </c>
      <c r="AD39" s="534">
        <f>F39/V39</f>
        <v/>
      </c>
      <c r="AE39" s="33">
        <f>(AC39-AC35)/AC35</f>
        <v/>
      </c>
      <c r="AF39" s="33">
        <f>(AC39-AD39)/AD39</f>
        <v/>
      </c>
      <c r="AG39" s="537">
        <f>18086+1313</f>
        <v/>
      </c>
      <c r="AH39" s="537">
        <f>2535</f>
        <v/>
      </c>
      <c r="AI39" s="33">
        <f>(AG39-AG35)/AG35</f>
        <v/>
      </c>
      <c r="AJ39" s="33">
        <f>(AG39-AH39)/AH39</f>
        <v/>
      </c>
      <c r="AK39" s="537">
        <f>35417+2598</f>
        <v/>
      </c>
      <c r="AL39" s="537" t="n">
        <v>8655</v>
      </c>
      <c r="AM39" s="150">
        <f>(AK39-AK35)/AK35</f>
        <v/>
      </c>
      <c r="AN39" s="431">
        <f>(AK39-AL39)/AL39</f>
        <v/>
      </c>
      <c r="AO39" s="282">
        <f>AG39/AK39</f>
        <v/>
      </c>
      <c r="AP39" s="282">
        <f>AH39/AL39</f>
        <v/>
      </c>
      <c r="AQ39" s="33">
        <f>(AO39-AO35)/AO35</f>
        <v/>
      </c>
      <c r="AR39" s="33">
        <f>(AO39-AP39)/AP39</f>
        <v/>
      </c>
    </row>
    <row customHeight="1" ht="15.75" r="40" s="452" spans="1:45">
      <c r="A40" s="260" t="s">
        <v>42</v>
      </c>
      <c r="B40" s="260" t="s">
        <v>82</v>
      </c>
      <c r="C40" s="261" t="n">
        <v>42797</v>
      </c>
      <c r="D40" s="260" t="s">
        <v>36</v>
      </c>
      <c r="E40" s="535" t="n">
        <v>1256</v>
      </c>
      <c r="F40" s="535" t="n">
        <v>538</v>
      </c>
      <c r="G40" s="33">
        <f>(E40-E36)/E36</f>
        <v/>
      </c>
      <c r="H40" s="33">
        <f>(E40-F40)/F40</f>
        <v/>
      </c>
      <c r="I40" s="535">
        <f>1904.18+177.89</f>
        <v/>
      </c>
      <c r="J40" s="536">
        <f>1928.5+76.84</f>
        <v/>
      </c>
      <c r="K40" s="33">
        <f>(I40-I36)/I36</f>
        <v/>
      </c>
      <c r="L40" s="33">
        <f>(I40-J40)/J40</f>
        <v/>
      </c>
      <c r="M40" s="536">
        <f>E40/I40</f>
        <v/>
      </c>
      <c r="N40" s="536">
        <f>F40/J40</f>
        <v/>
      </c>
      <c r="O40" s="33">
        <f>(M40-M36)/M36</f>
        <v/>
      </c>
      <c r="P40" s="33">
        <f>(M40-N40)/N40</f>
        <v/>
      </c>
      <c r="Q40" s="537" t="n">
        <v>2397</v>
      </c>
      <c r="R40" s="537" t="n">
        <v>2141</v>
      </c>
      <c r="S40" s="33">
        <f>(Q40-Q36)/Q36</f>
        <v/>
      </c>
      <c r="T40" s="33">
        <f>(Q40-R40)/R40</f>
        <v/>
      </c>
      <c r="U40" s="537" t="n">
        <v>17</v>
      </c>
      <c r="V40" s="537" t="n">
        <v>8</v>
      </c>
      <c r="W40" s="33">
        <f>(U40-U36)/U36</f>
        <v/>
      </c>
      <c r="X40" s="33">
        <f>(U40-V40)/V40</f>
        <v/>
      </c>
      <c r="Y40" s="113">
        <f>U40/Q40</f>
        <v/>
      </c>
      <c r="Z40" s="113">
        <f>V40/R40</f>
        <v/>
      </c>
      <c r="AA40" s="33">
        <f>(Y40-Y36)/Y36</f>
        <v/>
      </c>
      <c r="AB40" s="33">
        <f>(Y40-Z40)/Z40</f>
        <v/>
      </c>
      <c r="AC40" s="529">
        <f>E40/U40</f>
        <v/>
      </c>
      <c r="AD40" s="534">
        <f>F40/V40</f>
        <v/>
      </c>
      <c r="AE40" s="33">
        <f>(AC40-AC36)/AC36</f>
        <v/>
      </c>
      <c r="AF40" s="33">
        <f>(AC40-AD40)/AD40</f>
        <v/>
      </c>
      <c r="AG40" s="537">
        <f>1890+195</f>
        <v/>
      </c>
      <c r="AH40" s="537" t="n">
        <v>1929.18</v>
      </c>
      <c r="AI40" s="33">
        <f>(AG40-AG36)/AG36</f>
        <v/>
      </c>
      <c r="AJ40" s="33">
        <f>(AG40-AH40)/AH40</f>
        <v/>
      </c>
      <c r="AK40" s="537">
        <f>26849+2299</f>
        <v/>
      </c>
      <c r="AL40" s="537" t="n">
        <v>31623</v>
      </c>
      <c r="AM40" s="150">
        <f>(AK40-AK36)/AK36</f>
        <v/>
      </c>
      <c r="AN40" s="431">
        <f>(AK40-AL40)/AL40</f>
        <v/>
      </c>
      <c r="AO40" s="282">
        <f>AG40/AK40</f>
        <v/>
      </c>
      <c r="AP40" s="282">
        <f>AH40/AL40</f>
        <v/>
      </c>
      <c r="AQ40" s="33">
        <f>(AO40-AO36)/AO36</f>
        <v/>
      </c>
      <c r="AR40" s="33">
        <f>(AO40-AP40)/AP40</f>
        <v/>
      </c>
    </row>
    <row customHeight="1" ht="15.75" r="41" s="452" spans="1:45">
      <c r="A41" s="260" t="s">
        <v>42</v>
      </c>
      <c r="B41" s="260" t="s">
        <v>82</v>
      </c>
      <c r="C41" s="261" t="n">
        <v>42797</v>
      </c>
      <c r="D41" s="260" t="s">
        <v>37</v>
      </c>
      <c r="E41" s="535" t="n"/>
      <c r="F41" s="535" t="n"/>
      <c r="G41" s="33">
        <f>(E41-E37)/E37</f>
        <v/>
      </c>
      <c r="H41" s="33">
        <f>(E41-F41)/F41</f>
        <v/>
      </c>
      <c r="I41" s="535" t="n"/>
      <c r="J41" s="536" t="n"/>
      <c r="K41" s="33">
        <f>(I41-I37)/I37</f>
        <v/>
      </c>
      <c r="L41" s="33">
        <f>(I41-J41)/J41</f>
        <v/>
      </c>
      <c r="M41" s="536" t="n"/>
      <c r="N41" s="536" t="n"/>
      <c r="O41" s="33">
        <f>(M41-M37)/M37</f>
        <v/>
      </c>
      <c r="P41" s="33">
        <f>(M41-N41)/N41</f>
        <v/>
      </c>
      <c r="Q41" s="537" t="n"/>
      <c r="R41" s="537" t="n"/>
      <c r="S41" s="33">
        <f>(Q41-Q37)/Q37</f>
        <v/>
      </c>
      <c r="T41" s="33">
        <f>(Q41-R41)/R41</f>
        <v/>
      </c>
      <c r="U41" s="537" t="n"/>
      <c r="V41" s="537" t="n"/>
      <c r="W41" s="33">
        <f>(U41-U37)/U37</f>
        <v/>
      </c>
      <c r="X41" s="33">
        <f>(U41-V41)/V41</f>
        <v/>
      </c>
      <c r="Y41" s="113" t="n"/>
      <c r="Z41" s="113" t="n"/>
      <c r="AA41" s="33">
        <f>(Y41-Y37)/Y37</f>
        <v/>
      </c>
      <c r="AB41" s="33">
        <f>(Y41-Z41)/Z41</f>
        <v/>
      </c>
      <c r="AC41" s="529" t="n"/>
      <c r="AD41" s="534" t="n"/>
      <c r="AE41" s="33">
        <f>(AC41-AC37)/AC37</f>
        <v/>
      </c>
      <c r="AF41" s="33">
        <f>(AC41-AD41)/AD41</f>
        <v/>
      </c>
      <c r="AG41" s="537" t="n"/>
      <c r="AH41" s="537" t="n"/>
      <c r="AI41" s="33">
        <f>(AG41-AG37)/AG37</f>
        <v/>
      </c>
      <c r="AJ41" s="33">
        <f>(AG41-AH41)/AH41</f>
        <v/>
      </c>
      <c r="AK41" s="537" t="n"/>
      <c r="AL41" s="537" t="n"/>
      <c r="AM41" s="150">
        <f>(AK41-AK37)/AK37</f>
        <v/>
      </c>
      <c r="AN41" s="431">
        <f>(AK41-AL41)/AL41</f>
        <v/>
      </c>
      <c r="AO41" s="282" t="n"/>
      <c r="AP41" s="282" t="n"/>
      <c r="AQ41" s="33">
        <f>(AO41-AO37)/AO37</f>
        <v/>
      </c>
      <c r="AR41" s="33">
        <f>(AO41-AP41)/AP41</f>
        <v/>
      </c>
    </row>
    <row customHeight="1" ht="15.75" r="42" s="452" spans="1:45">
      <c r="A42" s="29" t="s">
        <v>42</v>
      </c>
      <c r="B42" s="29" t="s">
        <v>84</v>
      </c>
      <c r="C42" s="30">
        <f>C38+7</f>
        <v/>
      </c>
      <c r="D42" s="31" t="s">
        <v>60</v>
      </c>
      <c r="E42" s="531">
        <f>E43+E44</f>
        <v/>
      </c>
      <c r="F42" s="531">
        <f>F43+F44</f>
        <v/>
      </c>
      <c r="G42" s="33">
        <f>(E42-E38)/E38</f>
        <v/>
      </c>
      <c r="H42" s="33">
        <f>(E42-F42)/F42</f>
        <v/>
      </c>
      <c r="I42" s="531">
        <f>I43+I44</f>
        <v/>
      </c>
      <c r="J42" s="532">
        <f>J43+J44</f>
        <v/>
      </c>
      <c r="K42" s="33">
        <f>(I42-I38)/I38</f>
        <v/>
      </c>
      <c r="L42" s="33">
        <f>(I42-J42)/J42</f>
        <v/>
      </c>
      <c r="M42" s="532">
        <f>E42/I42</f>
        <v/>
      </c>
      <c r="N42" s="532">
        <f>F42/J42</f>
        <v/>
      </c>
      <c r="O42" s="33">
        <f>(M42-M38)/M38</f>
        <v/>
      </c>
      <c r="P42" s="33">
        <f>(M42-N42)/N42</f>
        <v/>
      </c>
      <c r="Q42" s="533">
        <f>Q43+Q44</f>
        <v/>
      </c>
      <c r="R42" s="533">
        <f>R43+R44</f>
        <v/>
      </c>
      <c r="S42" s="33">
        <f>(Q42-Q38)/Q38</f>
        <v/>
      </c>
      <c r="T42" s="33">
        <f>(Q42-R42)/R42</f>
        <v/>
      </c>
      <c r="U42" s="533">
        <f>U43+U44</f>
        <v/>
      </c>
      <c r="V42" s="533">
        <f>V43+V44</f>
        <v/>
      </c>
      <c r="W42" s="33">
        <f>(U42-U38)/U38</f>
        <v/>
      </c>
      <c r="X42" s="33">
        <f>(U42-V42)/V42</f>
        <v/>
      </c>
      <c r="Y42" s="88">
        <f>U42/Q42</f>
        <v/>
      </c>
      <c r="Z42" s="88">
        <f>V42/R42</f>
        <v/>
      </c>
      <c r="AA42" s="33">
        <f>(Y42-Y38)/Y38</f>
        <v/>
      </c>
      <c r="AB42" s="33">
        <f>(Y42-Z42)/Z42</f>
        <v/>
      </c>
      <c r="AC42" s="540">
        <f>E42/U42</f>
        <v/>
      </c>
      <c r="AD42" s="534">
        <f>F42/V42</f>
        <v/>
      </c>
      <c r="AE42" s="33">
        <f>(AC42-AC38)/AC38</f>
        <v/>
      </c>
      <c r="AF42" s="33">
        <f>(AC42-AD42)/AD42</f>
        <v/>
      </c>
      <c r="AG42" s="533">
        <f>AG43+AG44</f>
        <v/>
      </c>
      <c r="AH42" s="533">
        <f>AH43+AH44</f>
        <v/>
      </c>
      <c r="AI42" s="33">
        <f>(AG42-AG38)/AG38</f>
        <v/>
      </c>
      <c r="AJ42" s="33">
        <f>(AG42-AH42)/AH42</f>
        <v/>
      </c>
      <c r="AK42" s="533">
        <f>SUM(AK43:AK44)</f>
        <v/>
      </c>
      <c r="AL42" s="533">
        <f>AL43+AL44</f>
        <v/>
      </c>
      <c r="AM42" s="150">
        <f>(AK42-AK38)/AK38</f>
        <v/>
      </c>
      <c r="AN42" s="431">
        <f>(AK42-AL42)/AL42</f>
        <v/>
      </c>
      <c r="AO42" s="33">
        <f>AG42/AK42</f>
        <v/>
      </c>
      <c r="AP42" s="33">
        <f>AH42/AL42</f>
        <v/>
      </c>
      <c r="AQ42" s="33">
        <f>(AO42-AO38)/AO38</f>
        <v/>
      </c>
      <c r="AR42" s="33">
        <f>(AO42-AP42)/AP42</f>
        <v/>
      </c>
      <c r="AS42" t="s">
        <v>85</v>
      </c>
    </row>
    <row customHeight="1" ht="15.75" r="43" s="452" spans="1:45">
      <c r="A43" s="260" t="s">
        <v>42</v>
      </c>
      <c r="B43" s="260" t="s">
        <v>84</v>
      </c>
      <c r="C43" s="261">
        <f>C39+7</f>
        <v/>
      </c>
      <c r="D43" s="260" t="s">
        <v>35</v>
      </c>
      <c r="E43" s="535" t="n">
        <v>42858</v>
      </c>
      <c r="F43" s="535" t="n">
        <v>5503</v>
      </c>
      <c r="G43" s="33">
        <f>(E43-E39)/E39</f>
        <v/>
      </c>
      <c r="H43" s="33">
        <f>(E43-F43)/F43</f>
        <v/>
      </c>
      <c r="I43" s="535">
        <f>1336.25+130.14</f>
        <v/>
      </c>
      <c r="J43" s="536">
        <f>651.51+55.46</f>
        <v/>
      </c>
      <c r="K43" s="33">
        <f>(I43-I39)/I39</f>
        <v/>
      </c>
      <c r="L43" s="33">
        <f>(I43-J43)/J43</f>
        <v/>
      </c>
      <c r="M43" s="536">
        <f>E43/I43</f>
        <v/>
      </c>
      <c r="N43" s="536">
        <f>F43/J43</f>
        <v/>
      </c>
      <c r="O43" s="33">
        <f>(M43-M39)/M39</f>
        <v/>
      </c>
      <c r="P43" s="33">
        <f>(M43-N43)/N43</f>
        <v/>
      </c>
      <c r="Q43" s="537" t="n">
        <v>17509</v>
      </c>
      <c r="R43" s="537" t="n">
        <v>3132</v>
      </c>
      <c r="S43" s="33">
        <f>(Q43-Q39)/Q39</f>
        <v/>
      </c>
      <c r="T43" s="33">
        <f>(Q43-R43)/R43</f>
        <v/>
      </c>
      <c r="U43" s="537" t="n">
        <v>575</v>
      </c>
      <c r="V43" s="537" t="n">
        <v>47</v>
      </c>
      <c r="W43" s="33">
        <f>(U43-U39)/U39</f>
        <v/>
      </c>
      <c r="X43" s="33">
        <f>(U43-V43)/V43</f>
        <v/>
      </c>
      <c r="Y43" s="113">
        <f>U43/Q43</f>
        <v/>
      </c>
      <c r="Z43" s="113">
        <f>V43/R43</f>
        <v/>
      </c>
      <c r="AA43" s="33">
        <f>(Y43-Y39)/Y39</f>
        <v/>
      </c>
      <c r="AB43" s="33">
        <f>(Y43-Z43)/Z43</f>
        <v/>
      </c>
      <c r="AC43" s="529">
        <f>E43/U43</f>
        <v/>
      </c>
      <c r="AD43" s="534">
        <f>F43/V43</f>
        <v/>
      </c>
      <c r="AE43" s="33">
        <f>(AC43-AC39)/AC39</f>
        <v/>
      </c>
      <c r="AF43" s="33">
        <f>(AC43-AD43)/AD43</f>
        <v/>
      </c>
      <c r="AG43" s="537">
        <f>12475+963</f>
        <v/>
      </c>
      <c r="AH43" s="537">
        <f>2446+236</f>
        <v/>
      </c>
      <c r="AI43" s="33">
        <f>(AG43-AG39)/AG39</f>
        <v/>
      </c>
      <c r="AJ43" s="33">
        <f>(AG43-AH43)/AH43</f>
        <v/>
      </c>
      <c r="AK43" s="537">
        <f>26250+2359</f>
        <v/>
      </c>
      <c r="AL43" s="537">
        <f>7381+965</f>
        <v/>
      </c>
      <c r="AM43" s="150">
        <f>(AK43-AK39)/AK39</f>
        <v/>
      </c>
      <c r="AN43" s="431">
        <f>(AK43-AL43)/AL43</f>
        <v/>
      </c>
      <c r="AO43" s="282">
        <f>AG43/AK43</f>
        <v/>
      </c>
      <c r="AP43" s="282">
        <f>AH43/AL43</f>
        <v/>
      </c>
      <c r="AQ43" s="33">
        <f>(AO43-AO39)/AO39</f>
        <v/>
      </c>
      <c r="AR43" s="33">
        <f>(AO43-AP43)/AP43</f>
        <v/>
      </c>
    </row>
    <row customHeight="1" ht="15.75" r="44" s="452" spans="1:45">
      <c r="A44" s="260" t="s">
        <v>42</v>
      </c>
      <c r="B44" s="260" t="s">
        <v>84</v>
      </c>
      <c r="C44" s="261">
        <f>C40+7</f>
        <v/>
      </c>
      <c r="D44" s="260" t="s">
        <v>36</v>
      </c>
      <c r="E44" s="535" t="n">
        <v>369</v>
      </c>
      <c r="F44" s="535" t="n">
        <v>867</v>
      </c>
      <c r="G44" s="33">
        <f>(E44-E40)/E40</f>
        <v/>
      </c>
      <c r="H44" s="33">
        <f>(E44-F44)/F44</f>
        <v/>
      </c>
      <c r="I44" s="535">
        <f>1889.92+139.03</f>
        <v/>
      </c>
      <c r="J44" s="536">
        <f>2374.16+80.81</f>
        <v/>
      </c>
      <c r="K44" s="33">
        <f>(I44-I40)/I40</f>
        <v/>
      </c>
      <c r="L44" s="33">
        <f>(I44-J44)/J44</f>
        <v/>
      </c>
      <c r="M44" s="536">
        <f>E44/I44</f>
        <v/>
      </c>
      <c r="N44" s="536">
        <f>F44/J44</f>
        <v/>
      </c>
      <c r="O44" s="33">
        <f>(M44-M40)/M40</f>
        <v/>
      </c>
      <c r="P44" s="33">
        <f>(M44-N44)/N44</f>
        <v/>
      </c>
      <c r="Q44" s="537" t="n">
        <v>2207</v>
      </c>
      <c r="R44" s="537" t="n">
        <v>2390</v>
      </c>
      <c r="S44" s="33">
        <f>(Q44-Q40)/Q40</f>
        <v/>
      </c>
      <c r="T44" s="33">
        <f>(Q44-R44)/R44</f>
        <v/>
      </c>
      <c r="U44" s="537" t="n">
        <v>5</v>
      </c>
      <c r="V44" s="537" t="n">
        <v>9</v>
      </c>
      <c r="W44" s="33">
        <f>(U44-U40)/U40</f>
        <v/>
      </c>
      <c r="X44" s="33">
        <f>(U44-V44)/V44</f>
        <v/>
      </c>
      <c r="Y44" s="113">
        <f>U44/Q44</f>
        <v/>
      </c>
      <c r="Z44" s="113">
        <f>V44/R44</f>
        <v/>
      </c>
      <c r="AA44" s="33">
        <f>(Y44-Y40)/Y40</f>
        <v/>
      </c>
      <c r="AB44" s="33">
        <f>(Y44-Z44)/Z44</f>
        <v/>
      </c>
      <c r="AC44" s="529">
        <f>E44/U44</f>
        <v/>
      </c>
      <c r="AD44" s="534">
        <f>F44/V44</f>
        <v/>
      </c>
      <c r="AE44" s="33">
        <f>(AC44-AC40)/AC40</f>
        <v/>
      </c>
      <c r="AF44" s="33">
        <f>(AC44-AD44)/AD44</f>
        <v/>
      </c>
      <c r="AG44" s="537">
        <f>1834+133</f>
        <v/>
      </c>
      <c r="AH44" s="537">
        <f>2315+108</f>
        <v/>
      </c>
      <c r="AI44" s="33">
        <f>(AG44-AG40)/AG40</f>
        <v/>
      </c>
      <c r="AJ44" s="33">
        <f>(AG44-AH44)/AH44</f>
        <v/>
      </c>
      <c r="AK44" s="537">
        <f>25870+2951</f>
        <v/>
      </c>
      <c r="AL44" s="537">
        <f>38109+2152</f>
        <v/>
      </c>
      <c r="AM44" s="150">
        <f>(AK44-AK40)/AK40</f>
        <v/>
      </c>
      <c r="AN44" s="431">
        <f>(AK44-AL44)/AL44</f>
        <v/>
      </c>
      <c r="AO44" s="282">
        <f>AG44/AK44</f>
        <v/>
      </c>
      <c r="AP44" s="282">
        <f>AH44/AL44</f>
        <v/>
      </c>
      <c r="AQ44" s="33">
        <f>(AO44-AO40)/AO40</f>
        <v/>
      </c>
      <c r="AR44" s="33">
        <f>(AO44-AP44)/AP44</f>
        <v/>
      </c>
    </row>
    <row customHeight="1" ht="15.75" r="45" s="452" spans="1:45">
      <c r="A45" s="260" t="s">
        <v>42</v>
      </c>
      <c r="B45" s="260" t="s">
        <v>84</v>
      </c>
      <c r="C45" s="261">
        <f>C41+7</f>
        <v/>
      </c>
      <c r="D45" s="260" t="s">
        <v>37</v>
      </c>
      <c r="E45" s="535" t="n"/>
      <c r="F45" s="535" t="n"/>
      <c r="G45" s="33">
        <f>(E45-E41)/E41</f>
        <v/>
      </c>
      <c r="H45" s="33">
        <f>(E45-F45)/F45</f>
        <v/>
      </c>
      <c r="I45" s="535" t="n"/>
      <c r="J45" s="536" t="n"/>
      <c r="K45" s="33">
        <f>(I45-I41)/I41</f>
        <v/>
      </c>
      <c r="L45" s="33">
        <f>(I45-J45)/J45</f>
        <v/>
      </c>
      <c r="M45" s="536" t="n"/>
      <c r="N45" s="536" t="n"/>
      <c r="O45" s="33">
        <f>(M45-M41)/M41</f>
        <v/>
      </c>
      <c r="P45" s="33">
        <f>(M45-N45)/N45</f>
        <v/>
      </c>
      <c r="Q45" s="537" t="n"/>
      <c r="R45" s="537" t="n"/>
      <c r="S45" s="33">
        <f>(Q45-Q41)/Q41</f>
        <v/>
      </c>
      <c r="T45" s="33">
        <f>(Q45-R45)/R45</f>
        <v/>
      </c>
      <c r="U45" s="537" t="n"/>
      <c r="V45" s="537" t="n"/>
      <c r="W45" s="33">
        <f>(U45-U41)/U41</f>
        <v/>
      </c>
      <c r="X45" s="33">
        <f>(U45-V45)/V45</f>
        <v/>
      </c>
      <c r="Y45" s="113" t="n"/>
      <c r="Z45" s="113" t="n"/>
      <c r="AA45" s="33">
        <f>(Y45-Y41)/Y41</f>
        <v/>
      </c>
      <c r="AB45" s="33">
        <f>(Y45-Z45)/Z45</f>
        <v/>
      </c>
      <c r="AC45" s="529" t="n"/>
      <c r="AD45" s="534" t="n"/>
      <c r="AE45" s="33">
        <f>(AC45-AC41)/AC41</f>
        <v/>
      </c>
      <c r="AF45" s="33">
        <f>(AC45-AD45)/AD45</f>
        <v/>
      </c>
      <c r="AG45" s="537" t="n"/>
      <c r="AH45" s="537" t="n"/>
      <c r="AI45" s="33">
        <f>(AG45-AG41)/AG41</f>
        <v/>
      </c>
      <c r="AJ45" s="33">
        <f>(AG45-AH45)/AH45</f>
        <v/>
      </c>
      <c r="AK45" s="537" t="n"/>
      <c r="AL45" s="537" t="n"/>
      <c r="AM45" s="150">
        <f>(AK45-AK41)/AK41</f>
        <v/>
      </c>
      <c r="AN45" s="431">
        <f>(AK45-AL45)/AL45</f>
        <v/>
      </c>
      <c r="AO45" s="282" t="n"/>
      <c r="AP45" s="282" t="n"/>
      <c r="AQ45" s="33">
        <f>(AO45-AO41)/AO41</f>
        <v/>
      </c>
      <c r="AR45" s="33">
        <f>(AO45-AP45)/AP45</f>
        <v/>
      </c>
    </row>
    <row customHeight="1" ht="15.75" r="46" s="452" spans="1:45">
      <c r="A46" s="29" t="s">
        <v>42</v>
      </c>
      <c r="B46" s="29" t="s">
        <v>86</v>
      </c>
      <c r="C46" s="30">
        <f>C42+7</f>
        <v/>
      </c>
      <c r="D46" s="31" t="s">
        <v>60</v>
      </c>
      <c r="E46" s="531">
        <f>E47+E48</f>
        <v/>
      </c>
      <c r="F46" s="531">
        <f>F47+F48</f>
        <v/>
      </c>
      <c r="G46" s="33">
        <f>(E46-E42)/E42</f>
        <v/>
      </c>
      <c r="H46" s="33">
        <f>(E46-F46)/F46</f>
        <v/>
      </c>
      <c r="I46" s="531">
        <f>I47+I48</f>
        <v/>
      </c>
      <c r="J46" s="532">
        <f>J47+J48</f>
        <v/>
      </c>
      <c r="K46" s="33">
        <f>(I46-I42)/I42</f>
        <v/>
      </c>
      <c r="L46" s="33">
        <f>(I46-J46)/J46</f>
        <v/>
      </c>
      <c r="M46" s="532">
        <f>E46/I46</f>
        <v/>
      </c>
      <c r="N46" s="532">
        <f>F46/J46</f>
        <v/>
      </c>
      <c r="O46" s="33">
        <f>(M46-M42)/M42</f>
        <v/>
      </c>
      <c r="P46" s="33">
        <f>(M46-N46)/N46</f>
        <v/>
      </c>
      <c r="Q46" s="533">
        <f>Q47+Q48</f>
        <v/>
      </c>
      <c r="R46" s="533">
        <f>R47+R48</f>
        <v/>
      </c>
      <c r="S46" s="33">
        <f>(Q46-Q42)/Q42</f>
        <v/>
      </c>
      <c r="T46" s="33">
        <f>(Q46-R46)/R46</f>
        <v/>
      </c>
      <c r="U46" s="533">
        <f>U47+U48</f>
        <v/>
      </c>
      <c r="V46" s="533">
        <f>V47+V48</f>
        <v/>
      </c>
      <c r="W46" s="33">
        <f>(U46-U42)/U42</f>
        <v/>
      </c>
      <c r="X46" s="33">
        <f>(U46-V46)/V46</f>
        <v/>
      </c>
      <c r="Y46" s="88">
        <f>U46/Q46</f>
        <v/>
      </c>
      <c r="Z46" s="88">
        <f>V46/R46</f>
        <v/>
      </c>
      <c r="AA46" s="33">
        <f>(Y46-Y42)/Y42</f>
        <v/>
      </c>
      <c r="AB46" s="33">
        <f>(Y46-Z46)/Z46</f>
        <v/>
      </c>
      <c r="AC46" s="540">
        <f>E46/U46</f>
        <v/>
      </c>
      <c r="AD46" s="534">
        <f>F46/V46</f>
        <v/>
      </c>
      <c r="AE46" s="33">
        <f>(AC46-AC42)/AC42</f>
        <v/>
      </c>
      <c r="AF46" s="33">
        <f>(AC46-AD46)/AD46</f>
        <v/>
      </c>
      <c r="AG46" s="533">
        <f>AG47+AG48</f>
        <v/>
      </c>
      <c r="AH46" s="533">
        <f>AH47+AH48</f>
        <v/>
      </c>
      <c r="AI46" s="33">
        <f>(AG46-AG42)/AG42</f>
        <v/>
      </c>
      <c r="AJ46" s="33">
        <f>(AG46-AH46)/AH46</f>
        <v/>
      </c>
      <c r="AK46" s="533">
        <f>AK47+AK48</f>
        <v/>
      </c>
      <c r="AL46" s="533">
        <f>AL47+AL48</f>
        <v/>
      </c>
      <c r="AM46" s="150">
        <f>(AK46-AK42)/AK42</f>
        <v/>
      </c>
      <c r="AN46" s="431">
        <f>(AK46-AL46)/AL46</f>
        <v/>
      </c>
      <c r="AO46" s="33">
        <f>AG46/AK46</f>
        <v/>
      </c>
      <c r="AP46" s="33">
        <f>AH46/AL46</f>
        <v/>
      </c>
      <c r="AQ46" s="33">
        <f>(AO46-AO42)/AO42</f>
        <v/>
      </c>
      <c r="AR46" s="33">
        <f>(AO46-AP46)/AP46</f>
        <v/>
      </c>
      <c r="AS46" t="s">
        <v>87</v>
      </c>
    </row>
    <row customHeight="1" ht="15.75" r="47" s="452" spans="1:45">
      <c r="A47" s="260" t="s">
        <v>42</v>
      </c>
      <c r="B47" s="260" t="s">
        <v>86</v>
      </c>
      <c r="C47" s="261">
        <f>C43+7</f>
        <v/>
      </c>
      <c r="D47" s="260" t="s">
        <v>35</v>
      </c>
      <c r="E47" s="535" t="n">
        <v>28090</v>
      </c>
      <c r="F47" s="535" t="n">
        <v>2001</v>
      </c>
      <c r="G47" s="33">
        <f>(E47-E43)/E43</f>
        <v/>
      </c>
      <c r="H47" s="33">
        <f>(E47-F47)/F47</f>
        <v/>
      </c>
      <c r="I47" s="535">
        <f>810.71+145.33</f>
        <v/>
      </c>
      <c r="J47" s="536">
        <f>632.71+15.68</f>
        <v/>
      </c>
      <c r="K47" s="33">
        <f>(I47-I43)/I43</f>
        <v/>
      </c>
      <c r="L47" s="33">
        <f>(I47-J47)/J47</f>
        <v/>
      </c>
      <c r="M47" s="536">
        <f>E47/I47</f>
        <v/>
      </c>
      <c r="N47" s="536">
        <f>F47/J47</f>
        <v/>
      </c>
      <c r="O47" s="33">
        <f>(M47-M43)/M43</f>
        <v/>
      </c>
      <c r="P47" s="33">
        <f>(M47-N47)/N47</f>
        <v/>
      </c>
      <c r="Q47" s="537" t="n">
        <v>12781</v>
      </c>
      <c r="R47" s="537" t="n">
        <v>2591</v>
      </c>
      <c r="S47" s="33">
        <f>(Q47-Q43)/Q43</f>
        <v/>
      </c>
      <c r="T47" s="33">
        <f>(Q47-R47)/R47</f>
        <v/>
      </c>
      <c r="U47" s="537" t="n">
        <v>454</v>
      </c>
      <c r="V47" s="537" t="n">
        <v>15</v>
      </c>
      <c r="W47" s="33">
        <f>(U47-U43)/U43</f>
        <v/>
      </c>
      <c r="X47" s="33">
        <f>(U47-V47)/V47</f>
        <v/>
      </c>
      <c r="Y47" s="113">
        <f>U47/Q47</f>
        <v/>
      </c>
      <c r="Z47" s="113">
        <f>V47/R47</f>
        <v/>
      </c>
      <c r="AA47" s="33">
        <f>(Y47-Y43)/Y43</f>
        <v/>
      </c>
      <c r="AB47" s="33">
        <f>(Y47-Z47)/Z47</f>
        <v/>
      </c>
      <c r="AC47" s="529">
        <f>E47/U47</f>
        <v/>
      </c>
      <c r="AD47" s="534">
        <f>F47/V47</f>
        <v/>
      </c>
      <c r="AE47" s="33">
        <f>(AC47-AC43)/AC43</f>
        <v/>
      </c>
      <c r="AF47" s="33">
        <f>(AC47-AD47)/AD47</f>
        <v/>
      </c>
      <c r="AG47" s="537">
        <f>8545+718</f>
        <v/>
      </c>
      <c r="AH47" s="537">
        <f>1908+100</f>
        <v/>
      </c>
      <c r="AI47" s="33">
        <f>(AG47-AG43)/AG43</f>
        <v/>
      </c>
      <c r="AJ47" s="33">
        <f>(AG47-AH47)/AH47</f>
        <v/>
      </c>
      <c r="AK47" s="537">
        <f>18537+2968</f>
        <v/>
      </c>
      <c r="AL47" s="537">
        <f>5459+244</f>
        <v/>
      </c>
      <c r="AM47" s="150">
        <f>(AK47-AK43)/AK43</f>
        <v/>
      </c>
      <c r="AN47" s="431">
        <f>(AK47-AL47)/AL47</f>
        <v/>
      </c>
      <c r="AO47" s="282">
        <f>AG47/AK47</f>
        <v/>
      </c>
      <c r="AP47" s="282">
        <f>AH47/AL47</f>
        <v/>
      </c>
      <c r="AQ47" s="33">
        <f>(AO47-AO43)/AO43</f>
        <v/>
      </c>
      <c r="AR47" s="33">
        <f>(AO47-AP47)/AP47</f>
        <v/>
      </c>
    </row>
    <row customHeight="1" ht="15.75" r="48" s="452" spans="1:45">
      <c r="A48" s="260" t="s">
        <v>42</v>
      </c>
      <c r="B48" s="260" t="s">
        <v>86</v>
      </c>
      <c r="C48" s="261">
        <f>C44+7</f>
        <v/>
      </c>
      <c r="D48" s="260" t="s">
        <v>36</v>
      </c>
      <c r="E48" s="535" t="n">
        <v>683</v>
      </c>
      <c r="F48" s="535" t="n">
        <v>233</v>
      </c>
      <c r="G48" s="33">
        <f>(E48-E44)/E44</f>
        <v/>
      </c>
      <c r="H48" s="33">
        <f>(E48-F48)/F48</f>
        <v/>
      </c>
      <c r="I48" s="535">
        <f>1859.33+1.11</f>
        <v/>
      </c>
      <c r="J48" s="536">
        <f>1187.86+8.55</f>
        <v/>
      </c>
      <c r="K48" s="33">
        <f>(I48-I44)/I44</f>
        <v/>
      </c>
      <c r="L48" s="33">
        <f>(I48-J48)/J48</f>
        <v/>
      </c>
      <c r="M48" s="536">
        <f>E48/I48</f>
        <v/>
      </c>
      <c r="N48" s="536">
        <f>F48/J48</f>
        <v/>
      </c>
      <c r="O48" s="33">
        <f>(M48-M44)/M44</f>
        <v/>
      </c>
      <c r="P48" s="33">
        <f>(M48-N48)/N48</f>
        <v/>
      </c>
      <c r="Q48" s="537" t="n">
        <v>1944</v>
      </c>
      <c r="R48" s="537" t="n">
        <v>1221</v>
      </c>
      <c r="S48" s="33">
        <f>(Q48-Q44)/Q44</f>
        <v/>
      </c>
      <c r="T48" s="33">
        <f>(Q48-R48)/R48</f>
        <v/>
      </c>
      <c r="U48" s="537" t="n">
        <v>8</v>
      </c>
      <c r="V48" s="537" t="n">
        <v>4</v>
      </c>
      <c r="W48" s="33">
        <f>(U48-U44)/U44</f>
        <v/>
      </c>
      <c r="X48" s="33">
        <f>(U48-V48)/V48</f>
        <v/>
      </c>
      <c r="Y48" s="113">
        <f>U48/Q48</f>
        <v/>
      </c>
      <c r="Z48" s="113">
        <f>V48/R48</f>
        <v/>
      </c>
      <c r="AA48" s="33">
        <f>(Y48-Y44)/Y44</f>
        <v/>
      </c>
      <c r="AB48" s="33">
        <f>(Y48-Z48)/Z48</f>
        <v/>
      </c>
      <c r="AC48" s="529">
        <f>E48/U48</f>
        <v/>
      </c>
      <c r="AD48" s="534">
        <f>F48/V48</f>
        <v/>
      </c>
      <c r="AE48" s="33">
        <f>(AC48-AC44)/AC44</f>
        <v/>
      </c>
      <c r="AF48" s="33">
        <f>(AC48-AD48)/AD48</f>
        <v/>
      </c>
      <c r="AG48" s="537">
        <f>1655+2</f>
        <v/>
      </c>
      <c r="AH48" s="537">
        <f>1126+15</f>
        <v/>
      </c>
      <c r="AI48" s="33">
        <f>(AG48-AG44)/AG44</f>
        <v/>
      </c>
      <c r="AJ48" s="33">
        <f>(AG48-AH48)/AH48</f>
        <v/>
      </c>
      <c r="AK48" s="537">
        <f>24092+18</f>
        <v/>
      </c>
      <c r="AL48" s="537">
        <f>16484+276</f>
        <v/>
      </c>
      <c r="AM48" s="150">
        <f>(AK48-AK44)/AK44</f>
        <v/>
      </c>
      <c r="AN48" s="431">
        <f>(AK48-AL48)/AL48</f>
        <v/>
      </c>
      <c r="AO48" s="282">
        <f>AG48/AK48</f>
        <v/>
      </c>
      <c r="AP48" s="282">
        <f>AH48/AL48</f>
        <v/>
      </c>
      <c r="AQ48" s="33">
        <f>(AO48-AO44)/AO44</f>
        <v/>
      </c>
      <c r="AR48" s="33">
        <f>(AO48-AP48)/AP48</f>
        <v/>
      </c>
    </row>
    <row customHeight="1" ht="15.75" r="49" s="452" spans="1:45">
      <c r="A49" s="260" t="s">
        <v>42</v>
      </c>
      <c r="B49" s="260" t="s">
        <v>86</v>
      </c>
      <c r="C49" s="261">
        <f>C45+7</f>
        <v/>
      </c>
      <c r="D49" s="260" t="s">
        <v>37</v>
      </c>
      <c r="E49" s="535" t="n"/>
      <c r="F49" s="535" t="n"/>
      <c r="G49" s="33">
        <f>(E49-E45)/E45</f>
        <v/>
      </c>
      <c r="H49" s="33">
        <f>(E49-F49)/F49</f>
        <v/>
      </c>
      <c r="I49" s="535" t="n"/>
      <c r="J49" s="536" t="n"/>
      <c r="K49" s="33">
        <f>(I49-I45)/I45</f>
        <v/>
      </c>
      <c r="L49" s="33">
        <f>(I49-J49)/J49</f>
        <v/>
      </c>
      <c r="M49" s="536" t="n"/>
      <c r="N49" s="536" t="n"/>
      <c r="O49" s="33">
        <f>(M49-M45)/M45</f>
        <v/>
      </c>
      <c r="P49" s="33">
        <f>(M49-N49)/N49</f>
        <v/>
      </c>
      <c r="Q49" s="537" t="n"/>
      <c r="R49" s="537" t="n"/>
      <c r="S49" s="33">
        <f>(Q49-Q45)/Q45</f>
        <v/>
      </c>
      <c r="T49" s="33">
        <f>(Q49-R49)/R49</f>
        <v/>
      </c>
      <c r="U49" s="537" t="n"/>
      <c r="V49" s="537" t="n"/>
      <c r="W49" s="33">
        <f>(U49-U45)/U45</f>
        <v/>
      </c>
      <c r="X49" s="33">
        <f>(U49-V49)/V49</f>
        <v/>
      </c>
      <c r="Y49" s="113" t="n"/>
      <c r="Z49" s="113" t="n"/>
      <c r="AA49" s="33">
        <f>(Y49-Y45)/Y45</f>
        <v/>
      </c>
      <c r="AB49" s="33">
        <f>(Y49-Z49)/Z49</f>
        <v/>
      </c>
      <c r="AC49" s="529" t="n"/>
      <c r="AD49" s="534" t="n"/>
      <c r="AE49" s="33">
        <f>(AC49-AC45)/AC45</f>
        <v/>
      </c>
      <c r="AF49" s="33">
        <f>(AC49-AD49)/AD49</f>
        <v/>
      </c>
      <c r="AG49" s="537" t="n"/>
      <c r="AH49" s="537" t="n"/>
      <c r="AI49" s="33">
        <f>(AG49-AG45)/AG45</f>
        <v/>
      </c>
      <c r="AJ49" s="33">
        <f>(AG49-AH49)/AH49</f>
        <v/>
      </c>
      <c r="AK49" s="537" t="n"/>
      <c r="AL49" s="537" t="n"/>
      <c r="AM49" s="150">
        <f>(AK49-AK45)/AK45</f>
        <v/>
      </c>
      <c r="AN49" s="431">
        <f>(AK49-AL49)/AL49</f>
        <v/>
      </c>
      <c r="AO49" s="282" t="n"/>
      <c r="AP49" s="282" t="n"/>
      <c r="AQ49" s="33">
        <f>(AO49-AO45)/AO45</f>
        <v/>
      </c>
      <c r="AR49" s="33">
        <f>(AO49-AP49)/AP49</f>
        <v/>
      </c>
    </row>
    <row customFormat="1" customHeight="1" ht="15.75" r="50" s="108" spans="1:45">
      <c r="A50" s="272" t="s">
        <v>43</v>
      </c>
      <c r="B50" s="272" t="s">
        <v>88</v>
      </c>
      <c r="C50" s="273">
        <f>C46+7</f>
        <v/>
      </c>
      <c r="D50" s="274" t="s">
        <v>60</v>
      </c>
      <c r="E50" s="541">
        <f>E51+E52</f>
        <v/>
      </c>
      <c r="F50" s="541">
        <f>F51+F52</f>
        <v/>
      </c>
      <c r="G50" s="116">
        <f>(E50-E46)/E46</f>
        <v/>
      </c>
      <c r="H50" s="116">
        <f>(E50-F50)/F50</f>
        <v/>
      </c>
      <c r="I50" s="541">
        <f>I51+I52</f>
        <v/>
      </c>
      <c r="J50" s="542">
        <f>J51+J52</f>
        <v/>
      </c>
      <c r="K50" s="116">
        <f>(I50-I46)/I46</f>
        <v/>
      </c>
      <c r="L50" s="116">
        <f>(I50-J50)/J50</f>
        <v/>
      </c>
      <c r="M50" s="542">
        <f>E50/I50</f>
        <v/>
      </c>
      <c r="N50" s="542">
        <f>F50/J50</f>
        <v/>
      </c>
      <c r="O50" s="116">
        <f>(M50-M46)/M46</f>
        <v/>
      </c>
      <c r="P50" s="116">
        <f>(M50-N50)/N50</f>
        <v/>
      </c>
      <c r="Q50" s="543">
        <f>Q51+Q52</f>
        <v/>
      </c>
      <c r="R50" s="543">
        <f>R51+R52</f>
        <v/>
      </c>
      <c r="S50" s="116">
        <f>(Q50-Q46)/Q46</f>
        <v/>
      </c>
      <c r="T50" s="116">
        <f>(Q50-R50)/R50</f>
        <v/>
      </c>
      <c r="U50" s="543">
        <f>U51+U52</f>
        <v/>
      </c>
      <c r="V50" s="543">
        <f>V51+V52</f>
        <v/>
      </c>
      <c r="W50" s="116">
        <f>(U50-U46)/U46</f>
        <v/>
      </c>
      <c r="X50" s="116">
        <f>(U50-V50)/V50</f>
        <v/>
      </c>
      <c r="Y50" s="119">
        <f>U50/Q50</f>
        <v/>
      </c>
      <c r="Z50" s="119">
        <f>V50/R50</f>
        <v/>
      </c>
      <c r="AA50" s="116">
        <f>(Y50-Y46)/Y46</f>
        <v/>
      </c>
      <c r="AB50" s="116">
        <f>(Y50-Z50)/Z50</f>
        <v/>
      </c>
      <c r="AC50" s="544">
        <f>E50/U50</f>
        <v/>
      </c>
      <c r="AD50" s="545">
        <f>F50/V50</f>
        <v/>
      </c>
      <c r="AE50" s="116">
        <f>(AC50-AC46)/AC46</f>
        <v/>
      </c>
      <c r="AF50" s="116">
        <f>(AC50-AD50)/AD50</f>
        <v/>
      </c>
      <c r="AG50" s="543">
        <f>AG51+AG52</f>
        <v/>
      </c>
      <c r="AH50" s="543">
        <f>AH51+AH52</f>
        <v/>
      </c>
      <c r="AI50" s="116">
        <f>(AG50-AG46)/AG46</f>
        <v/>
      </c>
      <c r="AJ50" s="116">
        <f>(AG50-AH50)/AH50</f>
        <v/>
      </c>
      <c r="AK50" s="543">
        <f>AK51+AK52</f>
        <v/>
      </c>
      <c r="AL50" s="543">
        <f>AL51+AL52</f>
        <v/>
      </c>
      <c r="AM50" s="276">
        <f>(AK50-AK46)/AK46</f>
        <v/>
      </c>
      <c r="AN50" s="277">
        <f>(AK50-AL50)/AL50</f>
        <v/>
      </c>
      <c r="AO50" s="116">
        <f>AG50/AK50</f>
        <v/>
      </c>
      <c r="AP50" s="116">
        <f>AH50/AL50</f>
        <v/>
      </c>
      <c r="AQ50" s="116">
        <f>(AO50-AO46)/AO46</f>
        <v/>
      </c>
      <c r="AR50" s="116">
        <f>(AO50-AP50)/AP50</f>
        <v/>
      </c>
      <c r="AS50" s="108" t="s">
        <v>89</v>
      </c>
    </row>
    <row customHeight="1" ht="15.75" r="51" s="452" spans="1:45">
      <c r="A51" s="260" t="s">
        <v>43</v>
      </c>
      <c r="B51" s="260" t="s">
        <v>88</v>
      </c>
      <c r="C51" s="261">
        <f>C47+7</f>
        <v/>
      </c>
      <c r="D51" s="260" t="s">
        <v>35</v>
      </c>
      <c r="E51" s="535" t="n">
        <v>34918</v>
      </c>
      <c r="F51" s="535" t="n">
        <v>2434</v>
      </c>
      <c r="G51" s="33">
        <f>(E51-E47)/E47</f>
        <v/>
      </c>
      <c r="H51" s="33">
        <f>(E51-F51)/F51</f>
        <v/>
      </c>
      <c r="I51" s="535">
        <f>682.11+103.09</f>
        <v/>
      </c>
      <c r="J51" s="536">
        <f>406.17+28.18</f>
        <v/>
      </c>
      <c r="K51" s="33">
        <f>(I51-I47)/I47</f>
        <v/>
      </c>
      <c r="L51" s="33">
        <f>(I51-J51)/J51</f>
        <v/>
      </c>
      <c r="M51" s="536">
        <f>E51/I51</f>
        <v/>
      </c>
      <c r="N51" s="536">
        <f>F51/J51</f>
        <v/>
      </c>
      <c r="O51" s="33">
        <f>(M51-M47)/M47</f>
        <v/>
      </c>
      <c r="P51" s="33">
        <f>(M51-N51)/N51</f>
        <v/>
      </c>
      <c r="Q51" s="537" t="n">
        <v>13262</v>
      </c>
      <c r="R51" s="537" t="n">
        <v>2938</v>
      </c>
      <c r="S51" s="33">
        <f>(Q51-Q47)/Q47</f>
        <v/>
      </c>
      <c r="T51" s="33">
        <f>(Q51-R51)/R51</f>
        <v/>
      </c>
      <c r="U51" s="537" t="n">
        <v>561</v>
      </c>
      <c r="V51" s="537" t="n">
        <v>23</v>
      </c>
      <c r="W51" s="33">
        <f>(U51-U47)/U47</f>
        <v/>
      </c>
      <c r="X51" s="33">
        <f>(U51-V51)/V51</f>
        <v/>
      </c>
      <c r="Y51" s="113">
        <f>U51/Q51</f>
        <v/>
      </c>
      <c r="Z51" s="113">
        <f>V51/R51</f>
        <v/>
      </c>
      <c r="AA51" s="33">
        <f>(Y51-Y47)/Y47</f>
        <v/>
      </c>
      <c r="AB51" s="33">
        <f>(Y51-Z51)/Z51</f>
        <v/>
      </c>
      <c r="AC51" s="529">
        <f>E51/U51</f>
        <v/>
      </c>
      <c r="AD51" s="534">
        <f>F51/V51</f>
        <v/>
      </c>
      <c r="AE51" s="33">
        <f>(AC51-AC47)/AC47</f>
        <v/>
      </c>
      <c r="AF51" s="33">
        <f>(AC51-AD51)/AD51</f>
        <v/>
      </c>
      <c r="AG51" s="537">
        <f>8954+615</f>
        <v/>
      </c>
      <c r="AH51" s="537">
        <f>2212+104</f>
        <v/>
      </c>
      <c r="AI51" s="33">
        <f>(AG51-AG47)/AG47</f>
        <v/>
      </c>
      <c r="AJ51" s="33">
        <f>(AG51-AH51)/AH51</f>
        <v/>
      </c>
      <c r="AK51" s="537">
        <f>18834+1360</f>
        <v/>
      </c>
      <c r="AL51" s="537">
        <f>6032+285</f>
        <v/>
      </c>
      <c r="AM51" s="150">
        <f>(AK51-AK47)/AK47</f>
        <v/>
      </c>
      <c r="AN51" s="431">
        <f>(AK51-AL51)/AL51</f>
        <v/>
      </c>
      <c r="AO51" s="282">
        <f>AG51/AK51</f>
        <v/>
      </c>
      <c r="AP51" s="282">
        <f>AH51/AL51</f>
        <v/>
      </c>
      <c r="AQ51" s="33">
        <f>(AO51-AO47)/AO47</f>
        <v/>
      </c>
      <c r="AR51" s="33">
        <f>(AO51-AP51)/AP51</f>
        <v/>
      </c>
    </row>
    <row customHeight="1" ht="15.75" r="52" s="452" spans="1:45">
      <c r="A52" s="260" t="s">
        <v>43</v>
      </c>
      <c r="B52" s="260" t="s">
        <v>88</v>
      </c>
      <c r="C52" s="261">
        <f>C48+7</f>
        <v/>
      </c>
      <c r="D52" s="260" t="s">
        <v>36</v>
      </c>
      <c r="E52" s="535" t="n">
        <v>173</v>
      </c>
      <c r="F52" s="535" t="n">
        <v>144</v>
      </c>
      <c r="G52" s="33">
        <f>(E52-E48)/E48</f>
        <v/>
      </c>
      <c r="H52" s="33">
        <f>(E52-F52)/F52</f>
        <v/>
      </c>
      <c r="I52" s="535">
        <f>638.57+102.24</f>
        <v/>
      </c>
      <c r="J52" s="536">
        <f>2203.13+89.86</f>
        <v/>
      </c>
      <c r="K52" s="33">
        <f>(I52-I48)/I48</f>
        <v/>
      </c>
      <c r="L52" s="33">
        <f>(I52-J52)/J52</f>
        <v/>
      </c>
      <c r="M52" s="536">
        <f>E52/I52</f>
        <v/>
      </c>
      <c r="N52" s="536">
        <f>F52/J52</f>
        <v/>
      </c>
      <c r="O52" s="33">
        <f>(M52-M48)/M48</f>
        <v/>
      </c>
      <c r="P52" s="33">
        <f>(M52-N52)/N52</f>
        <v/>
      </c>
      <c r="Q52" s="537" t="n">
        <v>944</v>
      </c>
      <c r="R52" s="537" t="n">
        <v>2568</v>
      </c>
      <c r="S52" s="33">
        <f>(Q52-Q48)/Q48</f>
        <v/>
      </c>
      <c r="T52" s="33">
        <f>(Q52-R52)/R52</f>
        <v/>
      </c>
      <c r="U52" s="537" t="n">
        <v>2</v>
      </c>
      <c r="V52" s="537" t="n">
        <v>2</v>
      </c>
      <c r="W52" s="33">
        <f>(U52-U48)/U48</f>
        <v/>
      </c>
      <c r="X52" s="33">
        <f>(U52-V52)/V52</f>
        <v/>
      </c>
      <c r="Y52" s="113">
        <f>U52/Q52</f>
        <v/>
      </c>
      <c r="Z52" s="113">
        <f>V52/R52</f>
        <v/>
      </c>
      <c r="AA52" s="33">
        <f>(Y52-Y48)/Y48</f>
        <v/>
      </c>
      <c r="AB52" s="33">
        <f>(Y52-Z52)/Z52</f>
        <v/>
      </c>
      <c r="AC52" s="529">
        <f>E52/U52</f>
        <v/>
      </c>
      <c r="AD52" s="534">
        <f>F52/V52</f>
        <v/>
      </c>
      <c r="AE52" s="33">
        <f>(AC52-AC48)/AC48</f>
        <v/>
      </c>
      <c r="AF52" s="33">
        <f>(AC52-AD52)/AD52</f>
        <v/>
      </c>
      <c r="AG52" s="537">
        <f>707+85</f>
        <v/>
      </c>
      <c r="AH52" s="537">
        <f>2435+103</f>
        <v/>
      </c>
      <c r="AI52" s="33">
        <f>(AG52-AG48)/AG48</f>
        <v/>
      </c>
      <c r="AJ52" s="33">
        <f>(AG52-AH52)/AH52</f>
        <v/>
      </c>
      <c r="AK52" s="537">
        <f>10906+1028</f>
        <v/>
      </c>
      <c r="AL52" s="537">
        <f>30226+1610</f>
        <v/>
      </c>
      <c r="AM52" s="150">
        <f>(AK52-AK48)/AK48</f>
        <v/>
      </c>
      <c r="AN52" s="431">
        <f>(AK52-AL52)/AL52</f>
        <v/>
      </c>
      <c r="AO52" s="282">
        <f>AG52/AK52</f>
        <v/>
      </c>
      <c r="AP52" s="282">
        <f>AH52/AL52</f>
        <v/>
      </c>
      <c r="AQ52" s="33">
        <f>(AO52-AO48)/AO48</f>
        <v/>
      </c>
      <c r="AR52" s="33">
        <f>(AO52-AP52)/AP52</f>
        <v/>
      </c>
    </row>
    <row customHeight="1" ht="15.75" r="53" s="452" spans="1:45">
      <c r="A53" s="260" t="s">
        <v>43</v>
      </c>
      <c r="B53" s="260" t="s">
        <v>88</v>
      </c>
      <c r="C53" s="261">
        <f>C49+7</f>
        <v/>
      </c>
      <c r="D53" s="260" t="s">
        <v>37</v>
      </c>
      <c r="E53" s="535" t="n"/>
      <c r="F53" s="535" t="n"/>
      <c r="G53" s="33">
        <f>(E53-E49)/E49</f>
        <v/>
      </c>
      <c r="H53" s="33">
        <f>(E53-F53)/F53</f>
        <v/>
      </c>
      <c r="I53" s="535" t="n"/>
      <c r="J53" s="536" t="n"/>
      <c r="K53" s="33">
        <f>(I53-I49)/I49</f>
        <v/>
      </c>
      <c r="L53" s="33">
        <f>(I53-J53)/J53</f>
        <v/>
      </c>
      <c r="M53" s="536" t="n"/>
      <c r="N53" s="536" t="n"/>
      <c r="O53" s="33">
        <f>(M53-M49)/M49</f>
        <v/>
      </c>
      <c r="P53" s="33">
        <f>(M53-N53)/N53</f>
        <v/>
      </c>
      <c r="Q53" s="537" t="n"/>
      <c r="R53" s="537" t="n"/>
      <c r="S53" s="33">
        <f>(Q53-Q49)/Q49</f>
        <v/>
      </c>
      <c r="T53" s="33">
        <f>(Q53-R53)/R53</f>
        <v/>
      </c>
      <c r="U53" s="537" t="n"/>
      <c r="V53" s="537" t="n"/>
      <c r="W53" s="33">
        <f>(U53-U49)/U49</f>
        <v/>
      </c>
      <c r="X53" s="33">
        <f>(U53-V53)/V53</f>
        <v/>
      </c>
      <c r="Y53" s="113" t="n"/>
      <c r="Z53" s="113" t="n"/>
      <c r="AA53" s="33">
        <f>(Y53-Y49)/Y49</f>
        <v/>
      </c>
      <c r="AB53" s="33">
        <f>(Y53-Z53)/Z53</f>
        <v/>
      </c>
      <c r="AC53" s="529" t="n"/>
      <c r="AD53" s="534" t="n"/>
      <c r="AE53" s="33">
        <f>(AC53-AC49)/AC49</f>
        <v/>
      </c>
      <c r="AF53" s="33">
        <f>(AC53-AD53)/AD53</f>
        <v/>
      </c>
      <c r="AG53" s="537" t="n"/>
      <c r="AH53" s="537" t="n"/>
      <c r="AI53" s="33">
        <f>(AG53-AG49)/AG49</f>
        <v/>
      </c>
      <c r="AJ53" s="33">
        <f>(AG53-AH53)/AH53</f>
        <v/>
      </c>
      <c r="AK53" s="537" t="n"/>
      <c r="AL53" s="537" t="n"/>
      <c r="AM53" s="150">
        <f>(AK53-AK49)/AK49</f>
        <v/>
      </c>
      <c r="AN53" s="431">
        <f>(AK53-AL53)/AL53</f>
        <v/>
      </c>
      <c r="AO53" s="282" t="n"/>
      <c r="AP53" s="282" t="n"/>
      <c r="AQ53" s="33">
        <f>(AO53-AO49)/AO49</f>
        <v/>
      </c>
      <c r="AR53" s="33">
        <f>(AO53-AP53)/AP53</f>
        <v/>
      </c>
    </row>
    <row customHeight="1" ht="15.75" r="54" s="452" spans="1:45">
      <c r="A54" s="29" t="s">
        <v>43</v>
      </c>
      <c r="B54" s="29" t="s">
        <v>90</v>
      </c>
      <c r="C54" s="30">
        <f>C50+7</f>
        <v/>
      </c>
      <c r="D54" s="31" t="s">
        <v>60</v>
      </c>
      <c r="E54" s="531">
        <f>E55+E56</f>
        <v/>
      </c>
      <c r="F54" s="531">
        <f>F55+F56</f>
        <v/>
      </c>
      <c r="G54" s="33">
        <f>(E54-E50)/E50</f>
        <v/>
      </c>
      <c r="H54" s="33">
        <f>(E54-F54)/F54</f>
        <v/>
      </c>
      <c r="I54" s="531">
        <f>I55+I56</f>
        <v/>
      </c>
      <c r="J54" s="532">
        <f>J55+J56</f>
        <v/>
      </c>
      <c r="K54" s="33">
        <f>(I54-I50)/I50</f>
        <v/>
      </c>
      <c r="L54" s="33">
        <f>(I54-J54)/J54</f>
        <v/>
      </c>
      <c r="M54" s="532">
        <f>E54/I54</f>
        <v/>
      </c>
      <c r="N54" s="532">
        <f>F54/J54</f>
        <v/>
      </c>
      <c r="O54" s="33">
        <f>(M54-M50)/M50</f>
        <v/>
      </c>
      <c r="P54" s="33">
        <f>(M54-N54)/N54</f>
        <v/>
      </c>
      <c r="Q54" s="533">
        <f>Q55+Q56</f>
        <v/>
      </c>
      <c r="R54" s="533">
        <f>R55+R56</f>
        <v/>
      </c>
      <c r="S54" s="33">
        <f>(Q54-Q50)/Q50</f>
        <v/>
      </c>
      <c r="T54" s="33">
        <f>(Q54-R54)/R54</f>
        <v/>
      </c>
      <c r="U54" s="533">
        <f>U55+U56</f>
        <v/>
      </c>
      <c r="V54" s="533">
        <f>V55+V56</f>
        <v/>
      </c>
      <c r="W54" s="33">
        <f>(U54-U50)/U50</f>
        <v/>
      </c>
      <c r="X54" s="33">
        <f>(U54-V54)/V54</f>
        <v/>
      </c>
      <c r="Y54" s="88">
        <f>U54/Q54</f>
        <v/>
      </c>
      <c r="Z54" s="88">
        <f>V54/R54</f>
        <v/>
      </c>
      <c r="AA54" s="33">
        <f>(Y54-Y50)/Y50</f>
        <v/>
      </c>
      <c r="AB54" s="33">
        <f>(Y54-Z54)/Z54</f>
        <v/>
      </c>
      <c r="AC54" s="540">
        <f>E54/U54</f>
        <v/>
      </c>
      <c r="AD54" s="534">
        <f>F54/V54</f>
        <v/>
      </c>
      <c r="AE54" s="33">
        <f>(AC54-AC50)/AC50</f>
        <v/>
      </c>
      <c r="AF54" s="33">
        <f>(AC54-AD54)/AD54</f>
        <v/>
      </c>
      <c r="AG54" s="533">
        <f>AG55+AG56</f>
        <v/>
      </c>
      <c r="AH54" s="533">
        <f>AH55+AH56</f>
        <v/>
      </c>
      <c r="AI54" s="33">
        <f>(AG54-AG50)/AG50</f>
        <v/>
      </c>
      <c r="AJ54" s="33">
        <f>(AG54-AH54)/AH54</f>
        <v/>
      </c>
      <c r="AK54" s="533">
        <f>AK55+AK56</f>
        <v/>
      </c>
      <c r="AL54" s="533">
        <f>AL55+AL56</f>
        <v/>
      </c>
      <c r="AM54" s="150">
        <f>(AK54-AK50)/AK50</f>
        <v/>
      </c>
      <c r="AN54" s="431">
        <f>(AK54-AL54)/AL54</f>
        <v/>
      </c>
      <c r="AO54" s="33">
        <f>AG54/AK54</f>
        <v/>
      </c>
      <c r="AP54" s="33">
        <f>AH54/AL54</f>
        <v/>
      </c>
      <c r="AQ54" s="33">
        <f>(AO54-AO50)/AO50</f>
        <v/>
      </c>
      <c r="AR54" s="33">
        <f>(AO54-AP54)/AP54</f>
        <v/>
      </c>
      <c r="AS54" t="s">
        <v>91</v>
      </c>
    </row>
    <row customHeight="1" ht="15.75" r="55" s="452" spans="1:45">
      <c r="A55" s="260" t="s">
        <v>43</v>
      </c>
      <c r="B55" s="260" t="s">
        <v>90</v>
      </c>
      <c r="C55" s="261">
        <f>C51+7</f>
        <v/>
      </c>
      <c r="D55" s="260" t="s">
        <v>35</v>
      </c>
      <c r="E55" s="535" t="n">
        <v>24413</v>
      </c>
      <c r="F55" s="535" t="n">
        <v>3640</v>
      </c>
      <c r="G55" s="33">
        <f>(E55-E51)/E51</f>
        <v/>
      </c>
      <c r="H55" s="33">
        <f>(E55-F55)/F55</f>
        <v/>
      </c>
      <c r="I55" s="535">
        <f>447.61+57.85</f>
        <v/>
      </c>
      <c r="J55" s="536">
        <f>573.05+44.14</f>
        <v/>
      </c>
      <c r="K55" s="33">
        <f>(I55-I51)/I51</f>
        <v/>
      </c>
      <c r="L55" s="33">
        <f>(I55-J55)/J55</f>
        <v/>
      </c>
      <c r="M55" s="536">
        <f>E55/I55</f>
        <v/>
      </c>
      <c r="N55" s="536">
        <f>F55/J55</f>
        <v/>
      </c>
      <c r="O55" s="33">
        <f>(M55-M51)/M51</f>
        <v/>
      </c>
      <c r="P55" s="33">
        <f>(M55-N55)/N55</f>
        <v/>
      </c>
      <c r="Q55" s="537" t="n">
        <v>7759</v>
      </c>
      <c r="R55" s="537" t="n">
        <v>3439</v>
      </c>
      <c r="S55" s="33">
        <f>(Q55-Q51)/Q51</f>
        <v/>
      </c>
      <c r="T55" s="33">
        <f>(Q55-R55)/R55</f>
        <v/>
      </c>
      <c r="U55" s="537" t="n">
        <v>304</v>
      </c>
      <c r="V55" s="537" t="n">
        <v>37</v>
      </c>
      <c r="W55" s="33">
        <f>(U55-U51)/U51</f>
        <v/>
      </c>
      <c r="X55" s="33">
        <f>(U55-V55)/V55</f>
        <v/>
      </c>
      <c r="Y55" s="113">
        <f>U55/Q55</f>
        <v/>
      </c>
      <c r="Z55" s="113">
        <f>V55/R55</f>
        <v/>
      </c>
      <c r="AA55" s="33">
        <f>(Y55-Y51)/Y51</f>
        <v/>
      </c>
      <c r="AB55" s="33">
        <f>(Y55-Z55)/Z55</f>
        <v/>
      </c>
      <c r="AC55" s="529">
        <f>E55/U55</f>
        <v/>
      </c>
      <c r="AD55" s="534">
        <f>F55/V55</f>
        <v/>
      </c>
      <c r="AE55" s="33">
        <f>(AC55-AC51)/AC51</f>
        <v/>
      </c>
      <c r="AF55" s="33">
        <f>(AC55-AD55)/AD55</f>
        <v/>
      </c>
      <c r="AG55" s="537">
        <f>4855+284</f>
        <v/>
      </c>
      <c r="AH55" s="537">
        <f>2538+157</f>
        <v/>
      </c>
      <c r="AI55" s="33">
        <f>(AG55-AG51)/AG51</f>
        <v/>
      </c>
      <c r="AJ55" s="33">
        <f>(AG55-AH55)/AH55</f>
        <v/>
      </c>
      <c r="AK55" s="537">
        <f>12237+697</f>
        <v/>
      </c>
      <c r="AL55" s="537">
        <f>6794+414</f>
        <v/>
      </c>
      <c r="AM55" s="150">
        <f>(AK55-AK51)/AK51</f>
        <v/>
      </c>
      <c r="AN55" s="431">
        <f>(AK55-AL55)/AL55</f>
        <v/>
      </c>
      <c r="AO55" s="282">
        <f>AG55/AK55</f>
        <v/>
      </c>
      <c r="AP55" s="282">
        <f>AH55/AL55</f>
        <v/>
      </c>
      <c r="AQ55" s="33">
        <f>(AO55-AO51)/AO51</f>
        <v/>
      </c>
      <c r="AR55" s="33">
        <f>(AO55-AP55)/AP55</f>
        <v/>
      </c>
    </row>
    <row customHeight="1" ht="15.75" r="56" s="452" spans="1:45">
      <c r="A56" s="260" t="s">
        <v>43</v>
      </c>
      <c r="B56" s="260" t="s">
        <v>90</v>
      </c>
      <c r="C56" s="261">
        <f>C52+7</f>
        <v/>
      </c>
      <c r="D56" s="260" t="s">
        <v>36</v>
      </c>
      <c r="E56" s="535" t="n">
        <v>291</v>
      </c>
      <c r="F56" s="535" t="n">
        <v>396</v>
      </c>
      <c r="G56" s="33">
        <f>(E56-E52)/E52</f>
        <v/>
      </c>
      <c r="H56" s="33">
        <f>(E56-F56)/F56</f>
        <v/>
      </c>
      <c r="I56" s="535" t="n">
        <v>530.26</v>
      </c>
      <c r="J56" s="536">
        <f>2334.52+109.57</f>
        <v/>
      </c>
      <c r="K56" s="33">
        <f>(I56-I52)/I52</f>
        <v/>
      </c>
      <c r="L56" s="33">
        <f>(I56-J56)/J56</f>
        <v/>
      </c>
      <c r="M56" s="536">
        <f>E56/I56</f>
        <v/>
      </c>
      <c r="N56" s="536">
        <f>F56/J56</f>
        <v/>
      </c>
      <c r="O56" s="33">
        <f>(M56-M52)/M52</f>
        <v/>
      </c>
      <c r="P56" s="33">
        <f>(M56-N56)/N56</f>
        <v/>
      </c>
      <c r="Q56" s="537" t="n">
        <v>687</v>
      </c>
      <c r="R56" s="537" t="n">
        <v>2642</v>
      </c>
      <c r="S56" s="33">
        <f>(Q56-Q52)/Q52</f>
        <v/>
      </c>
      <c r="T56" s="33">
        <f>(Q56-R56)/R56</f>
        <v/>
      </c>
      <c r="U56" s="537" t="n">
        <v>3</v>
      </c>
      <c r="V56" s="537" t="n">
        <v>5</v>
      </c>
      <c r="W56" s="33">
        <f>(U56-U52)/U52</f>
        <v/>
      </c>
      <c r="X56" s="33">
        <f>(U56-V56)/V56</f>
        <v/>
      </c>
      <c r="Y56" s="113">
        <f>U56/Q56</f>
        <v/>
      </c>
      <c r="Z56" s="113">
        <f>V56/R56</f>
        <v/>
      </c>
      <c r="AA56" s="33">
        <f>(Y56-Y52)/Y52</f>
        <v/>
      </c>
      <c r="AB56" s="33">
        <f>(Y56-Z56)/Z56</f>
        <v/>
      </c>
      <c r="AC56" s="529">
        <f>E56/U56</f>
        <v/>
      </c>
      <c r="AD56" s="534">
        <f>F56/V56</f>
        <v/>
      </c>
      <c r="AE56" s="33">
        <f>(AC56-AC52)/AC52</f>
        <v/>
      </c>
      <c r="AF56" s="33">
        <f>(AC56-AD56)/AD56</f>
        <v/>
      </c>
      <c r="AG56" s="537" t="n">
        <v>525</v>
      </c>
      <c r="AH56" s="537">
        <f>2461+142</f>
        <v/>
      </c>
      <c r="AI56" s="33">
        <f>(AG56-AG52)/AG52</f>
        <v/>
      </c>
      <c r="AJ56" s="33">
        <f>(AG56-AH56)/AH56</f>
        <v/>
      </c>
      <c r="AK56" s="537" t="n">
        <v>6776</v>
      </c>
      <c r="AL56" s="537">
        <f>31635+2377</f>
        <v/>
      </c>
      <c r="AM56" s="150">
        <f>(AK56-AK52)/AK52</f>
        <v/>
      </c>
      <c r="AN56" s="431">
        <f>(AK56-AL56)/AL56</f>
        <v/>
      </c>
      <c r="AO56" s="282">
        <f>AG56/AK56</f>
        <v/>
      </c>
      <c r="AP56" s="282">
        <f>AH56/AL56</f>
        <v/>
      </c>
      <c r="AQ56" s="33">
        <f>(AO56-AO52)/AO52</f>
        <v/>
      </c>
      <c r="AR56" s="33">
        <f>(AO56-AP56)/AP56</f>
        <v/>
      </c>
    </row>
    <row customHeight="1" ht="15.75" r="57" s="452" spans="1:45">
      <c r="A57" s="260" t="s">
        <v>43</v>
      </c>
      <c r="B57" s="260" t="s">
        <v>90</v>
      </c>
      <c r="C57" s="261">
        <f>C53+7</f>
        <v/>
      </c>
      <c r="D57" s="260" t="s">
        <v>37</v>
      </c>
      <c r="E57" s="535" t="n"/>
      <c r="F57" s="535" t="n"/>
      <c r="G57" s="33">
        <f>(E57-E53)/E53</f>
        <v/>
      </c>
      <c r="H57" s="33">
        <f>(E57-F57)/F57</f>
        <v/>
      </c>
      <c r="I57" s="535" t="n"/>
      <c r="J57" s="536" t="n"/>
      <c r="K57" s="33">
        <f>(I57-I53)/I53</f>
        <v/>
      </c>
      <c r="L57" s="33">
        <f>(I57-J57)/J57</f>
        <v/>
      </c>
      <c r="M57" s="536" t="n"/>
      <c r="N57" s="536" t="n"/>
      <c r="O57" s="33">
        <f>(M57-M53)/M53</f>
        <v/>
      </c>
      <c r="P57" s="33">
        <f>(M57-N57)/N57</f>
        <v/>
      </c>
      <c r="Q57" s="537" t="n"/>
      <c r="R57" s="537" t="n"/>
      <c r="S57" s="33">
        <f>(Q57-Q53)/Q53</f>
        <v/>
      </c>
      <c r="T57" s="33">
        <f>(Q57-R57)/R57</f>
        <v/>
      </c>
      <c r="U57" s="537" t="n"/>
      <c r="V57" s="537" t="n"/>
      <c r="W57" s="33">
        <f>(U57-U53)/U53</f>
        <v/>
      </c>
      <c r="X57" s="33">
        <f>(U57-V57)/V57</f>
        <v/>
      </c>
      <c r="Y57" s="113" t="n"/>
      <c r="Z57" s="113" t="n"/>
      <c r="AA57" s="33">
        <f>(Y57-Y53)/Y53</f>
        <v/>
      </c>
      <c r="AB57" s="33">
        <f>(Y57-Z57)/Z57</f>
        <v/>
      </c>
      <c r="AC57" s="529" t="n"/>
      <c r="AD57" s="534" t="n"/>
      <c r="AE57" s="33">
        <f>(AC57-AC53)/AC53</f>
        <v/>
      </c>
      <c r="AF57" s="33">
        <f>(AC57-AD57)/AD57</f>
        <v/>
      </c>
      <c r="AG57" s="537" t="n"/>
      <c r="AH57" s="537" t="n"/>
      <c r="AI57" s="33">
        <f>(AG57-AG53)/AG53</f>
        <v/>
      </c>
      <c r="AJ57" s="33">
        <f>(AG57-AH57)/AH57</f>
        <v/>
      </c>
      <c r="AK57" s="537" t="n"/>
      <c r="AL57" s="537" t="n"/>
      <c r="AM57" s="150">
        <f>(AK57-AK53)/AK53</f>
        <v/>
      </c>
      <c r="AN57" s="431">
        <f>(AK57-AL57)/AL57</f>
        <v/>
      </c>
      <c r="AO57" s="282" t="n"/>
      <c r="AP57" s="282" t="n"/>
      <c r="AQ57" s="33">
        <f>(AO57-AO53)/AO53</f>
        <v/>
      </c>
      <c r="AR57" s="33">
        <f>(AO57-AP57)/AP57</f>
        <v/>
      </c>
    </row>
    <row customHeight="1" ht="15.75" r="58" s="452" spans="1:45">
      <c r="A58" s="29" t="s">
        <v>43</v>
      </c>
      <c r="B58" s="29" t="s">
        <v>92</v>
      </c>
      <c r="C58" s="30">
        <f>C54+7</f>
        <v/>
      </c>
      <c r="D58" s="31" t="s">
        <v>60</v>
      </c>
      <c r="E58" s="531">
        <f>E59+E60</f>
        <v/>
      </c>
      <c r="F58" s="531">
        <f>F59+F60</f>
        <v/>
      </c>
      <c r="G58" s="33">
        <f>(E58-E54)/E54</f>
        <v/>
      </c>
      <c r="H58" s="33">
        <f>(E58-F58)/F58</f>
        <v/>
      </c>
      <c r="I58" s="531">
        <f>I59+I60</f>
        <v/>
      </c>
      <c r="J58" s="532">
        <f>J59+J60</f>
        <v/>
      </c>
      <c r="K58" s="33">
        <f>(I58-I54)/I54</f>
        <v/>
      </c>
      <c r="L58" s="33">
        <f>(I58-J58)/J58</f>
        <v/>
      </c>
      <c r="M58" s="532">
        <f>E58/I58</f>
        <v/>
      </c>
      <c r="N58" s="532">
        <f>F58/J58</f>
        <v/>
      </c>
      <c r="O58" s="33">
        <f>(M58-M54)/M54</f>
        <v/>
      </c>
      <c r="P58" s="33">
        <f>(M58-N58)/N58</f>
        <v/>
      </c>
      <c r="Q58" s="533">
        <f>Q59+Q60</f>
        <v/>
      </c>
      <c r="R58" s="533">
        <f>R59+R60</f>
        <v/>
      </c>
      <c r="S58" s="33">
        <f>(Q58-Q54)/Q54</f>
        <v/>
      </c>
      <c r="T58" s="33">
        <f>(Q58-R58)/R58</f>
        <v/>
      </c>
      <c r="U58" s="533">
        <f>U59+U60</f>
        <v/>
      </c>
      <c r="V58" s="533">
        <f>V59+V60</f>
        <v/>
      </c>
      <c r="W58" s="33">
        <f>(U58-U54)/U54</f>
        <v/>
      </c>
      <c r="X58" s="33">
        <f>(U58-V58)/V58</f>
        <v/>
      </c>
      <c r="Y58" s="88">
        <f>U58/Q58</f>
        <v/>
      </c>
      <c r="Z58" s="88">
        <f>V58/R58</f>
        <v/>
      </c>
      <c r="AA58" s="33">
        <f>(Y58-Y54)/Y54</f>
        <v/>
      </c>
      <c r="AB58" s="33">
        <f>(Y58-Z58)/Z58</f>
        <v/>
      </c>
      <c r="AC58" s="540">
        <f>E58/U58</f>
        <v/>
      </c>
      <c r="AD58" s="534">
        <f>F58/V58</f>
        <v/>
      </c>
      <c r="AE58" s="33">
        <f>(AC58-AC54)/AC54</f>
        <v/>
      </c>
      <c r="AF58" s="33">
        <f>(AC58-AD58)/AD58</f>
        <v/>
      </c>
      <c r="AG58" s="533">
        <f>AG59+AG60</f>
        <v/>
      </c>
      <c r="AH58" s="533">
        <f>AH59+AH60</f>
        <v/>
      </c>
      <c r="AI58" s="33">
        <f>(AG58-AG54)/AG54</f>
        <v/>
      </c>
      <c r="AJ58" s="33">
        <f>(AG58-AH58)/AH58</f>
        <v/>
      </c>
      <c r="AK58" s="533">
        <f>AK59+AK60</f>
        <v/>
      </c>
      <c r="AL58" s="533">
        <f>AL59+AL60</f>
        <v/>
      </c>
      <c r="AM58" s="150">
        <f>(AK58-AK54)/AK54</f>
        <v/>
      </c>
      <c r="AN58" s="431">
        <f>(AK58-AL58)/AL58</f>
        <v/>
      </c>
      <c r="AO58" s="33">
        <f>AG58/AK58</f>
        <v/>
      </c>
      <c r="AP58" s="33">
        <f>AH58/AL58</f>
        <v/>
      </c>
      <c r="AQ58" s="33">
        <f>(AO58-AO54)/AO54</f>
        <v/>
      </c>
      <c r="AR58" s="33">
        <f>(AO58-AP58)/AP58</f>
        <v/>
      </c>
      <c r="AS58" t="s">
        <v>70</v>
      </c>
    </row>
    <row customHeight="1" ht="15.75" r="59" s="452" spans="1:45">
      <c r="A59" s="260" t="s">
        <v>43</v>
      </c>
      <c r="B59" s="260" t="s">
        <v>92</v>
      </c>
      <c r="C59" s="261">
        <f>C55+7</f>
        <v/>
      </c>
      <c r="D59" s="260" t="s">
        <v>35</v>
      </c>
      <c r="E59" s="535" t="n">
        <v>10075</v>
      </c>
      <c r="F59" s="535" t="n">
        <v>2562</v>
      </c>
      <c r="G59" s="33">
        <f>(E59-E55)/E55</f>
        <v/>
      </c>
      <c r="H59" s="33">
        <f>(E59-F59)/F59</f>
        <v/>
      </c>
      <c r="I59" s="535">
        <f>382.55+31.96</f>
        <v/>
      </c>
      <c r="J59" s="536">
        <f>557.48+41.47</f>
        <v/>
      </c>
      <c r="K59" s="33">
        <f>(I59-I55)/I55</f>
        <v/>
      </c>
      <c r="L59" s="33">
        <f>(I59-J59)/J59</f>
        <v/>
      </c>
      <c r="M59" s="536">
        <f>E59/I59</f>
        <v/>
      </c>
      <c r="N59" s="536">
        <f>F59/J59</f>
        <v/>
      </c>
      <c r="O59" s="33">
        <f>(M59-M55)/M55</f>
        <v/>
      </c>
      <c r="P59" s="33">
        <f>(M59-N59)/N59</f>
        <v/>
      </c>
      <c r="Q59" s="537" t="n">
        <v>5087</v>
      </c>
      <c r="R59" s="537" t="n">
        <v>3937</v>
      </c>
      <c r="S59" s="33">
        <f>(Q59-Q55)/Q55</f>
        <v/>
      </c>
      <c r="T59" s="33">
        <f>(Q59-R59)/R59</f>
        <v/>
      </c>
      <c r="U59" s="537" t="n">
        <v>100</v>
      </c>
      <c r="V59" s="537" t="n">
        <v>29</v>
      </c>
      <c r="W59" s="33">
        <f>(U59-U55)/U55</f>
        <v/>
      </c>
      <c r="X59" s="33">
        <f>(U59-V59)/V59</f>
        <v/>
      </c>
      <c r="Y59" s="113">
        <f>U59/Q59</f>
        <v/>
      </c>
      <c r="Z59" s="113">
        <f>V59/R59</f>
        <v/>
      </c>
      <c r="AA59" s="33">
        <f>(Y59-Y55)/Y55</f>
        <v/>
      </c>
      <c r="AB59" s="33">
        <f>(Y59-Z59)/Z59</f>
        <v/>
      </c>
      <c r="AC59" s="529">
        <f>E59/U59</f>
        <v/>
      </c>
      <c r="AD59" s="534">
        <f>F59/V59</f>
        <v/>
      </c>
      <c r="AE59" s="33">
        <f>(AC59-AC55)/AC55</f>
        <v/>
      </c>
      <c r="AF59" s="33">
        <f>(AC59-AD59)/AD59</f>
        <v/>
      </c>
      <c r="AG59" s="537">
        <f>3312+157</f>
        <v/>
      </c>
      <c r="AH59" s="537">
        <f>2907+149</f>
        <v/>
      </c>
      <c r="AI59" s="33">
        <f>(AG59-AG55)/AG55</f>
        <v/>
      </c>
      <c r="AJ59" s="33">
        <f>(AG59-AH59)/AH59</f>
        <v/>
      </c>
      <c r="AK59" s="537">
        <f>9326+407</f>
        <v/>
      </c>
      <c r="AL59" s="537">
        <f>7889+427</f>
        <v/>
      </c>
      <c r="AM59" s="150">
        <f>(AK59-AK55)/AK55</f>
        <v/>
      </c>
      <c r="AN59" s="431">
        <f>(AK59-AL59)/AL59</f>
        <v/>
      </c>
      <c r="AO59" s="282">
        <f>AG59/AK59</f>
        <v/>
      </c>
      <c r="AP59" s="282">
        <f>AH59/AL59</f>
        <v/>
      </c>
      <c r="AQ59" s="33">
        <f>(AO59-AO55)/AO55</f>
        <v/>
      </c>
      <c r="AR59" s="33">
        <f>(AO59-AP59)/AP59</f>
        <v/>
      </c>
    </row>
    <row customHeight="1" ht="15.75" r="60" s="452" spans="1:45">
      <c r="A60" s="260" t="s">
        <v>43</v>
      </c>
      <c r="B60" s="260" t="s">
        <v>92</v>
      </c>
      <c r="C60" s="261">
        <f>C56+7</f>
        <v/>
      </c>
      <c r="D60" s="260" t="s">
        <v>36</v>
      </c>
      <c r="E60" s="535" t="n">
        <v>0</v>
      </c>
      <c r="F60" s="535" t="n">
        <v>535</v>
      </c>
      <c r="G60" s="33">
        <f>(E60-E56)/E56</f>
        <v/>
      </c>
      <c r="H60" s="33">
        <f>(E60-F60)/F60</f>
        <v/>
      </c>
      <c r="I60" s="535" t="n">
        <v>755.41</v>
      </c>
      <c r="J60" s="536">
        <f>2676.91+79.2</f>
        <v/>
      </c>
      <c r="K60" s="33">
        <f>(I60-I56)/I56</f>
        <v/>
      </c>
      <c r="L60" s="33">
        <f>(I60-J60)/J60</f>
        <v/>
      </c>
      <c r="M60" s="536">
        <f>E60/I60</f>
        <v/>
      </c>
      <c r="N60" s="536">
        <f>F60/J60</f>
        <v/>
      </c>
      <c r="O60" s="33">
        <f>(M60-M56)/M56</f>
        <v/>
      </c>
      <c r="P60" s="33">
        <f>(M60-N60)/N60</f>
        <v/>
      </c>
      <c r="Q60" s="537" t="n">
        <v>640</v>
      </c>
      <c r="R60" s="537" t="n">
        <v>2937</v>
      </c>
      <c r="S60" s="33">
        <f>(Q60-Q56)/Q56</f>
        <v/>
      </c>
      <c r="T60" s="33">
        <f>(Q60-R60)/R60</f>
        <v/>
      </c>
      <c r="U60" s="537" t="n">
        <v>0</v>
      </c>
      <c r="V60" s="537" t="n">
        <v>6</v>
      </c>
      <c r="W60" s="33">
        <f>(U60-U56)/U56</f>
        <v/>
      </c>
      <c r="X60" s="33">
        <f>(U60-V60)/V60</f>
        <v/>
      </c>
      <c r="Y60" s="113">
        <f>U60/Q60</f>
        <v/>
      </c>
      <c r="Z60" s="113">
        <f>V60/R60</f>
        <v/>
      </c>
      <c r="AA60" s="33">
        <f>(Y60-Y56)/Y56</f>
        <v/>
      </c>
      <c r="AB60" s="33">
        <f>(Y60-Z60)/Z60</f>
        <v/>
      </c>
      <c r="AC60" s="529">
        <f>E60/U60</f>
        <v/>
      </c>
      <c r="AD60" s="534">
        <f>F60/V60</f>
        <v/>
      </c>
      <c r="AE60" s="33">
        <f>(AC60-AC56)/AC56</f>
        <v/>
      </c>
      <c r="AF60" s="33">
        <f>(AC60-AD60)/AD60</f>
        <v/>
      </c>
      <c r="AG60" s="537" t="n">
        <v>556</v>
      </c>
      <c r="AH60" s="537">
        <f>2811+106</f>
        <v/>
      </c>
      <c r="AI60" s="33">
        <f>(AG60-AG56)/AG56</f>
        <v/>
      </c>
      <c r="AJ60" s="33">
        <f>(AG60-AH60)/AH60</f>
        <v/>
      </c>
      <c r="AK60" s="537" t="n">
        <v>8016</v>
      </c>
      <c r="AL60" s="537">
        <f>36679+1970</f>
        <v/>
      </c>
      <c r="AM60" s="150">
        <f>(AK60-AK56)/AK56</f>
        <v/>
      </c>
      <c r="AN60" s="431">
        <f>(AK60-AL60)/AL60</f>
        <v/>
      </c>
      <c r="AO60" s="282">
        <f>AG60/AK60</f>
        <v/>
      </c>
      <c r="AP60" s="282">
        <f>AH60/AL60</f>
        <v/>
      </c>
      <c r="AQ60" s="33">
        <f>(AO60-AO56)/AO56</f>
        <v/>
      </c>
      <c r="AR60" s="33">
        <f>(AO60-AP60)/AP60</f>
        <v/>
      </c>
    </row>
    <row customHeight="1" ht="15.75" r="61" s="452" spans="1:45">
      <c r="A61" s="260" t="s">
        <v>43</v>
      </c>
      <c r="B61" s="260" t="s">
        <v>92</v>
      </c>
      <c r="C61" s="261">
        <f>C57+7</f>
        <v/>
      </c>
      <c r="D61" s="260" t="s">
        <v>37</v>
      </c>
      <c r="E61" s="535" t="n"/>
      <c r="F61" s="535" t="n"/>
      <c r="G61" s="33">
        <f>(E61-E57)/E57</f>
        <v/>
      </c>
      <c r="H61" s="33">
        <f>(E61-F61)/F61</f>
        <v/>
      </c>
      <c r="I61" s="535" t="n"/>
      <c r="J61" s="536" t="n"/>
      <c r="K61" s="33">
        <f>(I61-I57)/I57</f>
        <v/>
      </c>
      <c r="L61" s="33">
        <f>(I61-J61)/J61</f>
        <v/>
      </c>
      <c r="M61" s="536" t="n"/>
      <c r="N61" s="536" t="n"/>
      <c r="O61" s="33">
        <f>(M61-M57)/M57</f>
        <v/>
      </c>
      <c r="P61" s="33">
        <f>(M61-N61)/N61</f>
        <v/>
      </c>
      <c r="Q61" s="537" t="n"/>
      <c r="R61" s="537" t="n"/>
      <c r="S61" s="33">
        <f>(Q61-Q57)/Q57</f>
        <v/>
      </c>
      <c r="T61" s="33">
        <f>(Q61-R61)/R61</f>
        <v/>
      </c>
      <c r="U61" s="537" t="n"/>
      <c r="V61" s="537" t="n"/>
      <c r="W61" s="33">
        <f>(U61-U57)/U57</f>
        <v/>
      </c>
      <c r="X61" s="33">
        <f>(U61-V61)/V61</f>
        <v/>
      </c>
      <c r="Y61" s="113" t="n"/>
      <c r="Z61" s="113" t="n"/>
      <c r="AA61" s="33">
        <f>(Y61-Y57)/Y57</f>
        <v/>
      </c>
      <c r="AB61" s="33">
        <f>(Y61-Z61)/Z61</f>
        <v/>
      </c>
      <c r="AC61" s="529" t="n"/>
      <c r="AD61" s="534" t="n"/>
      <c r="AE61" s="33">
        <f>(AC61-AC57)/AC57</f>
        <v/>
      </c>
      <c r="AF61" s="33">
        <f>(AC61-AD61)/AD61</f>
        <v/>
      </c>
      <c r="AG61" s="537" t="n"/>
      <c r="AH61" s="537" t="n"/>
      <c r="AI61" s="33">
        <f>(AG61-AG57)/AG57</f>
        <v/>
      </c>
      <c r="AJ61" s="33">
        <f>(AG61-AH61)/AH61</f>
        <v/>
      </c>
      <c r="AK61" s="537" t="n"/>
      <c r="AL61" s="537" t="n"/>
      <c r="AM61" s="150">
        <f>(AK61-AK57)/AK57</f>
        <v/>
      </c>
      <c r="AN61" s="431">
        <f>(AK61-AL61)/AL61</f>
        <v/>
      </c>
      <c r="AO61" s="282" t="n"/>
      <c r="AP61" s="282" t="n"/>
      <c r="AQ61" s="33">
        <f>(AO61-AO57)/AO57</f>
        <v/>
      </c>
      <c r="AR61" s="33">
        <f>(AO61-AP61)/AP61</f>
        <v/>
      </c>
    </row>
    <row customHeight="1" ht="15.75" r="62" s="452" spans="1:45">
      <c r="A62" s="29" t="s">
        <v>43</v>
      </c>
      <c r="B62" s="29" t="s">
        <v>93</v>
      </c>
      <c r="C62" s="30">
        <f>C58+7</f>
        <v/>
      </c>
      <c r="D62" s="31" t="s">
        <v>60</v>
      </c>
      <c r="E62" s="531">
        <f>E63+E64</f>
        <v/>
      </c>
      <c r="F62" s="531">
        <f>F63+F64</f>
        <v/>
      </c>
      <c r="G62" s="33">
        <f>(E62-E58)/E58</f>
        <v/>
      </c>
      <c r="H62" s="33">
        <f>(E62-F62)/F62</f>
        <v/>
      </c>
      <c r="I62" s="531">
        <f>I63+I64</f>
        <v/>
      </c>
      <c r="J62" s="532">
        <f>J63+J64</f>
        <v/>
      </c>
      <c r="K62" s="33">
        <f>(I62-I58)/I58</f>
        <v/>
      </c>
      <c r="L62" s="33">
        <f>(I62-J62)/J62</f>
        <v/>
      </c>
      <c r="M62" s="532">
        <f>E62/I62</f>
        <v/>
      </c>
      <c r="N62" s="532">
        <f>F62/J62</f>
        <v/>
      </c>
      <c r="O62" s="33">
        <f>(M62-M58)/M58</f>
        <v/>
      </c>
      <c r="P62" s="33">
        <f>(M62-N62)/N62</f>
        <v/>
      </c>
      <c r="Q62" s="533">
        <f>Q63+Q64</f>
        <v/>
      </c>
      <c r="R62" s="533">
        <f>R63+R64</f>
        <v/>
      </c>
      <c r="S62" s="33">
        <f>(Q62-Q58)/Q58</f>
        <v/>
      </c>
      <c r="T62" s="33">
        <f>(Q62-R62)/R62</f>
        <v/>
      </c>
      <c r="U62" s="533">
        <f>U63+U64</f>
        <v/>
      </c>
      <c r="V62" s="533">
        <f>V63+V64</f>
        <v/>
      </c>
      <c r="W62" s="33">
        <f>(U62-U58)/U58</f>
        <v/>
      </c>
      <c r="X62" s="33">
        <f>(U62-V62)/V62</f>
        <v/>
      </c>
      <c r="Y62" s="88">
        <f>U62/Q62</f>
        <v/>
      </c>
      <c r="Z62" s="88">
        <f>V62/R62</f>
        <v/>
      </c>
      <c r="AA62" s="33">
        <f>(Y62-Y58)/Y58</f>
        <v/>
      </c>
      <c r="AB62" s="33">
        <f>(Y62-Z62)/Z62</f>
        <v/>
      </c>
      <c r="AC62" s="540">
        <f>E62/U62</f>
        <v/>
      </c>
      <c r="AD62" s="534">
        <f>F62/V62</f>
        <v/>
      </c>
      <c r="AE62" s="33">
        <f>(AC62-AC58)/AC58</f>
        <v/>
      </c>
      <c r="AF62" s="33">
        <f>(AC62-AD62)/AD62</f>
        <v/>
      </c>
      <c r="AG62" s="533">
        <f>AG63+AG64</f>
        <v/>
      </c>
      <c r="AH62" s="533">
        <f>AH63+AH64</f>
        <v/>
      </c>
      <c r="AI62" s="33">
        <f>(AG62-AG58)/AG58</f>
        <v/>
      </c>
      <c r="AJ62" s="33">
        <f>(AG62-AH62)/AH62</f>
        <v/>
      </c>
      <c r="AK62" s="533">
        <f>AK63+AK64</f>
        <v/>
      </c>
      <c r="AL62" s="533">
        <f>AL63+AL64</f>
        <v/>
      </c>
      <c r="AM62" s="150">
        <f>(AK62-AK58)/AK58</f>
        <v/>
      </c>
      <c r="AN62" s="431">
        <f>(AK62-AL62)/AL62</f>
        <v/>
      </c>
      <c r="AO62" s="33">
        <f>AG62/AK62</f>
        <v/>
      </c>
      <c r="AP62" s="33">
        <f>AH62/AL62</f>
        <v/>
      </c>
      <c r="AQ62" s="33">
        <f>(AO62-AO58)/AO58</f>
        <v/>
      </c>
      <c r="AR62" s="33">
        <f>(AO62-AP62)/AP62</f>
        <v/>
      </c>
      <c r="AS62" t="s">
        <v>94</v>
      </c>
    </row>
    <row customHeight="1" ht="15.75" r="63" s="452" spans="1:45">
      <c r="A63" s="260" t="s">
        <v>43</v>
      </c>
      <c r="B63" s="260" t="s">
        <v>93</v>
      </c>
      <c r="C63" s="261">
        <f>C59+7</f>
        <v/>
      </c>
      <c r="D63" s="260" t="s">
        <v>35</v>
      </c>
      <c r="E63" s="535" t="n">
        <v>13585</v>
      </c>
      <c r="F63" s="535" t="n">
        <v>2579</v>
      </c>
      <c r="G63" s="33">
        <f>(E63-E59)/E59</f>
        <v/>
      </c>
      <c r="H63" s="33">
        <f>(E63-F63)/F63</f>
        <v/>
      </c>
      <c r="I63" s="535">
        <f>390.75+34.49</f>
        <v/>
      </c>
      <c r="J63" s="536">
        <f>418.75+22.94</f>
        <v/>
      </c>
      <c r="K63" s="33">
        <f>(I63-I59)/I59</f>
        <v/>
      </c>
      <c r="L63" s="33">
        <f>(I63-J63)/J63</f>
        <v/>
      </c>
      <c r="M63" s="536">
        <f>E63/I63</f>
        <v/>
      </c>
      <c r="N63" s="536">
        <f>F63/J63</f>
        <v/>
      </c>
      <c r="O63" s="33">
        <f>(M63-M59)/M59</f>
        <v/>
      </c>
      <c r="P63" s="33">
        <f>(M63-N63)/N63</f>
        <v/>
      </c>
      <c r="Q63" s="537" t="n">
        <v>5372</v>
      </c>
      <c r="R63" s="537" t="n">
        <v>3244</v>
      </c>
      <c r="S63" s="33">
        <f>(Q63-Q59)/Q59</f>
        <v/>
      </c>
      <c r="T63" s="33">
        <f>(Q63-R63)/R63</f>
        <v/>
      </c>
      <c r="U63" s="537" t="n">
        <v>127</v>
      </c>
      <c r="V63" s="537" t="n">
        <v>29</v>
      </c>
      <c r="W63" s="33">
        <f>(U63-U59)/U59</f>
        <v/>
      </c>
      <c r="X63" s="33">
        <f>(U63-V63)/V63</f>
        <v/>
      </c>
      <c r="Y63" s="113">
        <f>U63/Q63</f>
        <v/>
      </c>
      <c r="Z63" s="113">
        <f>V63/R63</f>
        <v/>
      </c>
      <c r="AA63" s="33">
        <f>(Y63-Y59)/Y59</f>
        <v/>
      </c>
      <c r="AB63" s="33">
        <f>(Y63-Z63)/Z63</f>
        <v/>
      </c>
      <c r="AC63" s="529">
        <f>E63/U63</f>
        <v/>
      </c>
      <c r="AD63" s="534">
        <f>F63/V63</f>
        <v/>
      </c>
      <c r="AE63" s="33">
        <f>(AC63-AC59)/AC59</f>
        <v/>
      </c>
      <c r="AF63" s="33">
        <f>(AC63-AD63)/AD63</f>
        <v/>
      </c>
      <c r="AG63" s="537">
        <f>3484+163</f>
        <v/>
      </c>
      <c r="AH63" s="537">
        <f>2395+108</f>
        <v/>
      </c>
      <c r="AI63" s="33">
        <f>(AG63-AG59)/AG59</f>
        <v/>
      </c>
      <c r="AJ63" s="33">
        <f>(AG63-AH63)/AH63</f>
        <v/>
      </c>
      <c r="AK63" s="537">
        <f>9875+468</f>
        <v/>
      </c>
      <c r="AL63" s="537">
        <f>6389+343</f>
        <v/>
      </c>
      <c r="AM63" s="150">
        <f>(AK63-AK59)/AK59</f>
        <v/>
      </c>
      <c r="AN63" s="431">
        <f>(AK63-AL63)/AL63</f>
        <v/>
      </c>
      <c r="AO63" s="282">
        <f>AG63/AK63</f>
        <v/>
      </c>
      <c r="AP63" s="282">
        <f>AH63/AL63</f>
        <v/>
      </c>
      <c r="AQ63" s="33">
        <f>(AO63-AO59)/AO59</f>
        <v/>
      </c>
      <c r="AR63" s="33">
        <f>(AO63-AP63)/AP63</f>
        <v/>
      </c>
    </row>
    <row customHeight="1" ht="15.75" r="64" s="452" spans="1:45">
      <c r="A64" s="260" t="s">
        <v>43</v>
      </c>
      <c r="B64" s="260" t="s">
        <v>93</v>
      </c>
      <c r="C64" s="261">
        <f>C60+7</f>
        <v/>
      </c>
      <c r="D64" s="260" t="s">
        <v>36</v>
      </c>
      <c r="E64" s="535" t="n">
        <v>365</v>
      </c>
      <c r="F64" s="535" t="n">
        <v>828</v>
      </c>
      <c r="G64" s="33">
        <f>(E64-E60)/E60</f>
        <v/>
      </c>
      <c r="H64" s="33">
        <f>(E64-F64)/F64</f>
        <v/>
      </c>
      <c r="I64" s="535" t="n">
        <v>605.83</v>
      </c>
      <c r="J64" s="536">
        <f>2652.38+88.31</f>
        <v/>
      </c>
      <c r="K64" s="33">
        <f>(I64-I60)/I60</f>
        <v/>
      </c>
      <c r="L64" s="33">
        <f>(I64-J64)/J64</f>
        <v/>
      </c>
      <c r="M64" s="536">
        <f>E64/I64</f>
        <v/>
      </c>
      <c r="N64" s="536">
        <f>F64/J64</f>
        <v/>
      </c>
      <c r="O64" s="33">
        <f>(M64-M60)/M60</f>
        <v/>
      </c>
      <c r="P64" s="33">
        <f>(M64-N64)/N64</f>
        <v/>
      </c>
      <c r="Q64" s="537" t="n">
        <v>531</v>
      </c>
      <c r="R64" s="537" t="n">
        <v>2659</v>
      </c>
      <c r="S64" s="33">
        <f>(Q64-Q60)/Q60</f>
        <v/>
      </c>
      <c r="T64" s="33">
        <f>(Q64-R64)/R64</f>
        <v/>
      </c>
      <c r="U64" s="537" t="n">
        <v>5</v>
      </c>
      <c r="V64" s="537" t="n">
        <v>12</v>
      </c>
      <c r="W64" s="33">
        <f>(U64-U60)/U60</f>
        <v/>
      </c>
      <c r="X64" s="33">
        <f>(U64-V64)/V64</f>
        <v/>
      </c>
      <c r="Y64" s="113">
        <f>U64/Q64</f>
        <v/>
      </c>
      <c r="Z64" s="113">
        <f>V64/R64</f>
        <v/>
      </c>
      <c r="AA64" s="33">
        <f>(Y64-Y60)/Y60</f>
        <v/>
      </c>
      <c r="AB64" s="33">
        <f>(Y64-Z64)/Z64</f>
        <v/>
      </c>
      <c r="AC64" s="529">
        <f>E64/U64</f>
        <v/>
      </c>
      <c r="AD64" s="534">
        <f>F64/V64</f>
        <v/>
      </c>
      <c r="AE64" s="33">
        <f>(AC64-AC60)/AC60</f>
        <v/>
      </c>
      <c r="AF64" s="33">
        <f>(AC64-AD64)/AD64</f>
        <v/>
      </c>
      <c r="AG64" s="537" t="n">
        <v>452</v>
      </c>
      <c r="AH64" s="537">
        <f>2540+114</f>
        <v/>
      </c>
      <c r="AI64" s="33">
        <f>(AG64-AG60)/AG60</f>
        <v/>
      </c>
      <c r="AJ64" s="33">
        <f>(AG64-AH64)/AH64</f>
        <v/>
      </c>
      <c r="AK64" s="537" t="n">
        <v>5995</v>
      </c>
      <c r="AL64" s="537">
        <f>32569+1871</f>
        <v/>
      </c>
      <c r="AM64" s="150">
        <f>(AK64-AK60)/AK60</f>
        <v/>
      </c>
      <c r="AN64" s="431">
        <f>(AK64-AL64)/AL64</f>
        <v/>
      </c>
      <c r="AO64" s="282">
        <f>AG64/AK64</f>
        <v/>
      </c>
      <c r="AP64" s="282">
        <f>AH64/AL64</f>
        <v/>
      </c>
      <c r="AQ64" s="33">
        <f>(AO64-AO60)/AO60</f>
        <v/>
      </c>
      <c r="AR64" s="33">
        <f>(AO64-AP64)/AP64</f>
        <v/>
      </c>
    </row>
    <row customHeight="1" ht="15.75" r="65" s="452" spans="1:45">
      <c r="A65" s="260" t="s">
        <v>43</v>
      </c>
      <c r="B65" s="260" t="s">
        <v>93</v>
      </c>
      <c r="C65" s="261">
        <f>C61+7</f>
        <v/>
      </c>
      <c r="D65" s="260" t="s">
        <v>37</v>
      </c>
      <c r="E65" s="535" t="n"/>
      <c r="F65" s="535" t="n"/>
      <c r="G65" s="33">
        <f>(E65-E61)/E61</f>
        <v/>
      </c>
      <c r="H65" s="33">
        <f>(E65-F65)/F65</f>
        <v/>
      </c>
      <c r="I65" s="535" t="n"/>
      <c r="J65" s="536" t="n"/>
      <c r="K65" s="33">
        <f>(I65-I61)/I61</f>
        <v/>
      </c>
      <c r="L65" s="33">
        <f>(I65-J65)/J65</f>
        <v/>
      </c>
      <c r="M65" s="536" t="n"/>
      <c r="N65" s="536" t="n"/>
      <c r="O65" s="33">
        <f>(M65-M61)/M61</f>
        <v/>
      </c>
      <c r="P65" s="33">
        <f>(M65-N65)/N65</f>
        <v/>
      </c>
      <c r="Q65" s="537" t="n"/>
      <c r="R65" s="537" t="n"/>
      <c r="S65" s="33">
        <f>(Q65-Q61)/Q61</f>
        <v/>
      </c>
      <c r="T65" s="33">
        <f>(Q65-R65)/R65</f>
        <v/>
      </c>
      <c r="U65" s="537" t="n"/>
      <c r="V65" s="537" t="n"/>
      <c r="W65" s="33">
        <f>(U65-U61)/U61</f>
        <v/>
      </c>
      <c r="X65" s="33">
        <f>(U65-V65)/V65</f>
        <v/>
      </c>
      <c r="Y65" s="113" t="n"/>
      <c r="Z65" s="113" t="n"/>
      <c r="AA65" s="33">
        <f>(Y65-Y61)/Y61</f>
        <v/>
      </c>
      <c r="AB65" s="33">
        <f>(Y65-Z65)/Z65</f>
        <v/>
      </c>
      <c r="AC65" s="529" t="n"/>
      <c r="AD65" s="534" t="n"/>
      <c r="AE65" s="33">
        <f>(AC65-AC61)/AC61</f>
        <v/>
      </c>
      <c r="AF65" s="33">
        <f>(AC65-AD65)/AD65</f>
        <v/>
      </c>
      <c r="AG65" s="537" t="n"/>
      <c r="AH65" s="537" t="n"/>
      <c r="AI65" s="33">
        <f>(AG65-AG61)/AG61</f>
        <v/>
      </c>
      <c r="AJ65" s="33">
        <f>(AG65-AH65)/AH65</f>
        <v/>
      </c>
      <c r="AK65" s="537" t="n"/>
      <c r="AL65" s="537" t="n"/>
      <c r="AM65" s="150">
        <f>(AK65-AK61)/AK61</f>
        <v/>
      </c>
      <c r="AN65" s="431">
        <f>(AK65-AL65)/AL65</f>
        <v/>
      </c>
      <c r="AO65" s="282" t="n"/>
      <c r="AP65" s="282" t="n"/>
      <c r="AQ65" s="33">
        <f>(AO65-AO61)/AO61</f>
        <v/>
      </c>
      <c r="AR65" s="33">
        <f>(AO65-AP65)/AP65</f>
        <v/>
      </c>
    </row>
    <row customFormat="1" customHeight="1" ht="15.75" r="66" s="108" spans="1:45">
      <c r="A66" s="272" t="s">
        <v>44</v>
      </c>
      <c r="B66" s="272" t="s">
        <v>95</v>
      </c>
      <c r="C66" s="273">
        <f>C62+7</f>
        <v/>
      </c>
      <c r="D66" s="274" t="s">
        <v>60</v>
      </c>
      <c r="E66" s="541">
        <f>E67+E68</f>
        <v/>
      </c>
      <c r="F66" s="541">
        <f>F67+F68</f>
        <v/>
      </c>
      <c r="G66" s="116">
        <f>(E66-E62)/E62</f>
        <v/>
      </c>
      <c r="H66" s="116">
        <f>(E66-F66)/F66</f>
        <v/>
      </c>
      <c r="I66" s="541">
        <f>I67+I68</f>
        <v/>
      </c>
      <c r="J66" s="542">
        <f>J67+J68</f>
        <v/>
      </c>
      <c r="K66" s="116">
        <f>(I66-I62)/I62</f>
        <v/>
      </c>
      <c r="L66" s="116">
        <f>(I66-J66)/J66</f>
        <v/>
      </c>
      <c r="M66" s="542">
        <f>E66/I66</f>
        <v/>
      </c>
      <c r="N66" s="542">
        <f>F66/J66</f>
        <v/>
      </c>
      <c r="O66" s="116">
        <f>(M66-M62)/M62</f>
        <v/>
      </c>
      <c r="P66" s="116">
        <f>(M66-N66)/N66</f>
        <v/>
      </c>
      <c r="Q66" s="543">
        <f>Q67+Q68</f>
        <v/>
      </c>
      <c r="R66" s="543">
        <f>R67+R68</f>
        <v/>
      </c>
      <c r="S66" s="116">
        <f>(Q66-Q62)/Q62</f>
        <v/>
      </c>
      <c r="T66" s="116">
        <f>(Q66-R66)/R66</f>
        <v/>
      </c>
      <c r="U66" s="543">
        <f>U67+U68</f>
        <v/>
      </c>
      <c r="V66" s="543">
        <f>V67+V68</f>
        <v/>
      </c>
      <c r="W66" s="116">
        <f>(U66-U62)/U62</f>
        <v/>
      </c>
      <c r="X66" s="116">
        <f>(U66-V66)/V66</f>
        <v/>
      </c>
      <c r="Y66" s="119">
        <f>U66/Q66</f>
        <v/>
      </c>
      <c r="Z66" s="119">
        <f>V66/R66</f>
        <v/>
      </c>
      <c r="AA66" s="116">
        <f>(Y66-Y62)/Y62</f>
        <v/>
      </c>
      <c r="AB66" s="116">
        <f>(Y66-Z66)/Z66</f>
        <v/>
      </c>
      <c r="AC66" s="544">
        <f>E66/U66</f>
        <v/>
      </c>
      <c r="AD66" s="545">
        <f>F66/V66</f>
        <v/>
      </c>
      <c r="AE66" s="116">
        <f>(AC66-AC62)/AC62</f>
        <v/>
      </c>
      <c r="AF66" s="116">
        <f>(AC66-AD66)/AD66</f>
        <v/>
      </c>
      <c r="AG66" s="543">
        <f>AG67+AG68</f>
        <v/>
      </c>
      <c r="AH66" s="543">
        <f>AH67+AH68</f>
        <v/>
      </c>
      <c r="AI66" s="116">
        <f>(AG66-AG62)/AG62</f>
        <v/>
      </c>
      <c r="AJ66" s="116">
        <f>(AG66-AH66)/AH66</f>
        <v/>
      </c>
      <c r="AK66" s="543">
        <f>AK67+AK68</f>
        <v/>
      </c>
      <c r="AL66" s="543">
        <f>AL67+AL68</f>
        <v/>
      </c>
      <c r="AM66" s="276">
        <f>(AK66-AK62)/AK62</f>
        <v/>
      </c>
      <c r="AN66" s="277">
        <f>(AK66-AL66)/AL66</f>
        <v/>
      </c>
      <c r="AO66" s="116">
        <f>AG66/AK66</f>
        <v/>
      </c>
      <c r="AP66" s="116">
        <f>AH66/AL66</f>
        <v/>
      </c>
      <c r="AQ66" s="116">
        <f>(AO66-AO62)/AO62</f>
        <v/>
      </c>
      <c r="AR66" s="116">
        <f>(AO66-AP66)/AP66</f>
        <v/>
      </c>
      <c r="AS66" s="108" t="s">
        <v>72</v>
      </c>
    </row>
    <row customHeight="1" ht="15.75" r="67" s="452" spans="1:45">
      <c r="A67" s="260" t="s">
        <v>44</v>
      </c>
      <c r="B67" s="260" t="s">
        <v>95</v>
      </c>
      <c r="C67" s="261">
        <f>C63+7</f>
        <v/>
      </c>
      <c r="D67" s="260" t="s">
        <v>35</v>
      </c>
      <c r="E67" s="535" t="n">
        <v>12272</v>
      </c>
      <c r="F67" s="535" t="n">
        <v>3465</v>
      </c>
      <c r="G67" s="33">
        <f>(E67-E63)/E63</f>
        <v/>
      </c>
      <c r="H67" s="33">
        <f>(E67-F67)/F67</f>
        <v/>
      </c>
      <c r="I67" s="535">
        <f>410.76+37.28</f>
        <v/>
      </c>
      <c r="J67" s="536">
        <f>463.98+36.73</f>
        <v/>
      </c>
      <c r="K67" s="33">
        <f>(I67-I63)/I63</f>
        <v/>
      </c>
      <c r="L67" s="33">
        <f>(I67-J67)/J67</f>
        <v/>
      </c>
      <c r="M67" s="536">
        <f>E67/I67</f>
        <v/>
      </c>
      <c r="N67" s="536">
        <f>F67/J67</f>
        <v/>
      </c>
      <c r="O67" s="33">
        <f>(M67-M63)/M63</f>
        <v/>
      </c>
      <c r="P67" s="33">
        <f>(M67-N67)/N67</f>
        <v/>
      </c>
      <c r="Q67" s="537" t="n">
        <v>5494</v>
      </c>
      <c r="R67" s="537" t="n">
        <v>3273</v>
      </c>
      <c r="S67" s="33">
        <f>(Q67-Q63)/Q63</f>
        <v/>
      </c>
      <c r="T67" s="33">
        <f>(Q67-R67)/R67</f>
        <v/>
      </c>
      <c r="U67" s="537" t="n">
        <v>111</v>
      </c>
      <c r="V67" s="537" t="n">
        <v>50</v>
      </c>
      <c r="W67" s="33">
        <f>(U67-U63)/U63</f>
        <v/>
      </c>
      <c r="X67" s="33">
        <f>(U67-V67)/V67</f>
        <v/>
      </c>
      <c r="Y67" s="113">
        <f>U67/Q67</f>
        <v/>
      </c>
      <c r="Z67" s="113">
        <f>V67/R67</f>
        <v/>
      </c>
      <c r="AA67" s="33">
        <f>(Y67-Y63)/Y63</f>
        <v/>
      </c>
      <c r="AB67" s="33">
        <f>(Y67-Z67)/Z67</f>
        <v/>
      </c>
      <c r="AC67" s="529">
        <f>E67/U67</f>
        <v/>
      </c>
      <c r="AD67" s="534">
        <f>F67/V67</f>
        <v/>
      </c>
      <c r="AE67" s="33">
        <f>(AC67-AC63)/AC63</f>
        <v/>
      </c>
      <c r="AF67" s="33">
        <f>(AC67-AD67)/AD67</f>
        <v/>
      </c>
      <c r="AG67" s="537">
        <f>3706+170</f>
        <v/>
      </c>
      <c r="AH67" s="537">
        <f>2272+132</f>
        <v/>
      </c>
      <c r="AI67" s="33">
        <f>(AG67-AG63)/AG63</f>
        <v/>
      </c>
      <c r="AJ67" s="33">
        <f>(AG67-AH67)/AH67</f>
        <v/>
      </c>
      <c r="AK67" s="537">
        <f>10001+497</f>
        <v/>
      </c>
      <c r="AL67" s="537">
        <f>6472+390</f>
        <v/>
      </c>
      <c r="AM67" s="150">
        <f>(AK67-AK63)/AK63</f>
        <v/>
      </c>
      <c r="AN67" s="431">
        <f>(AK67-AL67)/AL67</f>
        <v/>
      </c>
      <c r="AO67" s="282">
        <f>AG67/AK67</f>
        <v/>
      </c>
      <c r="AP67" s="282">
        <f>AH67/AL67</f>
        <v/>
      </c>
      <c r="AQ67" s="33">
        <f>(AO67-AO63)/AO63</f>
        <v/>
      </c>
      <c r="AR67" s="33">
        <f>(AO67-AP67)/AP67</f>
        <v/>
      </c>
    </row>
    <row customHeight="1" ht="15.75" r="68" s="452" spans="1:45">
      <c r="A68" s="260" t="s">
        <v>44</v>
      </c>
      <c r="B68" s="260" t="s">
        <v>95</v>
      </c>
      <c r="C68" s="261">
        <f>C64+7</f>
        <v/>
      </c>
      <c r="D68" s="260" t="s">
        <v>36</v>
      </c>
      <c r="E68" s="535" t="n">
        <v>526</v>
      </c>
      <c r="F68" s="535" t="n">
        <v>373</v>
      </c>
      <c r="G68" s="33">
        <f>(E68-E64)/E64</f>
        <v/>
      </c>
      <c r="H68" s="33">
        <f>(E68-F68)/F68</f>
        <v/>
      </c>
      <c r="I68" s="535" t="n">
        <v>874.95</v>
      </c>
      <c r="J68" s="536">
        <f>2573.61+98.35</f>
        <v/>
      </c>
      <c r="K68" s="33">
        <f>(I68-I64)/I64</f>
        <v/>
      </c>
      <c r="L68" s="33">
        <f>(I68-J68)/J68</f>
        <v/>
      </c>
      <c r="M68" s="536">
        <f>E68/I68</f>
        <v/>
      </c>
      <c r="N68" s="536">
        <f>F68/J68</f>
        <v/>
      </c>
      <c r="O68" s="33">
        <f>(M68-M64)/M64</f>
        <v/>
      </c>
      <c r="P68" s="33">
        <f>(M68-N68)/N68</f>
        <v/>
      </c>
      <c r="Q68" s="537" t="n">
        <v>774</v>
      </c>
      <c r="R68" s="537" t="n">
        <v>2738</v>
      </c>
      <c r="S68" s="33">
        <f>(Q68-Q64)/Q64</f>
        <v/>
      </c>
      <c r="T68" s="33">
        <f>(Q68-R68)/R68</f>
        <v/>
      </c>
      <c r="U68" s="537" t="n">
        <v>6</v>
      </c>
      <c r="V68" s="537" t="n">
        <v>8</v>
      </c>
      <c r="W68" s="33">
        <f>(U68-U64)/U64</f>
        <v/>
      </c>
      <c r="X68" s="33">
        <f>(U68-V68)/V68</f>
        <v/>
      </c>
      <c r="Y68" s="113">
        <f>U68/Q68</f>
        <v/>
      </c>
      <c r="Z68" s="113">
        <f>V68/R68</f>
        <v/>
      </c>
      <c r="AA68" s="33">
        <f>(Y68-Y64)/Y64</f>
        <v/>
      </c>
      <c r="AB68" s="33">
        <f>(Y68-Z68)/Z68</f>
        <v/>
      </c>
      <c r="AC68" s="529">
        <f>E68/U68</f>
        <v/>
      </c>
      <c r="AD68" s="534">
        <f>F68/V68</f>
        <v/>
      </c>
      <c r="AE68" s="33">
        <f>(AC68-AC64)/AC64</f>
        <v/>
      </c>
      <c r="AF68" s="33">
        <f>(AC68-AD68)/AD68</f>
        <v/>
      </c>
      <c r="AG68" s="537" t="n">
        <v>650</v>
      </c>
      <c r="AH68" s="537">
        <f>2588+116</f>
        <v/>
      </c>
      <c r="AI68" s="33">
        <f>(AG68-AG64)/AG64</f>
        <v/>
      </c>
      <c r="AJ68" s="33">
        <f>(AG68-AH68)/AH68</f>
        <v/>
      </c>
      <c r="AK68" s="537" t="n">
        <v>11088</v>
      </c>
      <c r="AL68" s="537">
        <f>34532+2096</f>
        <v/>
      </c>
      <c r="AM68" s="150">
        <f>(AK68-AK64)/AK64</f>
        <v/>
      </c>
      <c r="AN68" s="431">
        <f>(AK68-AL68)/AL68</f>
        <v/>
      </c>
      <c r="AO68" s="282">
        <f>AG68/AK68</f>
        <v/>
      </c>
      <c r="AP68" s="282">
        <f>AH68/AL68</f>
        <v/>
      </c>
      <c r="AQ68" s="33">
        <f>(AO68-AO64)/AO64</f>
        <v/>
      </c>
      <c r="AR68" s="33">
        <f>(AO68-AP68)/AP68</f>
        <v/>
      </c>
    </row>
    <row customHeight="1" ht="15.75" r="69" s="452" spans="1:45">
      <c r="A69" s="260" t="s">
        <v>44</v>
      </c>
      <c r="B69" s="260" t="s">
        <v>95</v>
      </c>
      <c r="C69" s="261">
        <f>C65+7</f>
        <v/>
      </c>
      <c r="D69" s="260" t="s">
        <v>37</v>
      </c>
      <c r="E69" s="535" t="n"/>
      <c r="F69" s="535" t="n"/>
      <c r="G69" s="33">
        <f>(E69-E65)/E65</f>
        <v/>
      </c>
      <c r="H69" s="33">
        <f>(E69-F69)/F69</f>
        <v/>
      </c>
      <c r="I69" s="535" t="n"/>
      <c r="J69" s="536" t="n"/>
      <c r="K69" s="33">
        <f>(I69-I65)/I65</f>
        <v/>
      </c>
      <c r="L69" s="33">
        <f>(I69-J69)/J69</f>
        <v/>
      </c>
      <c r="M69" s="536" t="n"/>
      <c r="N69" s="536" t="n"/>
      <c r="O69" s="33">
        <f>(M69-M65)/M65</f>
        <v/>
      </c>
      <c r="P69" s="33">
        <f>(M69-N69)/N69</f>
        <v/>
      </c>
      <c r="Q69" s="537" t="n"/>
      <c r="R69" s="537" t="n"/>
      <c r="S69" s="33">
        <f>(Q69-Q65)/Q65</f>
        <v/>
      </c>
      <c r="T69" s="33">
        <f>(Q69-R69)/R69</f>
        <v/>
      </c>
      <c r="U69" s="537" t="n"/>
      <c r="V69" s="537" t="n"/>
      <c r="W69" s="33">
        <f>(U69-U65)/U65</f>
        <v/>
      </c>
      <c r="X69" s="33">
        <f>(U69-V69)/V69</f>
        <v/>
      </c>
      <c r="Y69" s="113" t="n"/>
      <c r="Z69" s="113" t="n"/>
      <c r="AA69" s="33">
        <f>(Y69-Y65)/Y65</f>
        <v/>
      </c>
      <c r="AB69" s="33">
        <f>(Y69-Z69)/Z69</f>
        <v/>
      </c>
      <c r="AC69" s="529" t="n"/>
      <c r="AD69" s="534" t="n"/>
      <c r="AE69" s="33">
        <f>(AC69-AC65)/AC65</f>
        <v/>
      </c>
      <c r="AF69" s="33">
        <f>(AC69-AD69)/AD69</f>
        <v/>
      </c>
      <c r="AG69" s="537" t="n"/>
      <c r="AH69" s="537" t="n"/>
      <c r="AI69" s="33">
        <f>(AG69-AG65)/AG65</f>
        <v/>
      </c>
      <c r="AJ69" s="33">
        <f>(AG69-AH69)/AH69</f>
        <v/>
      </c>
      <c r="AK69" s="537" t="n"/>
      <c r="AL69" s="537" t="n"/>
      <c r="AM69" s="150">
        <f>(AK69-AK65)/AK65</f>
        <v/>
      </c>
      <c r="AN69" s="431">
        <f>(AK69-AL69)/AL69</f>
        <v/>
      </c>
      <c r="AO69" s="282" t="n"/>
      <c r="AP69" s="282" t="n"/>
      <c r="AQ69" s="33">
        <f>(AO69-AO65)/AO65</f>
        <v/>
      </c>
      <c r="AR69" s="33">
        <f>(AO69-AP69)/AP69</f>
        <v/>
      </c>
    </row>
    <row customHeight="1" ht="15.75" r="70" s="452" spans="1:45">
      <c r="A70" s="29" t="s">
        <v>44</v>
      </c>
      <c r="B70" s="29" t="s">
        <v>96</v>
      </c>
      <c r="C70" s="30">
        <f>C66+7</f>
        <v/>
      </c>
      <c r="D70" s="31" t="s">
        <v>60</v>
      </c>
      <c r="E70" s="531">
        <f>E71+E72</f>
        <v/>
      </c>
      <c r="F70" s="531">
        <f>F71+F72</f>
        <v/>
      </c>
      <c r="G70" s="33">
        <f>(E70-E66)/E66</f>
        <v/>
      </c>
      <c r="H70" s="33">
        <f>(E70-F70)/F70</f>
        <v/>
      </c>
      <c r="I70" s="531">
        <f>I71+I72</f>
        <v/>
      </c>
      <c r="J70" s="532">
        <f>J71+J72</f>
        <v/>
      </c>
      <c r="K70" s="33">
        <f>(I70-I66)/I66</f>
        <v/>
      </c>
      <c r="L70" s="33">
        <f>(I70-J70)/J70</f>
        <v/>
      </c>
      <c r="M70" s="532">
        <f>E70/I70</f>
        <v/>
      </c>
      <c r="N70" s="532">
        <f>F70/J70</f>
        <v/>
      </c>
      <c r="O70" s="33">
        <f>(M70-M66)/M66</f>
        <v/>
      </c>
      <c r="P70" s="33">
        <f>(M70-N70)/N70</f>
        <v/>
      </c>
      <c r="Q70" s="533">
        <f>Q71+Q72</f>
        <v/>
      </c>
      <c r="R70" s="533">
        <f>R71+R72</f>
        <v/>
      </c>
      <c r="S70" s="33">
        <f>(Q70-Q66)/Q66</f>
        <v/>
      </c>
      <c r="T70" s="33">
        <f>(Q70-R70)/R70</f>
        <v/>
      </c>
      <c r="U70" s="533">
        <f>U71+U72</f>
        <v/>
      </c>
      <c r="V70" s="533">
        <f>V71+V72</f>
        <v/>
      </c>
      <c r="W70" s="33">
        <f>(U70-U66)/U66</f>
        <v/>
      </c>
      <c r="X70" s="33">
        <f>(U70-V70)/V70</f>
        <v/>
      </c>
      <c r="Y70" s="88">
        <f>U70/Q70</f>
        <v/>
      </c>
      <c r="Z70" s="88">
        <f>V70/R70</f>
        <v/>
      </c>
      <c r="AA70" s="33">
        <f>(Y70-Y66)/Y66</f>
        <v/>
      </c>
      <c r="AB70" s="33">
        <f>(Y70-Z70)/Z70</f>
        <v/>
      </c>
      <c r="AC70" s="540">
        <f>E70/U70</f>
        <v/>
      </c>
      <c r="AD70" s="534">
        <f>F70/V70</f>
        <v/>
      </c>
      <c r="AE70" s="33">
        <f>(AC70-AC66)/AC66</f>
        <v/>
      </c>
      <c r="AF70" s="33">
        <f>(AC70-AD70)/AD70</f>
        <v/>
      </c>
      <c r="AG70" s="533">
        <f>AG71+AG72</f>
        <v/>
      </c>
      <c r="AH70" s="533">
        <f>AH71+AH72</f>
        <v/>
      </c>
      <c r="AI70" s="33">
        <f>(AG70-AG66)/AG66</f>
        <v/>
      </c>
      <c r="AJ70" s="33">
        <f>(AG70-AH70)/AH70</f>
        <v/>
      </c>
      <c r="AK70" s="533">
        <f>AK71+AK72</f>
        <v/>
      </c>
      <c r="AL70" s="533">
        <f>AL71+AL72</f>
        <v/>
      </c>
      <c r="AM70" s="150">
        <f>(AK70-AK66)/AK66</f>
        <v/>
      </c>
      <c r="AN70" s="431">
        <f>(AK70-AL70)/AL70</f>
        <v/>
      </c>
      <c r="AO70" s="33">
        <f>AG70/AK70</f>
        <v/>
      </c>
      <c r="AP70" s="33">
        <f>AH70/AL70</f>
        <v/>
      </c>
      <c r="AQ70" s="33">
        <f>(AO70-AO66)/AO66</f>
        <v/>
      </c>
      <c r="AR70" s="33">
        <f>(AO70-AP70)/AP70</f>
        <v/>
      </c>
      <c r="AS70" t="s">
        <v>97</v>
      </c>
    </row>
    <row customHeight="1" ht="15.75" r="71" s="452" spans="1:45">
      <c r="A71" s="260" t="s">
        <v>44</v>
      </c>
      <c r="B71" s="260" t="s">
        <v>96</v>
      </c>
      <c r="C71" s="261">
        <f>C67+7</f>
        <v/>
      </c>
      <c r="D71" s="260" t="s">
        <v>35</v>
      </c>
      <c r="E71" s="535" t="n">
        <v>37050</v>
      </c>
      <c r="F71" s="535" t="n">
        <v>5623</v>
      </c>
      <c r="G71" s="33">
        <f>(E71-E67)/E67</f>
        <v/>
      </c>
      <c r="H71" s="33">
        <f>(E71-F71)/F71</f>
        <v/>
      </c>
      <c r="I71" s="535">
        <f>389.65+45.59</f>
        <v/>
      </c>
      <c r="J71" s="536">
        <f>484.03+29.37</f>
        <v/>
      </c>
      <c r="K71" s="33">
        <f>(I71-I67)/I67</f>
        <v/>
      </c>
      <c r="L71" s="33">
        <f>(I71-J71)/J71</f>
        <v/>
      </c>
      <c r="M71" s="536">
        <f>E71/I71</f>
        <v/>
      </c>
      <c r="N71" s="536">
        <f>F71/J71</f>
        <v/>
      </c>
      <c r="O71" s="33">
        <f>(M71-M67)/M67</f>
        <v/>
      </c>
      <c r="P71" s="33">
        <f>(M71-N71)/N71</f>
        <v/>
      </c>
      <c r="Q71" s="537" t="n">
        <v>6225</v>
      </c>
      <c r="R71" s="537" t="n">
        <v>3214</v>
      </c>
      <c r="S71" s="33">
        <f>(Q71-Q67)/Q67</f>
        <v/>
      </c>
      <c r="T71" s="33">
        <f>(Q71-R71)/R71</f>
        <v/>
      </c>
      <c r="U71" s="537" t="n">
        <v>251</v>
      </c>
      <c r="V71" s="537" t="n">
        <v>42</v>
      </c>
      <c r="W71" s="33">
        <f>(U71-U67)/U67</f>
        <v/>
      </c>
      <c r="X71" s="33">
        <f>(U71-V71)/V71</f>
        <v/>
      </c>
      <c r="Y71" s="113">
        <f>U71/Q71</f>
        <v/>
      </c>
      <c r="Z71" s="113">
        <f>V71/R71</f>
        <v/>
      </c>
      <c r="AA71" s="33">
        <f>(Y71-Y67)/Y67</f>
        <v/>
      </c>
      <c r="AB71" s="33">
        <f>(Y71-Z71)/Z71</f>
        <v/>
      </c>
      <c r="AC71" s="529">
        <f>E71/U71</f>
        <v/>
      </c>
      <c r="AD71" s="534">
        <f>F71/V71</f>
        <v/>
      </c>
      <c r="AE71" s="33">
        <f>(AC71-AC67)/AC67</f>
        <v/>
      </c>
      <c r="AF71" s="33">
        <f>(AC71-AD71)/AD71</f>
        <v/>
      </c>
      <c r="AG71" s="537">
        <f>4069+203</f>
        <v/>
      </c>
      <c r="AH71" s="537">
        <f>2291+134</f>
        <v/>
      </c>
      <c r="AI71" s="33">
        <f>(AG71-AG67)/AG67</f>
        <v/>
      </c>
      <c r="AJ71" s="33">
        <f>(AG71-AH71)/AH71</f>
        <v/>
      </c>
      <c r="AK71" s="537">
        <f>11050+580</f>
        <v/>
      </c>
      <c r="AL71" s="537">
        <f>6734+388</f>
        <v/>
      </c>
      <c r="AM71" s="150">
        <f>(AK71-AK67)/AK67</f>
        <v/>
      </c>
      <c r="AN71" s="431">
        <f>(AK71-AL71)/AL71</f>
        <v/>
      </c>
      <c r="AO71" s="282">
        <f>AG71/AK71</f>
        <v/>
      </c>
      <c r="AP71" s="282">
        <f>AH71/AL71</f>
        <v/>
      </c>
      <c r="AQ71" s="33">
        <f>(AO71-AO67)/AO67</f>
        <v/>
      </c>
      <c r="AR71" s="33">
        <f>(AO71-AP71)/AP71</f>
        <v/>
      </c>
    </row>
    <row customHeight="1" ht="15.75" r="72" s="452" spans="1:45">
      <c r="A72" s="260" t="s">
        <v>44</v>
      </c>
      <c r="B72" s="260" t="s">
        <v>96</v>
      </c>
      <c r="C72" s="261">
        <f>C68+7</f>
        <v/>
      </c>
      <c r="D72" s="260" t="s">
        <v>36</v>
      </c>
      <c r="E72" s="535" t="n">
        <v>350</v>
      </c>
      <c r="F72" s="535" t="n">
        <v>317</v>
      </c>
      <c r="G72" s="33">
        <f>(E72-E68)/E68</f>
        <v/>
      </c>
      <c r="H72" s="33">
        <f>(E72-F72)/F72</f>
        <v/>
      </c>
      <c r="I72" s="535" t="n">
        <v>1060.89</v>
      </c>
      <c r="J72" s="536">
        <f>2445.3+96.58</f>
        <v/>
      </c>
      <c r="K72" s="33">
        <f>(I72-I68)/I68</f>
        <v/>
      </c>
      <c r="L72" s="33">
        <f>(I72-J72)/J72</f>
        <v/>
      </c>
      <c r="M72" s="536">
        <f>E72/I72</f>
        <v/>
      </c>
      <c r="N72" s="536">
        <f>F72/J72</f>
        <v/>
      </c>
      <c r="O72" s="33">
        <f>(M72-M68)/M68</f>
        <v/>
      </c>
      <c r="P72" s="33">
        <f>(M72-N72)/N72</f>
        <v/>
      </c>
      <c r="Q72" s="537" t="n">
        <v>938</v>
      </c>
      <c r="R72" s="537" t="n">
        <v>2583</v>
      </c>
      <c r="S72" s="33">
        <f>(Q72-Q68)/Q68</f>
        <v/>
      </c>
      <c r="T72" s="33">
        <f>(Q72-R72)/R72</f>
        <v/>
      </c>
      <c r="U72" s="537" t="n">
        <v>5</v>
      </c>
      <c r="V72" s="537" t="n">
        <v>4</v>
      </c>
      <c r="W72" s="33">
        <f>(U72-U68)/U68</f>
        <v/>
      </c>
      <c r="X72" s="33">
        <f>(U72-V72)/V72</f>
        <v/>
      </c>
      <c r="Y72" s="113">
        <f>U72/Q72</f>
        <v/>
      </c>
      <c r="Z72" s="113">
        <f>V72/R72</f>
        <v/>
      </c>
      <c r="AA72" s="33">
        <f>(Y72-Y68)/Y68</f>
        <v/>
      </c>
      <c r="AB72" s="33">
        <f>(Y72-Z72)/Z72</f>
        <v/>
      </c>
      <c r="AC72" s="529">
        <f>E72/U72</f>
        <v/>
      </c>
      <c r="AD72" s="534">
        <f>F72/V72</f>
        <v/>
      </c>
      <c r="AE72" s="33">
        <f>(AC72-AC68)/AC68</f>
        <v/>
      </c>
      <c r="AF72" s="33">
        <f>(AC72-AD72)/AD72</f>
        <v/>
      </c>
      <c r="AG72" s="537" t="n">
        <v>756</v>
      </c>
      <c r="AH72" s="537">
        <f>2557+130</f>
        <v/>
      </c>
      <c r="AI72" s="33">
        <f>(AG72-AG68)/AG68</f>
        <v/>
      </c>
      <c r="AJ72" s="33">
        <f>(AG72-AH72)/AH72</f>
        <v/>
      </c>
      <c r="AK72" s="537" t="n">
        <v>10653</v>
      </c>
      <c r="AL72" s="537">
        <f>35097+2283</f>
        <v/>
      </c>
      <c r="AM72" s="150">
        <f>(AK72-AK68)/AK68</f>
        <v/>
      </c>
      <c r="AN72" s="431">
        <f>(AK72-AL72)/AL72</f>
        <v/>
      </c>
      <c r="AO72" s="282">
        <f>AG72/AK72</f>
        <v/>
      </c>
      <c r="AP72" s="282">
        <f>AH72/AL72</f>
        <v/>
      </c>
      <c r="AQ72" s="33">
        <f>(AO72-AO68)/AO68</f>
        <v/>
      </c>
      <c r="AR72" s="33">
        <f>(AO72-AP72)/AP72</f>
        <v/>
      </c>
    </row>
    <row customHeight="1" ht="15.75" r="73" s="452" spans="1:45">
      <c r="A73" s="260" t="s">
        <v>44</v>
      </c>
      <c r="B73" s="260" t="s">
        <v>96</v>
      </c>
      <c r="C73" s="261">
        <f>C69+7</f>
        <v/>
      </c>
      <c r="D73" s="260" t="s">
        <v>37</v>
      </c>
      <c r="E73" s="535" t="n"/>
      <c r="F73" s="535" t="n"/>
      <c r="G73" s="33">
        <f>(E73-E69)/E69</f>
        <v/>
      </c>
      <c r="H73" s="33">
        <f>(E73-F73)/F73</f>
        <v/>
      </c>
      <c r="I73" s="535" t="n"/>
      <c r="J73" s="536" t="n"/>
      <c r="K73" s="33">
        <f>(I73-I69)/I69</f>
        <v/>
      </c>
      <c r="L73" s="33">
        <f>(I73-J73)/J73</f>
        <v/>
      </c>
      <c r="M73" s="536" t="n"/>
      <c r="N73" s="536" t="n"/>
      <c r="O73" s="33">
        <f>(M73-M69)/M69</f>
        <v/>
      </c>
      <c r="P73" s="33">
        <f>(M73-N73)/N73</f>
        <v/>
      </c>
      <c r="Q73" s="537" t="n"/>
      <c r="R73" s="537" t="n"/>
      <c r="S73" s="33">
        <f>(Q73-Q69)/Q69</f>
        <v/>
      </c>
      <c r="T73" s="33">
        <f>(Q73-R73)/R73</f>
        <v/>
      </c>
      <c r="U73" s="537" t="n"/>
      <c r="V73" s="537" t="n"/>
      <c r="W73" s="33">
        <f>(U73-U69)/U69</f>
        <v/>
      </c>
      <c r="X73" s="33">
        <f>(U73-V73)/V73</f>
        <v/>
      </c>
      <c r="Y73" s="113" t="n"/>
      <c r="Z73" s="113" t="n"/>
      <c r="AA73" s="33">
        <f>(Y73-Y69)/Y69</f>
        <v/>
      </c>
      <c r="AB73" s="33">
        <f>(Y73-Z73)/Z73</f>
        <v/>
      </c>
      <c r="AC73" s="529" t="n"/>
      <c r="AD73" s="534" t="n"/>
      <c r="AE73" s="33">
        <f>(AC73-AC69)/AC69</f>
        <v/>
      </c>
      <c r="AF73" s="33">
        <f>(AC73-AD73)/AD73</f>
        <v/>
      </c>
      <c r="AG73" s="537" t="n"/>
      <c r="AH73" s="537" t="n"/>
      <c r="AI73" s="33">
        <f>(AG73-AG69)/AG69</f>
        <v/>
      </c>
      <c r="AJ73" s="33">
        <f>(AG73-AH73)/AH73</f>
        <v/>
      </c>
      <c r="AK73" s="537" t="n"/>
      <c r="AL73" s="537" t="n"/>
      <c r="AM73" s="150">
        <f>(AK73-AK69)/AK69</f>
        <v/>
      </c>
      <c r="AN73" s="431">
        <f>(AK73-AL73)/AL73</f>
        <v/>
      </c>
      <c r="AO73" s="282" t="n"/>
      <c r="AP73" s="282" t="n"/>
      <c r="AQ73" s="33">
        <f>(AO73-AO69)/AO69</f>
        <v/>
      </c>
      <c r="AR73" s="33">
        <f>(AO73-AP73)/AP73</f>
        <v/>
      </c>
    </row>
    <row customHeight="1" ht="15.75" r="74" s="452" spans="1:45">
      <c r="A74" s="29" t="s">
        <v>44</v>
      </c>
      <c r="B74" s="29" t="s">
        <v>98</v>
      </c>
      <c r="C74" s="30">
        <f>C70+7</f>
        <v/>
      </c>
      <c r="D74" s="31" t="s">
        <v>60</v>
      </c>
      <c r="E74" s="531">
        <f>E75+E76</f>
        <v/>
      </c>
      <c r="F74" s="531">
        <f>F75+F76</f>
        <v/>
      </c>
      <c r="G74" s="33">
        <f>(E74-E70)/E70</f>
        <v/>
      </c>
      <c r="H74" s="33">
        <f>(E74-F74)/F74</f>
        <v/>
      </c>
      <c r="I74" s="531">
        <f>I75+I76</f>
        <v/>
      </c>
      <c r="J74" s="532">
        <f>J75+J76</f>
        <v/>
      </c>
      <c r="K74" s="33">
        <f>(I74-I70)/I70</f>
        <v/>
      </c>
      <c r="L74" s="33">
        <f>(I74-J74)/J74</f>
        <v/>
      </c>
      <c r="M74" s="532">
        <f>E74/I74</f>
        <v/>
      </c>
      <c r="N74" s="532">
        <f>F74/J74</f>
        <v/>
      </c>
      <c r="O74" s="33">
        <f>(M74-M70)/M70</f>
        <v/>
      </c>
      <c r="P74" s="33">
        <f>(M74-N74)/N74</f>
        <v/>
      </c>
      <c r="Q74" s="533">
        <f>Q75+Q76</f>
        <v/>
      </c>
      <c r="R74" s="533">
        <f>R75+R76</f>
        <v/>
      </c>
      <c r="S74" s="33">
        <f>(Q74-Q70)/Q70</f>
        <v/>
      </c>
      <c r="T74" s="33">
        <f>(Q74-R74)/R74</f>
        <v/>
      </c>
      <c r="U74" s="533">
        <f>U75+U76</f>
        <v/>
      </c>
      <c r="V74" s="533">
        <f>V75+V76</f>
        <v/>
      </c>
      <c r="W74" s="33">
        <f>(U74-U70)/U70</f>
        <v/>
      </c>
      <c r="X74" s="33">
        <f>(U74-V74)/V74</f>
        <v/>
      </c>
      <c r="Y74" s="88">
        <f>U74/Q74</f>
        <v/>
      </c>
      <c r="Z74" s="88">
        <f>V74/R74</f>
        <v/>
      </c>
      <c r="AA74" s="33">
        <f>(Y74-Y70)/Y70</f>
        <v/>
      </c>
      <c r="AB74" s="33">
        <f>(Y74-Z74)/Z74</f>
        <v/>
      </c>
      <c r="AC74" s="540">
        <f>E74/U74</f>
        <v/>
      </c>
      <c r="AD74" s="534">
        <f>F74/V74</f>
        <v/>
      </c>
      <c r="AE74" s="33">
        <f>(AC74-AC70)/AC70</f>
        <v/>
      </c>
      <c r="AF74" s="33">
        <f>(AC74-AD74)/AD74</f>
        <v/>
      </c>
      <c r="AG74" s="533">
        <f>AG75+AG76</f>
        <v/>
      </c>
      <c r="AH74" s="533">
        <f>AH75+AH76</f>
        <v/>
      </c>
      <c r="AI74" s="33">
        <f>(AG74-AG70)/AG70</f>
        <v/>
      </c>
      <c r="AJ74" s="33">
        <f>(AG74-AH74)/AH74</f>
        <v/>
      </c>
      <c r="AK74" s="533">
        <f>SUM(AK75:AK76)</f>
        <v/>
      </c>
      <c r="AL74" s="533">
        <f>AL75+AL76</f>
        <v/>
      </c>
      <c r="AM74" s="150">
        <f>(AK74-AK70)/AK70</f>
        <v/>
      </c>
      <c r="AN74" s="431">
        <f>(AK74-AL74)/AL74</f>
        <v/>
      </c>
      <c r="AO74" s="33">
        <f>AG74/AK74</f>
        <v/>
      </c>
      <c r="AP74" s="33">
        <f>AH74/AL74</f>
        <v/>
      </c>
      <c r="AQ74" s="33">
        <f>(AO74-AO70)/AO70</f>
        <v/>
      </c>
      <c r="AR74" s="33">
        <f>(AO74-AP74)/AP74</f>
        <v/>
      </c>
      <c r="AS74" t="s">
        <v>94</v>
      </c>
    </row>
    <row customHeight="1" ht="15.75" r="75" s="452" spans="1:45">
      <c r="A75" s="260" t="s">
        <v>44</v>
      </c>
      <c r="B75" s="260" t="s">
        <v>98</v>
      </c>
      <c r="C75" s="261">
        <f>C71+7</f>
        <v/>
      </c>
      <c r="D75" s="260" t="s">
        <v>35</v>
      </c>
      <c r="E75" s="535" t="n">
        <v>11988</v>
      </c>
      <c r="F75" s="535" t="n">
        <v>3841</v>
      </c>
      <c r="G75" s="33">
        <f>(E75-E71)/E71</f>
        <v/>
      </c>
      <c r="H75" s="33">
        <f>(E75-F75)/F75</f>
        <v/>
      </c>
      <c r="I75" s="535">
        <f>439.92+28.74</f>
        <v/>
      </c>
      <c r="J75" s="536">
        <f>503.64+25.28</f>
        <v/>
      </c>
      <c r="K75" s="33">
        <f>(I75-I71)/I71</f>
        <v/>
      </c>
      <c r="L75" s="33">
        <f>(I75-J75)/J75</f>
        <v/>
      </c>
      <c r="M75" s="536">
        <f>E75/I75</f>
        <v/>
      </c>
      <c r="N75" s="536">
        <f>F75/J75</f>
        <v/>
      </c>
      <c r="O75" s="33">
        <f>(M75-M71)/M71</f>
        <v/>
      </c>
      <c r="P75" s="33">
        <f>(M75-N75)/N75</f>
        <v/>
      </c>
      <c r="Q75" s="537" t="n">
        <v>5277</v>
      </c>
      <c r="R75" s="537" t="n">
        <v>2755</v>
      </c>
      <c r="S75" s="33">
        <f>(Q75-Q71)/Q71</f>
        <v/>
      </c>
      <c r="T75" s="33">
        <f>(Q75-R75)/R75</f>
        <v/>
      </c>
      <c r="U75" s="537" t="n">
        <v>110</v>
      </c>
      <c r="V75" s="537" t="n">
        <v>33</v>
      </c>
      <c r="W75" s="33">
        <f>(U75-U71)/U71</f>
        <v/>
      </c>
      <c r="X75" s="33">
        <f>(U75-V75)/V75</f>
        <v/>
      </c>
      <c r="Y75" s="113">
        <f>U75/Q75</f>
        <v/>
      </c>
      <c r="Z75" s="113">
        <f>V75/R75</f>
        <v/>
      </c>
      <c r="AA75" s="33">
        <f>(Y75-Y71)/Y71</f>
        <v/>
      </c>
      <c r="AB75" s="33">
        <f>(Y75-Z75)/Z75</f>
        <v/>
      </c>
      <c r="AC75" s="529">
        <f>E75/U75</f>
        <v/>
      </c>
      <c r="AD75" s="534">
        <f>F75/V75</f>
        <v/>
      </c>
      <c r="AE75" s="33">
        <f>(AC75-AC71)/AC71</f>
        <v/>
      </c>
      <c r="AF75" s="33">
        <f>(AC75-AD75)/AD75</f>
        <v/>
      </c>
      <c r="AG75" s="537">
        <f>3823+151</f>
        <v/>
      </c>
      <c r="AH75" s="537">
        <f>1987+110</f>
        <v/>
      </c>
      <c r="AI75" s="33">
        <f>(AG75-AG71)/AG71</f>
        <v/>
      </c>
      <c r="AJ75" s="33">
        <f>(AG75-AH75)/AH75</f>
        <v/>
      </c>
      <c r="AK75" s="537">
        <f>10537+443</f>
        <v/>
      </c>
      <c r="AL75" s="537">
        <f>5903+323</f>
        <v/>
      </c>
      <c r="AM75" s="150">
        <f>(AK75-AK71)/AK71</f>
        <v/>
      </c>
      <c r="AN75" s="431">
        <f>(AK75-AL75)/AL75</f>
        <v/>
      </c>
      <c r="AO75" s="282">
        <f>AG75/AK75</f>
        <v/>
      </c>
      <c r="AP75" s="282">
        <f>AH75/AL75</f>
        <v/>
      </c>
      <c r="AQ75" s="33">
        <f>(AO75-AO71)/AO71</f>
        <v/>
      </c>
      <c r="AR75" s="33">
        <f>(AO75-AP75)/AP75</f>
        <v/>
      </c>
    </row>
    <row customHeight="1" ht="15.75" r="76" s="452" spans="1:45">
      <c r="A76" s="260" t="s">
        <v>44</v>
      </c>
      <c r="B76" s="260" t="s">
        <v>98</v>
      </c>
      <c r="C76" s="261">
        <f>C72+7</f>
        <v/>
      </c>
      <c r="D76" s="260" t="s">
        <v>36</v>
      </c>
      <c r="E76" s="535" t="n">
        <v>130</v>
      </c>
      <c r="F76" s="535" t="n">
        <v>301</v>
      </c>
      <c r="G76" s="33">
        <f>(E76-E72)/E72</f>
        <v/>
      </c>
      <c r="H76" s="33">
        <f>(E76-F76)/F76</f>
        <v/>
      </c>
      <c r="I76" s="535" t="n">
        <v>1341.04</v>
      </c>
      <c r="J76" s="536">
        <f>1969.76+106.15</f>
        <v/>
      </c>
      <c r="K76" s="33">
        <f>(I76-I72)/I72</f>
        <v/>
      </c>
      <c r="L76" s="33">
        <f>(I76-J76)/J76</f>
        <v/>
      </c>
      <c r="M76" s="536">
        <f>E76/I76</f>
        <v/>
      </c>
      <c r="N76" s="536">
        <f>F76/J76</f>
        <v/>
      </c>
      <c r="O76" s="33">
        <f>(M76-M72)/M72</f>
        <v/>
      </c>
      <c r="P76" s="33">
        <f>(M76-N76)/N76</f>
        <v/>
      </c>
      <c r="Q76" s="537" t="n">
        <v>1068</v>
      </c>
      <c r="R76" s="537" t="n">
        <v>1903</v>
      </c>
      <c r="S76" s="33">
        <f>(Q76-Q72)/Q72</f>
        <v/>
      </c>
      <c r="T76" s="33">
        <f>(Q76-R76)/R76</f>
        <v/>
      </c>
      <c r="U76" s="537" t="n">
        <v>3</v>
      </c>
      <c r="V76" s="537" t="n">
        <v>4</v>
      </c>
      <c r="W76" s="33">
        <f>(U76-U72)/U72</f>
        <v/>
      </c>
      <c r="X76" s="33">
        <f>(U76-V76)/V76</f>
        <v/>
      </c>
      <c r="Y76" s="113">
        <f>U76/Q76</f>
        <v/>
      </c>
      <c r="Z76" s="113">
        <f>V76/R76</f>
        <v/>
      </c>
      <c r="AA76" s="33">
        <f>(Y76-Y72)/Y72</f>
        <v/>
      </c>
      <c r="AB76" s="33">
        <f>(Y76-Z76)/Z76</f>
        <v/>
      </c>
      <c r="AC76" s="529">
        <f>E76/U76</f>
        <v/>
      </c>
      <c r="AD76" s="534">
        <f>F76/V76</f>
        <v/>
      </c>
      <c r="AE76" s="33">
        <f>(AC76-AC72)/AC72</f>
        <v/>
      </c>
      <c r="AF76" s="33">
        <f>(AC76-AD76)/AD76</f>
        <v/>
      </c>
      <c r="AG76" s="537" t="n">
        <v>978</v>
      </c>
      <c r="AH76" s="537">
        <f>1743+144</f>
        <v/>
      </c>
      <c r="AI76" s="33">
        <f>(AG76-AG72)/AG72</f>
        <v/>
      </c>
      <c r="AJ76" s="33">
        <f>(AG76-AH76)/AH76</f>
        <v/>
      </c>
      <c r="AK76" s="537" t="n">
        <v>13643</v>
      </c>
      <c r="AL76" s="537">
        <f>23668+2517</f>
        <v/>
      </c>
      <c r="AM76" s="150">
        <f>(AK76-AK72)/AK72</f>
        <v/>
      </c>
      <c r="AN76" s="431">
        <f>(AK76-AL76)/AL76</f>
        <v/>
      </c>
      <c r="AO76" s="282">
        <f>AG76/AK76</f>
        <v/>
      </c>
      <c r="AP76" s="282">
        <f>AH76/AL76</f>
        <v/>
      </c>
      <c r="AQ76" s="33">
        <f>(AO76-AO72)/AO72</f>
        <v/>
      </c>
      <c r="AR76" s="33">
        <f>(AO76-AP76)/AP76</f>
        <v/>
      </c>
    </row>
    <row customHeight="1" ht="15.75" r="77" s="452" spans="1:45">
      <c r="A77" s="260" t="s">
        <v>44</v>
      </c>
      <c r="B77" s="260" t="s">
        <v>98</v>
      </c>
      <c r="C77" s="261">
        <f>C73+7</f>
        <v/>
      </c>
      <c r="D77" s="260" t="s">
        <v>37</v>
      </c>
      <c r="E77" s="535" t="n"/>
      <c r="F77" s="535" t="n"/>
      <c r="G77" s="33">
        <f>(E77-E73)/E73</f>
        <v/>
      </c>
      <c r="H77" s="33">
        <f>(E77-F77)/F77</f>
        <v/>
      </c>
      <c r="I77" s="535" t="n"/>
      <c r="J77" s="536" t="n"/>
      <c r="K77" s="33">
        <f>(I77-I73)/I73</f>
        <v/>
      </c>
      <c r="L77" s="33">
        <f>(I77-J77)/J77</f>
        <v/>
      </c>
      <c r="M77" s="536" t="n"/>
      <c r="N77" s="536" t="n"/>
      <c r="O77" s="33">
        <f>(M77-M73)/M73</f>
        <v/>
      </c>
      <c r="P77" s="33">
        <f>(M77-N77)/N77</f>
        <v/>
      </c>
      <c r="Q77" s="537" t="n"/>
      <c r="R77" s="537" t="n"/>
      <c r="S77" s="33">
        <f>(Q77-Q73)/Q73</f>
        <v/>
      </c>
      <c r="T77" s="33">
        <f>(Q77-R77)/R77</f>
        <v/>
      </c>
      <c r="U77" s="537" t="n"/>
      <c r="V77" s="537" t="n"/>
      <c r="W77" s="33">
        <f>(U77-U73)/U73</f>
        <v/>
      </c>
      <c r="X77" s="33">
        <f>(U77-V77)/V77</f>
        <v/>
      </c>
      <c r="Y77" s="113" t="n"/>
      <c r="Z77" s="113" t="n"/>
      <c r="AA77" s="33">
        <f>(Y77-Y73)/Y73</f>
        <v/>
      </c>
      <c r="AB77" s="33">
        <f>(Y77-Z77)/Z77</f>
        <v/>
      </c>
      <c r="AC77" s="529" t="n"/>
      <c r="AD77" s="534" t="n"/>
      <c r="AE77" s="33">
        <f>(AC77-AC73)/AC73</f>
        <v/>
      </c>
      <c r="AF77" s="33">
        <f>(AC77-AD77)/AD77</f>
        <v/>
      </c>
      <c r="AG77" s="537" t="n"/>
      <c r="AH77" s="537" t="n"/>
      <c r="AI77" s="33">
        <f>(AG77-AG73)/AG73</f>
        <v/>
      </c>
      <c r="AJ77" s="33">
        <f>(AG77-AH77)/AH77</f>
        <v/>
      </c>
      <c r="AK77" s="537" t="n"/>
      <c r="AL77" s="537" t="n"/>
      <c r="AM77" s="150">
        <f>(AK77-AK73)/AK73</f>
        <v/>
      </c>
      <c r="AN77" s="431">
        <f>(AK77-AL77)/AL77</f>
        <v/>
      </c>
      <c r="AO77" s="282" t="n"/>
      <c r="AP77" s="282" t="n"/>
      <c r="AQ77" s="33">
        <f>(AO77-AO73)/AO73</f>
        <v/>
      </c>
      <c r="AR77" s="33">
        <f>(AO77-AP77)/AP77</f>
        <v/>
      </c>
    </row>
    <row customHeight="1" ht="15.75" r="78" s="452" spans="1:45">
      <c r="A78" s="29" t="s">
        <v>44</v>
      </c>
      <c r="B78" s="29" t="s">
        <v>99</v>
      </c>
      <c r="C78" s="30">
        <f>C74+7</f>
        <v/>
      </c>
      <c r="D78" s="31" t="s">
        <v>60</v>
      </c>
      <c r="E78" s="531">
        <f>E79+E80</f>
        <v/>
      </c>
      <c r="F78" s="531">
        <f>F79+F80</f>
        <v/>
      </c>
      <c r="G78" s="33">
        <f>(E78-E74)/E74</f>
        <v/>
      </c>
      <c r="H78" s="33">
        <f>(E78-F78)/F78</f>
        <v/>
      </c>
      <c r="I78" s="531">
        <f>I79+I80</f>
        <v/>
      </c>
      <c r="J78" s="532">
        <f>J79+J80</f>
        <v/>
      </c>
      <c r="K78" s="33">
        <f>(I78-I74)/I74</f>
        <v/>
      </c>
      <c r="L78" s="33">
        <f>(I78-J78)/J78</f>
        <v/>
      </c>
      <c r="M78" s="532">
        <f>E78/I78</f>
        <v/>
      </c>
      <c r="N78" s="532">
        <f>F78/J78</f>
        <v/>
      </c>
      <c r="O78" s="33">
        <f>(M78-M74)/M74</f>
        <v/>
      </c>
      <c r="P78" s="33">
        <f>(M78-N78)/N78</f>
        <v/>
      </c>
      <c r="Q78" s="533">
        <f>Q79+Q80</f>
        <v/>
      </c>
      <c r="R78" s="533">
        <f>R79+R80</f>
        <v/>
      </c>
      <c r="S78" s="33">
        <f>(Q78-Q74)/Q74</f>
        <v/>
      </c>
      <c r="T78" s="33">
        <f>(Q78-R78)/R78</f>
        <v/>
      </c>
      <c r="U78" s="533">
        <f>U79+U80</f>
        <v/>
      </c>
      <c r="V78" s="533">
        <f>V79+V80</f>
        <v/>
      </c>
      <c r="W78" s="33">
        <f>(U78-U74)/U74</f>
        <v/>
      </c>
      <c r="X78" s="33">
        <f>(U78-V78)/V78</f>
        <v/>
      </c>
      <c r="Y78" s="88">
        <f>U78/Q78</f>
        <v/>
      </c>
      <c r="Z78" s="88">
        <f>V78/R78</f>
        <v/>
      </c>
      <c r="AA78" s="33">
        <f>(Y78-Y74)/Y74</f>
        <v/>
      </c>
      <c r="AB78" s="33">
        <f>(Y78-Z78)/Z78</f>
        <v/>
      </c>
      <c r="AC78" s="540">
        <f>E78/U78</f>
        <v/>
      </c>
      <c r="AD78" s="534">
        <f>F78/V78</f>
        <v/>
      </c>
      <c r="AE78" s="33">
        <f>(AC78-AC74)/AC74</f>
        <v/>
      </c>
      <c r="AF78" s="33">
        <f>(AC78-AD78)/AD78</f>
        <v/>
      </c>
      <c r="AG78" s="533">
        <f>AG79+AG80</f>
        <v/>
      </c>
      <c r="AH78" s="533">
        <f>AH79+AH80</f>
        <v/>
      </c>
      <c r="AI78" s="33">
        <f>(AG78-AG74)/AG74</f>
        <v/>
      </c>
      <c r="AJ78" s="33">
        <f>(AG78-AH78)/AH78</f>
        <v/>
      </c>
      <c r="AK78" s="533">
        <f>SUM(AK79:AK80)</f>
        <v/>
      </c>
      <c r="AL78" s="533">
        <f>AL79+AL80</f>
        <v/>
      </c>
      <c r="AM78" s="150">
        <f>(AK78-AK74)/AK74</f>
        <v/>
      </c>
      <c r="AN78" s="431">
        <f>(AK78-AL78)/AL78</f>
        <v/>
      </c>
      <c r="AO78" s="33">
        <f>AG78/AK78</f>
        <v/>
      </c>
      <c r="AP78" s="33">
        <f>AH78/AL78</f>
        <v/>
      </c>
      <c r="AQ78" s="33">
        <f>(AO78-AO74)/AO74</f>
        <v/>
      </c>
      <c r="AR78" s="33">
        <f>(AO78-AP78)/AP78</f>
        <v/>
      </c>
      <c r="AS78" t="s">
        <v>100</v>
      </c>
    </row>
    <row customHeight="1" ht="15.75" r="79" s="452" spans="1:45">
      <c r="A79" s="260" t="s">
        <v>44</v>
      </c>
      <c r="B79" s="260" t="s">
        <v>99</v>
      </c>
      <c r="C79" s="261">
        <f>C75+7</f>
        <v/>
      </c>
      <c r="D79" s="260" t="s">
        <v>35</v>
      </c>
      <c r="E79" s="535" t="n">
        <v>8496</v>
      </c>
      <c r="F79" s="535" t="n">
        <v>2253</v>
      </c>
      <c r="G79" s="33">
        <f>(E79-E75)/E75</f>
        <v/>
      </c>
      <c r="H79" s="33">
        <f>(E79-F79)/F79</f>
        <v/>
      </c>
      <c r="I79" s="535">
        <f>363.4+46.47</f>
        <v/>
      </c>
      <c r="J79" s="536">
        <f>542.66+28.83</f>
        <v/>
      </c>
      <c r="K79" s="33">
        <f>(I79-I75)/I75</f>
        <v/>
      </c>
      <c r="L79" s="33">
        <f>(I79-J79)/J79</f>
        <v/>
      </c>
      <c r="M79" s="536">
        <f>E79/I79</f>
        <v/>
      </c>
      <c r="N79" s="536">
        <f>F79/J79</f>
        <v/>
      </c>
      <c r="O79" s="33">
        <f>(M79-M75)/M75</f>
        <v/>
      </c>
      <c r="P79" s="33">
        <f>(M79-N79)/N79</f>
        <v/>
      </c>
      <c r="Q79" s="537" t="n">
        <v>3776</v>
      </c>
      <c r="R79" s="537" t="n">
        <v>2737</v>
      </c>
      <c r="S79" s="33">
        <f>(Q79-Q75)/Q75</f>
        <v/>
      </c>
      <c r="T79" s="33">
        <f>(Q79-R79)/R79</f>
        <v/>
      </c>
      <c r="U79" s="537" t="n">
        <v>77</v>
      </c>
      <c r="V79" s="537" t="n">
        <v>26</v>
      </c>
      <c r="W79" s="33">
        <f>(U79-U75)/U75</f>
        <v/>
      </c>
      <c r="X79" s="33">
        <f>(U79-V79)/V79</f>
        <v/>
      </c>
      <c r="Y79" s="113">
        <f>U79/Q79</f>
        <v/>
      </c>
      <c r="Z79" s="113">
        <f>V79/R79</f>
        <v/>
      </c>
      <c r="AA79" s="33">
        <f>(Y79-Y75)/Y75</f>
        <v/>
      </c>
      <c r="AB79" s="33">
        <f>(Y79-Z79)/Z79</f>
        <v/>
      </c>
      <c r="AC79" s="529">
        <f>E79/U79</f>
        <v/>
      </c>
      <c r="AD79" s="534">
        <f>F79/V79</f>
        <v/>
      </c>
      <c r="AE79" s="33">
        <f>(AC79-AC75)/AC75</f>
        <v/>
      </c>
      <c r="AF79" s="33">
        <f>(AC79-AD79)/AD79</f>
        <v/>
      </c>
      <c r="AG79" s="537">
        <f>3118+159</f>
        <v/>
      </c>
      <c r="AH79" s="537">
        <f>2053+82</f>
        <v/>
      </c>
      <c r="AI79" s="33">
        <f>(AG79-AG75)/AG75</f>
        <v/>
      </c>
      <c r="AJ79" s="33">
        <f>(AG79-AH79)/AH79</f>
        <v/>
      </c>
      <c r="AK79" s="537">
        <f>9758+668</f>
        <v/>
      </c>
      <c r="AL79" s="537">
        <f>6056+223</f>
        <v/>
      </c>
      <c r="AM79" s="150">
        <f>(AK79-AK75)/AK75</f>
        <v/>
      </c>
      <c r="AN79" s="431">
        <f>(AK79-AL79)/AL79</f>
        <v/>
      </c>
      <c r="AO79" s="282">
        <f>AG79/AK79</f>
        <v/>
      </c>
      <c r="AP79" s="282">
        <f>AH79/AL79</f>
        <v/>
      </c>
      <c r="AQ79" s="33">
        <f>(AO79-AO75)/AO75</f>
        <v/>
      </c>
      <c r="AR79" s="33">
        <f>(AO79-AP79)/AP79</f>
        <v/>
      </c>
    </row>
    <row customHeight="1" ht="15.75" r="80" s="452" spans="1:45">
      <c r="A80" s="260" t="s">
        <v>44</v>
      </c>
      <c r="B80" s="260" t="s">
        <v>99</v>
      </c>
      <c r="C80" s="261">
        <f>C76+7</f>
        <v/>
      </c>
      <c r="D80" s="260" t="s">
        <v>36</v>
      </c>
      <c r="E80" s="535" t="n">
        <v>481</v>
      </c>
      <c r="F80" s="535" t="n">
        <v>503</v>
      </c>
      <c r="G80" s="33">
        <f>(E80-E76)/E76</f>
        <v/>
      </c>
      <c r="H80" s="33">
        <f>(E80-F80)/F80</f>
        <v/>
      </c>
      <c r="I80" s="535" t="n">
        <v>1318.35</v>
      </c>
      <c r="J80" s="536">
        <f>1815.62+80.36</f>
        <v/>
      </c>
      <c r="K80" s="33">
        <f>(I80-I76)/I76</f>
        <v/>
      </c>
      <c r="L80" s="33">
        <f>(I80-J80)/J80</f>
        <v/>
      </c>
      <c r="M80" s="536">
        <f>E80/I80</f>
        <v/>
      </c>
      <c r="N80" s="536">
        <f>F80/J80</f>
        <v/>
      </c>
      <c r="O80" s="33">
        <f>(M80-M76)/M76</f>
        <v/>
      </c>
      <c r="P80" s="33">
        <f>(M80-N80)/N80</f>
        <v/>
      </c>
      <c r="Q80" s="537" t="n">
        <v>766</v>
      </c>
      <c r="R80" s="537" t="n">
        <v>1961</v>
      </c>
      <c r="S80" s="33">
        <f>(Q80-Q76)/Q76</f>
        <v/>
      </c>
      <c r="T80" s="33">
        <f>(Q80-R80)/R80</f>
        <v/>
      </c>
      <c r="U80" s="537" t="n">
        <v>2</v>
      </c>
      <c r="V80" s="537" t="n">
        <v>6</v>
      </c>
      <c r="W80" s="33">
        <f>(U80-U76)/U76</f>
        <v/>
      </c>
      <c r="X80" s="33">
        <f>(U80-V80)/V80</f>
        <v/>
      </c>
      <c r="Y80" s="113">
        <f>U80/Q80</f>
        <v/>
      </c>
      <c r="Z80" s="113">
        <f>V80/R80</f>
        <v/>
      </c>
      <c r="AA80" s="33">
        <f>(Y80-Y76)/Y76</f>
        <v/>
      </c>
      <c r="AB80" s="33">
        <f>(Y80-Z80)/Z80</f>
        <v/>
      </c>
      <c r="AC80" s="529">
        <f>E80/U80</f>
        <v/>
      </c>
      <c r="AD80" s="534">
        <f>F80/V80</f>
        <v/>
      </c>
      <c r="AE80" s="33">
        <f>(AC80-AC76)/AC76</f>
        <v/>
      </c>
      <c r="AF80" s="33">
        <f>(AC80-AD80)/AD80</f>
        <v/>
      </c>
      <c r="AG80" s="537" t="n">
        <v>909</v>
      </c>
      <c r="AH80" s="537">
        <f>1714+113</f>
        <v/>
      </c>
      <c r="AI80" s="33">
        <f>(AG80-AG76)/AG76</f>
        <v/>
      </c>
      <c r="AJ80" s="33">
        <f>(AG80-AH80)/AH80</f>
        <v/>
      </c>
      <c r="AK80" s="537" t="n">
        <v>12684</v>
      </c>
      <c r="AL80" s="537">
        <f>23743+1585</f>
        <v/>
      </c>
      <c r="AM80" s="150">
        <f>(AK80-AK76)/AK76</f>
        <v/>
      </c>
      <c r="AN80" s="431">
        <f>(AK80-AL80)/AL80</f>
        <v/>
      </c>
      <c r="AO80" s="282">
        <f>AG80/AK80</f>
        <v/>
      </c>
      <c r="AP80" s="282">
        <f>AH80/AL80</f>
        <v/>
      </c>
      <c r="AQ80" s="33">
        <f>(AO80-AO76)/AO76</f>
        <v/>
      </c>
      <c r="AR80" s="33">
        <f>(AO80-AP80)/AP80</f>
        <v/>
      </c>
    </row>
    <row customHeight="1" ht="15.75" r="81" s="452" spans="1:45">
      <c r="A81" s="260" t="s">
        <v>44</v>
      </c>
      <c r="B81" s="260" t="s">
        <v>99</v>
      </c>
      <c r="C81" s="261">
        <f>C77+7</f>
        <v/>
      </c>
      <c r="D81" s="260" t="s">
        <v>37</v>
      </c>
      <c r="E81" s="535" t="n"/>
      <c r="F81" s="535" t="n"/>
      <c r="G81" s="33">
        <f>(E81-E77)/E77</f>
        <v/>
      </c>
      <c r="H81" s="33">
        <f>(E81-F81)/F81</f>
        <v/>
      </c>
      <c r="I81" s="535" t="n"/>
      <c r="J81" s="536" t="n"/>
      <c r="K81" s="33">
        <f>(I81-I77)/I77</f>
        <v/>
      </c>
      <c r="L81" s="33">
        <f>(I81-J81)/J81</f>
        <v/>
      </c>
      <c r="M81" s="536" t="n"/>
      <c r="N81" s="536" t="n"/>
      <c r="O81" s="33">
        <f>(M81-M77)/M77</f>
        <v/>
      </c>
      <c r="P81" s="33">
        <f>(M81-N81)/N81</f>
        <v/>
      </c>
      <c r="Q81" s="537" t="n"/>
      <c r="R81" s="537" t="n"/>
      <c r="S81" s="33">
        <f>(Q81-Q77)/Q77</f>
        <v/>
      </c>
      <c r="T81" s="33">
        <f>(Q81-R81)/R81</f>
        <v/>
      </c>
      <c r="U81" s="537" t="n"/>
      <c r="V81" s="537" t="n"/>
      <c r="W81" s="33">
        <f>(U81-U77)/U77</f>
        <v/>
      </c>
      <c r="X81" s="33">
        <f>(U81-V81)/V81</f>
        <v/>
      </c>
      <c r="Y81" s="113" t="n"/>
      <c r="Z81" s="113" t="n"/>
      <c r="AA81" s="33">
        <f>(Y81-Y77)/Y77</f>
        <v/>
      </c>
      <c r="AB81" s="33">
        <f>(Y81-Z81)/Z81</f>
        <v/>
      </c>
      <c r="AC81" s="529" t="n"/>
      <c r="AD81" s="534" t="n"/>
      <c r="AE81" s="33">
        <f>(AC81-AC77)/AC77</f>
        <v/>
      </c>
      <c r="AF81" s="33">
        <f>(AC81-AD81)/AD81</f>
        <v/>
      </c>
      <c r="AG81" s="537" t="n"/>
      <c r="AH81" s="537" t="n"/>
      <c r="AI81" s="33">
        <f>(AG81-AG77)/AG77</f>
        <v/>
      </c>
      <c r="AJ81" s="33">
        <f>(AG81-AH81)/AH81</f>
        <v/>
      </c>
      <c r="AK81" s="537" t="n"/>
      <c r="AL81" s="537" t="n"/>
      <c r="AM81" s="150">
        <f>(AK81-AK77)/AK77</f>
        <v/>
      </c>
      <c r="AN81" s="431">
        <f>(AK81-AL81)/AL81</f>
        <v/>
      </c>
      <c r="AO81" s="282" t="n"/>
      <c r="AP81" s="282" t="n"/>
      <c r="AQ81" s="33">
        <f>(AO81-AO77)/AO77</f>
        <v/>
      </c>
      <c r="AR81" s="33">
        <f>(AO81-AP81)/AP81</f>
        <v/>
      </c>
    </row>
    <row customFormat="1" customHeight="1" ht="15.75" r="82" s="108" spans="1:45">
      <c r="A82" s="272" t="s">
        <v>45</v>
      </c>
      <c r="B82" s="272" t="s">
        <v>101</v>
      </c>
      <c r="C82" s="273">
        <f>C78+7</f>
        <v/>
      </c>
      <c r="D82" s="274" t="s">
        <v>60</v>
      </c>
      <c r="E82" s="541">
        <f>SUM(E83:E85)</f>
        <v/>
      </c>
      <c r="F82" s="541">
        <f>SUM(F83:F85)</f>
        <v/>
      </c>
      <c r="G82" s="116">
        <f>(E82-E78)/E78</f>
        <v/>
      </c>
      <c r="H82" s="116">
        <f>(E82-F82)/F82</f>
        <v/>
      </c>
      <c r="I82" s="541">
        <f>SUM(I83:I85)</f>
        <v/>
      </c>
      <c r="J82" s="541">
        <f>SUM(J83:J85)</f>
        <v/>
      </c>
      <c r="K82" s="116">
        <f>(I82-I78)/I78</f>
        <v/>
      </c>
      <c r="L82" s="116">
        <f>(I82-J82)/J82</f>
        <v/>
      </c>
      <c r="M82" s="542">
        <f>E82/I82</f>
        <v/>
      </c>
      <c r="N82" s="542">
        <f>F82/J82</f>
        <v/>
      </c>
      <c r="O82" s="116">
        <f>(M82-M78)/M78</f>
        <v/>
      </c>
      <c r="P82" s="116">
        <f>(M82-N82)/N82</f>
        <v/>
      </c>
      <c r="Q82" s="543">
        <f>SUM(Q83:Q85)</f>
        <v/>
      </c>
      <c r="R82" s="543">
        <f>SUM(R83:R85)</f>
        <v/>
      </c>
      <c r="S82" s="116">
        <f>(Q82-Q78)/Q78</f>
        <v/>
      </c>
      <c r="T82" s="116">
        <f>(Q82-R82)/R82</f>
        <v/>
      </c>
      <c r="U82" s="543">
        <f>SUM(U83:U85)</f>
        <v/>
      </c>
      <c r="V82" s="543">
        <f>SUM(V83:V85)</f>
        <v/>
      </c>
      <c r="W82" s="116">
        <f>(U82-U78)/U78</f>
        <v/>
      </c>
      <c r="X82" s="116">
        <f>(U82-V82)/V82</f>
        <v/>
      </c>
      <c r="Y82" s="119">
        <f>U82/Q82</f>
        <v/>
      </c>
      <c r="Z82" s="119">
        <f>V82/R82</f>
        <v/>
      </c>
      <c r="AA82" s="116">
        <f>(Y82-Y78)/Y78</f>
        <v/>
      </c>
      <c r="AB82" s="116">
        <f>(Y82-Z82)/Z82</f>
        <v/>
      </c>
      <c r="AC82" s="544">
        <f>E82/U82</f>
        <v/>
      </c>
      <c r="AD82" s="545">
        <f>F82/V82</f>
        <v/>
      </c>
      <c r="AE82" s="116">
        <f>(AC82-AC78)/AC78</f>
        <v/>
      </c>
      <c r="AF82" s="116">
        <f>(AC82-AD82)/AD82</f>
        <v/>
      </c>
      <c r="AG82" s="543">
        <f>SUM(AG83:AG85)</f>
        <v/>
      </c>
      <c r="AH82" s="543">
        <f>SUM(AH83:AH85)</f>
        <v/>
      </c>
      <c r="AI82" s="116">
        <f>(AG82-AG78)/AG78</f>
        <v/>
      </c>
      <c r="AJ82" s="116">
        <f>(AG82-AH82)/AH82</f>
        <v/>
      </c>
      <c r="AK82" s="543">
        <f>SUM(AK83:AK85)</f>
        <v/>
      </c>
      <c r="AL82" s="543">
        <f>SUM(AL83:AL85)</f>
        <v/>
      </c>
      <c r="AM82" s="276">
        <f>(AK82-AK78)/AK78</f>
        <v/>
      </c>
      <c r="AN82" s="277">
        <f>(AK82-AL82)/AL82</f>
        <v/>
      </c>
      <c r="AO82" s="116">
        <f>AG82/AK82</f>
        <v/>
      </c>
      <c r="AP82" s="116">
        <f>AH82/AL82</f>
        <v/>
      </c>
      <c r="AQ82" s="116">
        <f>(AO82-AO78)/AO78</f>
        <v/>
      </c>
      <c r="AR82" s="116">
        <f>(AO82-AP82)/AP82</f>
        <v/>
      </c>
      <c r="AS82" s="108" t="s">
        <v>70</v>
      </c>
    </row>
    <row customHeight="1" ht="15.75" r="83" s="452" spans="1:45">
      <c r="A83" s="260" t="s">
        <v>45</v>
      </c>
      <c r="B83" s="260" t="s">
        <v>101</v>
      </c>
      <c r="C83" s="261">
        <f>C79+7</f>
        <v/>
      </c>
      <c r="D83" s="260" t="s">
        <v>35</v>
      </c>
      <c r="E83" s="535" t="n">
        <v>6236</v>
      </c>
      <c r="F83" s="535" t="n">
        <v>6289</v>
      </c>
      <c r="G83" s="33">
        <f>(E83-E79)/E79</f>
        <v/>
      </c>
      <c r="H83" s="33">
        <f>(E83-F83)/F83</f>
        <v/>
      </c>
      <c r="I83" s="535">
        <f>449.75+60.38</f>
        <v/>
      </c>
      <c r="J83" s="536">
        <f>487.82+4.61</f>
        <v/>
      </c>
      <c r="K83" s="33">
        <f>(I83-I79)/I79</f>
        <v/>
      </c>
      <c r="L83" s="33">
        <f>(I83-J83)/J83</f>
        <v/>
      </c>
      <c r="M83" s="536">
        <f>E83/I83</f>
        <v/>
      </c>
      <c r="N83" s="536">
        <f>F83/J83</f>
        <v/>
      </c>
      <c r="O83" s="33">
        <f>(M83-M79)/M79</f>
        <v/>
      </c>
      <c r="P83" s="33">
        <f>(M83-N83)/N83</f>
        <v/>
      </c>
      <c r="Q83" s="537" t="n">
        <v>3734</v>
      </c>
      <c r="R83" s="537" t="n">
        <v>2608</v>
      </c>
      <c r="S83" s="33">
        <f>(Q83-Q79)/Q79</f>
        <v/>
      </c>
      <c r="T83" s="33">
        <f>(Q83-R83)/R83</f>
        <v/>
      </c>
      <c r="U83" s="537" t="n">
        <v>63</v>
      </c>
      <c r="V83" s="537" t="n">
        <v>48</v>
      </c>
      <c r="W83" s="33">
        <f>(U83-U79)/U79</f>
        <v/>
      </c>
      <c r="X83" s="33">
        <f>(U83-V83)/V83</f>
        <v/>
      </c>
      <c r="Y83" s="113">
        <f>U83/Q83</f>
        <v/>
      </c>
      <c r="Z83" s="113">
        <f>V83/R83</f>
        <v/>
      </c>
      <c r="AA83" s="33">
        <f>(Y83-Y79)/Y79</f>
        <v/>
      </c>
      <c r="AB83" s="33">
        <f>(Y83-Z83)/Z83</f>
        <v/>
      </c>
      <c r="AC83" s="529">
        <f>E83/U83</f>
        <v/>
      </c>
      <c r="AD83" s="534">
        <f>F83/V83</f>
        <v/>
      </c>
      <c r="AE83" s="33">
        <f>(AC83-AC79)/AC79</f>
        <v/>
      </c>
      <c r="AF83" s="33">
        <f>(AC83-AD83)/AD83</f>
        <v/>
      </c>
      <c r="AG83" s="537">
        <f>3258+146</f>
        <v/>
      </c>
      <c r="AH83" s="537">
        <f>2032+37</f>
        <v/>
      </c>
      <c r="AI83" s="33">
        <f>(AG83-AG79)/AG79</f>
        <v/>
      </c>
      <c r="AJ83" s="33">
        <f>(AG83-AH83)/AH83</f>
        <v/>
      </c>
      <c r="AK83" s="537">
        <f>9869+403</f>
        <v/>
      </c>
      <c r="AL83" s="537">
        <f>5465+97</f>
        <v/>
      </c>
      <c r="AM83" s="150">
        <f>(AK83-AK79)/AK79</f>
        <v/>
      </c>
      <c r="AN83" s="431">
        <f>(AK83-AL83)/AL83</f>
        <v/>
      </c>
      <c r="AO83" s="282">
        <f>AG83/AK83</f>
        <v/>
      </c>
      <c r="AP83" s="282">
        <f>AH83/AL83</f>
        <v/>
      </c>
      <c r="AQ83" s="33">
        <f>(AO83-AO79)/AO79</f>
        <v/>
      </c>
      <c r="AR83" s="33">
        <f>(AO83-AP83)/AP83</f>
        <v/>
      </c>
    </row>
    <row customHeight="1" ht="15.75" r="84" s="452" spans="1:45">
      <c r="A84" s="260" t="s">
        <v>45</v>
      </c>
      <c r="B84" s="260" t="s">
        <v>101</v>
      </c>
      <c r="C84" s="261">
        <f>C80+7</f>
        <v/>
      </c>
      <c r="D84" s="260" t="s">
        <v>36</v>
      </c>
      <c r="E84" s="535" t="n">
        <v>424</v>
      </c>
      <c r="F84" s="535" t="n">
        <v>1007</v>
      </c>
      <c r="G84" s="33">
        <f>(E84-E80)/E80</f>
        <v/>
      </c>
      <c r="H84" s="33">
        <f>(E84-F84)/F84</f>
        <v/>
      </c>
      <c r="I84" s="535" t="n">
        <v>1171.79</v>
      </c>
      <c r="J84" s="536">
        <f>1462.43+0</f>
        <v/>
      </c>
      <c r="K84" s="33">
        <f>(I84-I80)/I80</f>
        <v/>
      </c>
      <c r="L84" s="33">
        <f>(I84-J84)/J84</f>
        <v/>
      </c>
      <c r="M84" s="536">
        <f>E84/I84</f>
        <v/>
      </c>
      <c r="N84" s="536">
        <f>F84/J84</f>
        <v/>
      </c>
      <c r="O84" s="33">
        <f>(M84-M80)/M80</f>
        <v/>
      </c>
      <c r="P84" s="33">
        <f>(M84-N84)/N84</f>
        <v/>
      </c>
      <c r="Q84" s="537" t="n">
        <v>1117</v>
      </c>
      <c r="R84" s="537" t="n">
        <v>1549</v>
      </c>
      <c r="S84" s="33">
        <f>(Q84-Q80)/Q80</f>
        <v/>
      </c>
      <c r="T84" s="33">
        <f>(Q84-R84)/R84</f>
        <v/>
      </c>
      <c r="U84" s="537" t="n">
        <v>4</v>
      </c>
      <c r="V84" s="537" t="n">
        <v>7</v>
      </c>
      <c r="W84" s="33">
        <f>(U84-U80)/U80</f>
        <v/>
      </c>
      <c r="X84" s="33">
        <f>(U84-V84)/V84</f>
        <v/>
      </c>
      <c r="Y84" s="113">
        <f>U84/Q84</f>
        <v/>
      </c>
      <c r="Z84" s="113">
        <f>V84/R84</f>
        <v/>
      </c>
      <c r="AA84" s="33">
        <f>(Y84-Y80)/Y80</f>
        <v/>
      </c>
      <c r="AB84" s="33">
        <f>(Y84-Z84)/Z84</f>
        <v/>
      </c>
      <c r="AC84" s="529">
        <f>E84/U84</f>
        <v/>
      </c>
      <c r="AD84" s="534">
        <f>F84/V84</f>
        <v/>
      </c>
      <c r="AE84" s="33">
        <f>(AC84-AC80)/AC80</f>
        <v/>
      </c>
      <c r="AF84" s="33">
        <f>(AC84-AD84)/AD84</f>
        <v/>
      </c>
      <c r="AG84" s="537" t="n">
        <v>867</v>
      </c>
      <c r="AH84" s="537" t="n">
        <v>1319</v>
      </c>
      <c r="AI84" s="33">
        <f>(AG84-AG80)/AG80</f>
        <v/>
      </c>
      <c r="AJ84" s="33">
        <f>(AG84-AH84)/AH84</f>
        <v/>
      </c>
      <c r="AK84" s="537" t="n">
        <v>14156</v>
      </c>
      <c r="AL84" s="537" t="n">
        <v>19511</v>
      </c>
      <c r="AM84" s="150">
        <f>(AK84-AK80)/AK80</f>
        <v/>
      </c>
      <c r="AN84" s="431">
        <f>(AK84-AL84)/AL84</f>
        <v/>
      </c>
      <c r="AO84" s="282">
        <f>AG84/AK84</f>
        <v/>
      </c>
      <c r="AP84" s="282">
        <f>AH84/AL84</f>
        <v/>
      </c>
      <c r="AQ84" s="33">
        <f>(AO84-AO80)/AO80</f>
        <v/>
      </c>
      <c r="AR84" s="33">
        <f>(AO84-AP84)/AP84</f>
        <v/>
      </c>
    </row>
    <row customHeight="1" ht="15.75" r="85" s="452" spans="1:45">
      <c r="A85" s="260" t="s">
        <v>45</v>
      </c>
      <c r="B85" s="260" t="s">
        <v>101</v>
      </c>
      <c r="C85" s="261">
        <f>C81+7</f>
        <v/>
      </c>
      <c r="D85" s="260" t="s">
        <v>37</v>
      </c>
      <c r="E85" s="535" t="n">
        <v>0</v>
      </c>
      <c r="F85" s="535" t="n"/>
      <c r="G85" s="33">
        <f>(E85-E81)/E81</f>
        <v/>
      </c>
      <c r="H85" s="33">
        <f>(E85-F85)/F85</f>
        <v/>
      </c>
      <c r="I85" s="535" t="n">
        <v>294</v>
      </c>
      <c r="J85" s="536" t="n"/>
      <c r="K85" s="33">
        <f>(I85-I81)/I81</f>
        <v/>
      </c>
      <c r="L85" s="33">
        <f>(I85-J85)/J85</f>
        <v/>
      </c>
      <c r="M85" s="536">
        <f>E85/I85</f>
        <v/>
      </c>
      <c r="N85" s="536" t="n"/>
      <c r="O85" s="33">
        <f>(M85-M81)/M81</f>
        <v/>
      </c>
      <c r="P85" s="33">
        <f>(M85-N85)/N85</f>
        <v/>
      </c>
      <c r="Q85" s="537" t="n">
        <v>331</v>
      </c>
      <c r="R85" s="537" t="n"/>
      <c r="S85" s="33">
        <f>(Q85-Q81)/Q81</f>
        <v/>
      </c>
      <c r="T85" s="33">
        <f>(Q85-R85)/R85</f>
        <v/>
      </c>
      <c r="U85" s="537" t="n">
        <v>0</v>
      </c>
      <c r="V85" s="537" t="n"/>
      <c r="W85" s="33">
        <f>(U85-U81)/U81</f>
        <v/>
      </c>
      <c r="X85" s="33">
        <f>(U85-V85)/V85</f>
        <v/>
      </c>
      <c r="Y85" s="113">
        <f>U85/Q85</f>
        <v/>
      </c>
      <c r="Z85" s="113" t="n"/>
      <c r="AA85" s="33">
        <f>(Y85-Y81)/Y81</f>
        <v/>
      </c>
      <c r="AB85" s="33">
        <f>(Y85-Z85)/Z85</f>
        <v/>
      </c>
      <c r="AC85" s="529">
        <f>E85/U85</f>
        <v/>
      </c>
      <c r="AD85" s="534" t="n"/>
      <c r="AE85" s="33">
        <f>(AC85-AC81)/AC81</f>
        <v/>
      </c>
      <c r="AF85" s="33">
        <f>(AC85-AD85)/AD85</f>
        <v/>
      </c>
      <c r="AG85" s="537" t="n">
        <v>451</v>
      </c>
      <c r="AH85" s="537" t="n"/>
      <c r="AI85" s="33">
        <f>(AG85-AG81)/AG81</f>
        <v/>
      </c>
      <c r="AJ85" s="33">
        <f>(AG85-AH85)/AH85</f>
        <v/>
      </c>
      <c r="AK85" s="537" t="n">
        <v>34310</v>
      </c>
      <c r="AL85" s="537" t="n"/>
      <c r="AM85" s="150">
        <f>(AK85-AK81)/AK81</f>
        <v/>
      </c>
      <c r="AN85" s="431">
        <f>(AK85-AL85)/AL85</f>
        <v/>
      </c>
      <c r="AO85" s="282">
        <f>AG85/AK85</f>
        <v/>
      </c>
      <c r="AP85" s="282" t="n"/>
      <c r="AQ85" s="33">
        <f>(AO85-AO81)/AO81</f>
        <v/>
      </c>
      <c r="AR85" s="33">
        <f>(AO85-AP85)/AP85</f>
        <v/>
      </c>
    </row>
    <row customHeight="1" ht="15.75" r="86" s="452" spans="1:45">
      <c r="A86" s="29" t="s">
        <v>45</v>
      </c>
      <c r="B86" s="29" t="s">
        <v>102</v>
      </c>
      <c r="C86" s="30">
        <f>C82+7</f>
        <v/>
      </c>
      <c r="D86" s="31" t="s">
        <v>60</v>
      </c>
      <c r="E86" s="531">
        <f>SUM(E87:E89)</f>
        <v/>
      </c>
      <c r="F86" s="531">
        <f>SUM(F87:F89)</f>
        <v/>
      </c>
      <c r="G86" s="33">
        <f>(E86-E82)/E82</f>
        <v/>
      </c>
      <c r="H86" s="33">
        <f>(E86-F86)/F86</f>
        <v/>
      </c>
      <c r="I86" s="531">
        <f>SUM(I87:I89)</f>
        <v/>
      </c>
      <c r="J86" s="531">
        <f>SUM(J87:J89)</f>
        <v/>
      </c>
      <c r="K86" s="33">
        <f>(I86-I82)/I82</f>
        <v/>
      </c>
      <c r="L86" s="33">
        <f>(I86-J86)/J86</f>
        <v/>
      </c>
      <c r="M86" s="532">
        <f>E86/I86</f>
        <v/>
      </c>
      <c r="N86" s="532">
        <f>F86/J86</f>
        <v/>
      </c>
      <c r="O86" s="33">
        <f>(M86-M82)/M82</f>
        <v/>
      </c>
      <c r="P86" s="33">
        <f>(M86-N86)/N86</f>
        <v/>
      </c>
      <c r="Q86" s="533">
        <f>SUM(Q87:Q89)</f>
        <v/>
      </c>
      <c r="R86" s="533">
        <f>SUM(R87:R89)</f>
        <v/>
      </c>
      <c r="S86" s="33">
        <f>(Q86-Q82)/Q82</f>
        <v/>
      </c>
      <c r="T86" s="33">
        <f>(Q86-R86)/R86</f>
        <v/>
      </c>
      <c r="U86" s="533">
        <f>SUM(U87:U89)</f>
        <v/>
      </c>
      <c r="V86" s="533">
        <f>SUM(V87:V89)</f>
        <v/>
      </c>
      <c r="W86" s="33">
        <f>(U86-U82)/U82</f>
        <v/>
      </c>
      <c r="X86" s="33">
        <f>(U86-V86)/V86</f>
        <v/>
      </c>
      <c r="Y86" s="88">
        <f>U86/Q86</f>
        <v/>
      </c>
      <c r="Z86" s="88">
        <f>V86/R86</f>
        <v/>
      </c>
      <c r="AA86" s="33">
        <f>(Y86-Y82)/Y82</f>
        <v/>
      </c>
      <c r="AB86" s="33">
        <f>(Y86-Z86)/Z86</f>
        <v/>
      </c>
      <c r="AC86" s="540">
        <f>E86/U86</f>
        <v/>
      </c>
      <c r="AD86" s="534">
        <f>F86/V86</f>
        <v/>
      </c>
      <c r="AE86" s="33">
        <f>(AC86-AC82)/AC82</f>
        <v/>
      </c>
      <c r="AF86" s="33">
        <f>(AC86-AD86)/AD86</f>
        <v/>
      </c>
      <c r="AG86" s="533">
        <f>SUM(AG87:AG89)</f>
        <v/>
      </c>
      <c r="AH86" s="533">
        <f>SUM(AH87:AH89)</f>
        <v/>
      </c>
      <c r="AI86" s="33">
        <f>(AG86-AG82)/AG82</f>
        <v/>
      </c>
      <c r="AJ86" s="33">
        <f>(AG86-AH86)/AH86</f>
        <v/>
      </c>
      <c r="AK86" s="533">
        <f>SUM(AK87:AK89)</f>
        <v/>
      </c>
      <c r="AL86" s="533">
        <f>SUM(AL87:AL89)</f>
        <v/>
      </c>
      <c r="AM86" s="150">
        <f>(AK86-AK82)/AK82</f>
        <v/>
      </c>
      <c r="AN86" s="431">
        <f>(AK86-AL86)/AL86</f>
        <v/>
      </c>
      <c r="AO86" s="33">
        <f>AG86/AK86</f>
        <v/>
      </c>
      <c r="AP86" s="33">
        <f>AH86/AL86</f>
        <v/>
      </c>
      <c r="AQ86" s="33">
        <f>(AO86-AO82)/AO82</f>
        <v/>
      </c>
      <c r="AR86" s="33">
        <f>(AO86-AP86)/AP86</f>
        <v/>
      </c>
      <c r="AS86" t="s">
        <v>72</v>
      </c>
    </row>
    <row customHeight="1" ht="15.75" r="87" s="452" spans="1:45">
      <c r="A87" s="260" t="s">
        <v>45</v>
      </c>
      <c r="B87" s="260" t="s">
        <v>102</v>
      </c>
      <c r="C87" s="261">
        <f>C83+7</f>
        <v/>
      </c>
      <c r="D87" s="260" t="s">
        <v>35</v>
      </c>
      <c r="E87" s="535" t="n">
        <v>5761</v>
      </c>
      <c r="F87" s="535" t="n">
        <v>4710</v>
      </c>
      <c r="G87" s="33">
        <f>(E87-E83)/E83</f>
        <v/>
      </c>
      <c r="H87" s="33">
        <f>(E87-F87)/F87</f>
        <v/>
      </c>
      <c r="I87" s="535">
        <f>631.97+76.54</f>
        <v/>
      </c>
      <c r="J87" s="536">
        <f>397.22+26.91</f>
        <v/>
      </c>
      <c r="K87" s="33">
        <f>(I87-I83)/I83</f>
        <v/>
      </c>
      <c r="L87" s="33">
        <f>(I87-J87)/J87</f>
        <v/>
      </c>
      <c r="M87" s="536">
        <f>E87/I87</f>
        <v/>
      </c>
      <c r="N87" s="536">
        <f>F87/J87</f>
        <v/>
      </c>
      <c r="O87" s="33">
        <f>(M87-M83)/M83</f>
        <v/>
      </c>
      <c r="P87" s="33">
        <f>(M87-N87)/N87</f>
        <v/>
      </c>
      <c r="Q87" s="537" t="n">
        <v>3791</v>
      </c>
      <c r="R87" s="537" t="n">
        <v>2519</v>
      </c>
      <c r="S87" s="33">
        <f>(Q87-Q83)/Q83</f>
        <v/>
      </c>
      <c r="T87" s="33">
        <f>(Q87-R87)/R87</f>
        <v/>
      </c>
      <c r="U87" s="537" t="n">
        <v>61</v>
      </c>
      <c r="V87" s="537" t="n">
        <v>33</v>
      </c>
      <c r="W87" s="33">
        <f>(U87-U83)/U83</f>
        <v/>
      </c>
      <c r="X87" s="33">
        <f>(U87-V87)/V87</f>
        <v/>
      </c>
      <c r="Y87" s="113">
        <f>U87/Q87</f>
        <v/>
      </c>
      <c r="Z87" s="113">
        <f>V87/R87</f>
        <v/>
      </c>
      <c r="AA87" s="33">
        <f>(Y87-Y83)/Y83</f>
        <v/>
      </c>
      <c r="AB87" s="33">
        <f>(Y87-Z87)/Z87</f>
        <v/>
      </c>
      <c r="AC87" s="529">
        <f>E87/U87</f>
        <v/>
      </c>
      <c r="AD87" s="534">
        <f>F87/V87</f>
        <v/>
      </c>
      <c r="AE87" s="33">
        <f>(AC87-AC83)/AC83</f>
        <v/>
      </c>
      <c r="AF87" s="33">
        <f>(AC87-AD87)/AD87</f>
        <v/>
      </c>
      <c r="AG87" s="537">
        <f>3297+168</f>
        <v/>
      </c>
      <c r="AH87" s="537">
        <f>1843+102</f>
        <v/>
      </c>
      <c r="AI87" s="33">
        <f>(AG87-AG83)/AG83</f>
        <v/>
      </c>
      <c r="AJ87" s="33">
        <f>(AG87-AH87)/AH87</f>
        <v/>
      </c>
      <c r="AK87" s="537">
        <f>10864+439</f>
        <v/>
      </c>
      <c r="AL87" s="537">
        <f>5239+266</f>
        <v/>
      </c>
      <c r="AM87" s="150">
        <f>(AK87-AK83)/AK83</f>
        <v/>
      </c>
      <c r="AN87" s="431">
        <f>(AK87-AL87)/AL87</f>
        <v/>
      </c>
      <c r="AO87" s="282">
        <f>AG87/AK87</f>
        <v/>
      </c>
      <c r="AP87" s="282">
        <f>AH87/AL87</f>
        <v/>
      </c>
      <c r="AQ87" s="33">
        <f>(AO87-AO83)/AO83</f>
        <v/>
      </c>
      <c r="AR87" s="33">
        <f>(AO87-AP87)/AP87</f>
        <v/>
      </c>
    </row>
    <row customHeight="1" ht="15.75" r="88" s="452" spans="1:45">
      <c r="A88" s="260" t="s">
        <v>45</v>
      </c>
      <c r="B88" s="260" t="s">
        <v>102</v>
      </c>
      <c r="C88" s="261">
        <f>C84+7</f>
        <v/>
      </c>
      <c r="D88" s="260" t="s">
        <v>36</v>
      </c>
      <c r="E88" s="535" t="n">
        <v>172</v>
      </c>
      <c r="F88" s="535" t="n">
        <v>343</v>
      </c>
      <c r="G88" s="33">
        <f>(E88-E84)/E84</f>
        <v/>
      </c>
      <c r="H88" s="33">
        <f>(E88-F88)/F88</f>
        <v/>
      </c>
      <c r="I88" s="535" t="n">
        <v>1101.79</v>
      </c>
      <c r="J88" s="536">
        <f>1320.33+0</f>
        <v/>
      </c>
      <c r="K88" s="33">
        <f>(I88-I84)/I84</f>
        <v/>
      </c>
      <c r="L88" s="33">
        <f>(I88-J88)/J88</f>
        <v/>
      </c>
      <c r="M88" s="536">
        <f>E88/I88</f>
        <v/>
      </c>
      <c r="N88" s="536">
        <f>F88/J88</f>
        <v/>
      </c>
      <c r="O88" s="33">
        <f>(M88-M84)/M84</f>
        <v/>
      </c>
      <c r="P88" s="33">
        <f>(M88-N88)/N88</f>
        <v/>
      </c>
      <c r="Q88" s="537" t="n">
        <v>1820</v>
      </c>
      <c r="R88" s="537" t="n">
        <v>1467</v>
      </c>
      <c r="S88" s="33">
        <f>(Q88-Q84)/Q84</f>
        <v/>
      </c>
      <c r="T88" s="33">
        <f>(Q88-R88)/R88</f>
        <v/>
      </c>
      <c r="U88" s="537" t="n">
        <v>3</v>
      </c>
      <c r="V88" s="537" t="n">
        <v>3</v>
      </c>
      <c r="W88" s="33">
        <f>(U88-U84)/U84</f>
        <v/>
      </c>
      <c r="X88" s="33">
        <f>(U88-V88)/V88</f>
        <v/>
      </c>
      <c r="Y88" s="113">
        <f>U88/Q88</f>
        <v/>
      </c>
      <c r="Z88" s="113">
        <f>V88/R88</f>
        <v/>
      </c>
      <c r="AA88" s="33">
        <f>(Y88-Y84)/Y84</f>
        <v/>
      </c>
      <c r="AB88" s="33">
        <f>(Y88-Z88)/Z88</f>
        <v/>
      </c>
      <c r="AC88" s="529">
        <f>E88/U88</f>
        <v/>
      </c>
      <c r="AD88" s="534">
        <f>F88/V88</f>
        <v/>
      </c>
      <c r="AE88" s="33">
        <f>(AC88-AC84)/AC84</f>
        <v/>
      </c>
      <c r="AF88" s="33">
        <f>(AC88-AD88)/AD88</f>
        <v/>
      </c>
      <c r="AG88" s="537" t="n">
        <v>824</v>
      </c>
      <c r="AH88" s="537" t="n">
        <v>1222</v>
      </c>
      <c r="AI88" s="33">
        <f>(AG88-AG84)/AG84</f>
        <v/>
      </c>
      <c r="AJ88" s="33">
        <f>(AG88-AH88)/AH88</f>
        <v/>
      </c>
      <c r="AK88" s="537" t="n">
        <v>14967</v>
      </c>
      <c r="AL88" s="537" t="n">
        <v>18786</v>
      </c>
      <c r="AM88" s="150">
        <f>(AK88-AK84)/AK84</f>
        <v/>
      </c>
      <c r="AN88" s="431">
        <f>(AK88-AL88)/AL88</f>
        <v/>
      </c>
      <c r="AO88" s="282">
        <f>AG88/AK88</f>
        <v/>
      </c>
      <c r="AP88" s="282">
        <f>AH88/AL88</f>
        <v/>
      </c>
      <c r="AQ88" s="33">
        <f>(AO88-AO84)/AO84</f>
        <v/>
      </c>
      <c r="AR88" s="33">
        <f>(AO88-AP88)/AP88</f>
        <v/>
      </c>
    </row>
    <row customHeight="1" ht="15.75" r="89" s="452" spans="1:45">
      <c r="A89" s="260" t="s">
        <v>45</v>
      </c>
      <c r="B89" s="260" t="s">
        <v>102</v>
      </c>
      <c r="C89" s="261">
        <f>C85+7</f>
        <v/>
      </c>
      <c r="D89" s="260" t="s">
        <v>37</v>
      </c>
      <c r="E89" s="535" t="n">
        <v>400</v>
      </c>
      <c r="F89" s="535" t="n"/>
      <c r="G89" s="33">
        <f>(E89-E85)/E85</f>
        <v/>
      </c>
      <c r="H89" s="33">
        <f>(E89-F89)/F89</f>
        <v/>
      </c>
      <c r="I89" s="535" t="n">
        <v>767</v>
      </c>
      <c r="J89" s="536" t="n"/>
      <c r="K89" s="33">
        <f>(I89-I85)/I85</f>
        <v/>
      </c>
      <c r="L89" s="33">
        <f>(I89-J89)/J89</f>
        <v/>
      </c>
      <c r="M89" s="536">
        <f>E89/I89</f>
        <v/>
      </c>
      <c r="N89" s="536" t="n"/>
      <c r="O89" s="33">
        <f>(M89-M85)/M85</f>
        <v/>
      </c>
      <c r="P89" s="33">
        <f>(M89-N89)/N89</f>
        <v/>
      </c>
      <c r="Q89" s="537" t="n">
        <v>986</v>
      </c>
      <c r="R89" s="537" t="n"/>
      <c r="S89" s="33">
        <f>(Q89-Q85)/Q85</f>
        <v/>
      </c>
      <c r="T89" s="33">
        <f>(Q89-R89)/R89</f>
        <v/>
      </c>
      <c r="U89" s="537" t="n">
        <v>6</v>
      </c>
      <c r="V89" s="537" t="n"/>
      <c r="W89" s="33">
        <f>(U89-U85)/U85</f>
        <v/>
      </c>
      <c r="X89" s="33">
        <f>(U89-V89)/V89</f>
        <v/>
      </c>
      <c r="Y89" s="113">
        <f>U89/Q89</f>
        <v/>
      </c>
      <c r="Z89" s="113" t="n"/>
      <c r="AA89" s="33">
        <f>(Y89-Y85)/Y85</f>
        <v/>
      </c>
      <c r="AB89" s="33">
        <f>(Y89-Z89)/Z89</f>
        <v/>
      </c>
      <c r="AC89" s="529">
        <f>E89/U89</f>
        <v/>
      </c>
      <c r="AD89" s="534" t="n"/>
      <c r="AE89" s="33">
        <f>(AC89-AC85)/AC85</f>
        <v/>
      </c>
      <c r="AF89" s="33">
        <f>(AC89-AD89)/AD89</f>
        <v/>
      </c>
      <c r="AG89" s="537" t="n">
        <v>1319</v>
      </c>
      <c r="AH89" s="537" t="n"/>
      <c r="AI89" s="33">
        <f>(AG89-AG85)/AG85</f>
        <v/>
      </c>
      <c r="AJ89" s="33">
        <f>(AG89-AH89)/AH89</f>
        <v/>
      </c>
      <c r="AK89" s="537" t="n">
        <v>98297</v>
      </c>
      <c r="AL89" s="537" t="n"/>
      <c r="AM89" s="150">
        <f>(AK89-AK85)/AK85</f>
        <v/>
      </c>
      <c r="AN89" s="431">
        <f>(AK89-AL89)/AL89</f>
        <v/>
      </c>
      <c r="AO89" s="282">
        <f>AG89/AK89</f>
        <v/>
      </c>
      <c r="AP89" s="282" t="n"/>
      <c r="AQ89" s="33">
        <f>(AO89-AO85)/AO85</f>
        <v/>
      </c>
      <c r="AR89" s="33">
        <f>(AO89-AP89)/AP89</f>
        <v/>
      </c>
    </row>
    <row customHeight="1" ht="15.75" r="90" s="452" spans="1:45">
      <c r="A90" s="29" t="s">
        <v>45</v>
      </c>
      <c r="B90" s="29" t="s">
        <v>103</v>
      </c>
      <c r="C90" s="30">
        <f>C86+7</f>
        <v/>
      </c>
      <c r="D90" s="31" t="s">
        <v>60</v>
      </c>
      <c r="E90" s="531">
        <f>SUM(E91:E93)</f>
        <v/>
      </c>
      <c r="F90" s="531">
        <f>SUM(F91:F93)</f>
        <v/>
      </c>
      <c r="G90" s="33">
        <f>(E90-E86)/E86</f>
        <v/>
      </c>
      <c r="H90" s="33">
        <f>(E90-F90)/F90</f>
        <v/>
      </c>
      <c r="I90" s="531">
        <f>SUM(I91:I93)</f>
        <v/>
      </c>
      <c r="J90" s="531">
        <f>SUM(J91:J93)</f>
        <v/>
      </c>
      <c r="K90" s="33">
        <f>(I90-I86)/I86</f>
        <v/>
      </c>
      <c r="L90" s="33">
        <f>(I90-J90)/J90</f>
        <v/>
      </c>
      <c r="M90" s="532">
        <f>E90/I90</f>
        <v/>
      </c>
      <c r="N90" s="532">
        <f>F90/J90</f>
        <v/>
      </c>
      <c r="O90" s="33">
        <f>(M90-M86)/M86</f>
        <v/>
      </c>
      <c r="P90" s="33">
        <f>(M90-N90)/N90</f>
        <v/>
      </c>
      <c r="Q90" s="533">
        <f>SUM(Q91:Q93)</f>
        <v/>
      </c>
      <c r="R90" s="533">
        <f>SUM(R91:R93)</f>
        <v/>
      </c>
      <c r="S90" s="33">
        <f>(Q90-Q86)/Q86</f>
        <v/>
      </c>
      <c r="T90" s="33">
        <f>(Q90-R90)/R90</f>
        <v/>
      </c>
      <c r="U90" s="533">
        <f>SUM(U91:U93)</f>
        <v/>
      </c>
      <c r="V90" s="533">
        <f>SUM(V91:V93)</f>
        <v/>
      </c>
      <c r="W90" s="33">
        <f>(U90-U86)/U86</f>
        <v/>
      </c>
      <c r="X90" s="33">
        <f>(U90-V90)/V90</f>
        <v/>
      </c>
      <c r="Y90" s="88">
        <f>U90/Q90</f>
        <v/>
      </c>
      <c r="Z90" s="88">
        <f>V90/R90</f>
        <v/>
      </c>
      <c r="AA90" s="33">
        <f>(Y90-Y86)/Y86</f>
        <v/>
      </c>
      <c r="AB90" s="33">
        <f>(Y90-Z90)/Z90</f>
        <v/>
      </c>
      <c r="AC90" s="540">
        <f>E90/U90</f>
        <v/>
      </c>
      <c r="AD90" s="534">
        <f>F90/V90</f>
        <v/>
      </c>
      <c r="AE90" s="33">
        <f>(AC90-AC86)/AC86</f>
        <v/>
      </c>
      <c r="AF90" s="33">
        <f>(AC90-AD90)/AD90</f>
        <v/>
      </c>
      <c r="AG90" s="533">
        <f>SUM(AG91:AG93)</f>
        <v/>
      </c>
      <c r="AH90" s="533">
        <f>SUM(AH91:AH93)</f>
        <v/>
      </c>
      <c r="AI90" s="33">
        <f>(AG90-AG86)/AG86</f>
        <v/>
      </c>
      <c r="AJ90" s="33">
        <f>(AG90-AH90)/AH90</f>
        <v/>
      </c>
      <c r="AK90" s="533">
        <f>SUM(AK91:AK93)</f>
        <v/>
      </c>
      <c r="AL90" s="533">
        <f>SUM(AL91:AL93)</f>
        <v/>
      </c>
      <c r="AM90" s="150">
        <f>(AK90-AK86)/AK86</f>
        <v/>
      </c>
      <c r="AN90" s="431">
        <f>(AK90-AL90)/AL90</f>
        <v/>
      </c>
      <c r="AO90" s="33">
        <f>AG90/AK90</f>
        <v/>
      </c>
      <c r="AP90" s="33">
        <f>AH90/AL90</f>
        <v/>
      </c>
      <c r="AQ90" s="33">
        <f>(AO90-AO86)/AO86</f>
        <v/>
      </c>
      <c r="AR90" s="33">
        <f>(AO90-AP90)/AP90</f>
        <v/>
      </c>
      <c r="AS90" t="s">
        <v>70</v>
      </c>
    </row>
    <row customHeight="1" ht="15.75" r="91" s="452" spans="1:45">
      <c r="A91" s="260" t="s">
        <v>45</v>
      </c>
      <c r="B91" s="260" t="s">
        <v>103</v>
      </c>
      <c r="C91" s="261">
        <f>C87+7</f>
        <v/>
      </c>
      <c r="D91" s="260" t="s">
        <v>35</v>
      </c>
      <c r="E91" s="535" t="n">
        <v>8115</v>
      </c>
      <c r="F91" s="535" t="n">
        <v>2645</v>
      </c>
      <c r="G91" s="33">
        <f>(E91-E87)/E87</f>
        <v/>
      </c>
      <c r="H91" s="33">
        <f>(E91-F91)/F91</f>
        <v/>
      </c>
      <c r="I91" s="535">
        <f>677.87+58.34</f>
        <v/>
      </c>
      <c r="J91" s="536">
        <f>495.65+17.13</f>
        <v/>
      </c>
      <c r="K91" s="33">
        <f>(I91-I87)/I87</f>
        <v/>
      </c>
      <c r="L91" s="33">
        <f>(I91-J91)/J91</f>
        <v/>
      </c>
      <c r="M91" s="536">
        <f>E91/I91</f>
        <v/>
      </c>
      <c r="N91" s="536">
        <f>F91/J91</f>
        <v/>
      </c>
      <c r="O91" s="33">
        <f>(M91-M87)/M87</f>
        <v/>
      </c>
      <c r="P91" s="33">
        <f>(M91-N91)/N91</f>
        <v/>
      </c>
      <c r="Q91" s="537" t="n">
        <v>4015</v>
      </c>
      <c r="R91" s="537" t="n">
        <v>2618</v>
      </c>
      <c r="S91" s="33">
        <f>(Q91-Q87)/Q87</f>
        <v/>
      </c>
      <c r="T91" s="33">
        <f>(Q91-R91)/R91</f>
        <v/>
      </c>
      <c r="U91" s="537" t="n">
        <v>80</v>
      </c>
      <c r="V91" s="537" t="n">
        <v>29</v>
      </c>
      <c r="W91" s="33">
        <f>(U91-U87)/U87</f>
        <v/>
      </c>
      <c r="X91" s="33">
        <f>(U91-V91)/V91</f>
        <v/>
      </c>
      <c r="Y91" s="113">
        <f>U91/Q91</f>
        <v/>
      </c>
      <c r="Z91" s="113">
        <f>V91/R91</f>
        <v/>
      </c>
      <c r="AA91" s="33">
        <f>(Y91-Y87)/Y87</f>
        <v/>
      </c>
      <c r="AB91" s="33">
        <f>(Y91-Z91)/Z91</f>
        <v/>
      </c>
      <c r="AC91" s="529">
        <f>E91/U91</f>
        <v/>
      </c>
      <c r="AD91" s="534">
        <f>F91/V91</f>
        <v/>
      </c>
      <c r="AE91" s="33">
        <f>(AC91-AC87)/AC87</f>
        <v/>
      </c>
      <c r="AF91" s="33">
        <f>(AC91-AD91)/AD91</f>
        <v/>
      </c>
      <c r="AG91" s="537">
        <f>3407+133</f>
        <v/>
      </c>
      <c r="AH91" s="537">
        <f>1934+93</f>
        <v/>
      </c>
      <c r="AI91" s="33">
        <f>(AG91-AG87)/AG87</f>
        <v/>
      </c>
      <c r="AJ91" s="33">
        <f>(AG91-AH91)/AH91</f>
        <v/>
      </c>
      <c r="AK91" s="537">
        <f>10925+391</f>
        <v/>
      </c>
      <c r="AL91" s="537">
        <f>5448+242</f>
        <v/>
      </c>
      <c r="AM91" s="150">
        <f>(AK91-AK87)/AK87</f>
        <v/>
      </c>
      <c r="AN91" s="431">
        <f>(AK91-AL91)/AL91</f>
        <v/>
      </c>
      <c r="AO91" s="282">
        <f>AG91/AK91</f>
        <v/>
      </c>
      <c r="AP91" s="282">
        <f>AH91/AL91</f>
        <v/>
      </c>
      <c r="AQ91" s="33">
        <f>(AO91-AO87)/AO87</f>
        <v/>
      </c>
      <c r="AR91" s="33">
        <f>(AO91-AP91)/AP91</f>
        <v/>
      </c>
    </row>
    <row customHeight="1" ht="15.75" r="92" s="452" spans="1:45">
      <c r="A92" s="260" t="s">
        <v>45</v>
      </c>
      <c r="B92" s="260" t="s">
        <v>103</v>
      </c>
      <c r="C92" s="261">
        <f>C88+7</f>
        <v/>
      </c>
      <c r="D92" s="260" t="s">
        <v>36</v>
      </c>
      <c r="E92" s="535" t="n">
        <v>425</v>
      </c>
      <c r="F92" s="535" t="n">
        <v>338</v>
      </c>
      <c r="G92" s="33">
        <f>(E92-E88)/E88</f>
        <v/>
      </c>
      <c r="H92" s="33">
        <f>(E92-F92)/F92</f>
        <v/>
      </c>
      <c r="I92" s="535" t="n">
        <v>1063.25</v>
      </c>
      <c r="J92" s="536">
        <f>1534.32+0</f>
        <v/>
      </c>
      <c r="K92" s="33">
        <f>(I92-I88)/I88</f>
        <v/>
      </c>
      <c r="L92" s="33">
        <f>(I92-J92)/J92</f>
        <v/>
      </c>
      <c r="M92" s="536">
        <f>E92/I92</f>
        <v/>
      </c>
      <c r="N92" s="536">
        <f>F92/J92</f>
        <v/>
      </c>
      <c r="O92" s="33">
        <f>(M92-M88)/M88</f>
        <v/>
      </c>
      <c r="P92" s="33">
        <f>(M92-N92)/N92</f>
        <v/>
      </c>
      <c r="Q92" s="537" t="n">
        <v>3231</v>
      </c>
      <c r="R92" s="537" t="n">
        <v>1729</v>
      </c>
      <c r="S92" s="33">
        <f>(Q92-Q88)/Q88</f>
        <v/>
      </c>
      <c r="T92" s="33">
        <f>(Q92-R92)/R92</f>
        <v/>
      </c>
      <c r="U92" s="537" t="n">
        <v>5</v>
      </c>
      <c r="V92" s="537" t="n">
        <v>6</v>
      </c>
      <c r="W92" s="33">
        <f>(U92-U88)/U88</f>
        <v/>
      </c>
      <c r="X92" s="33">
        <f>(U92-V92)/V92</f>
        <v/>
      </c>
      <c r="Y92" s="113">
        <f>U92/Q92</f>
        <v/>
      </c>
      <c r="Z92" s="113">
        <f>V92/R92</f>
        <v/>
      </c>
      <c r="AA92" s="33">
        <f>(Y92-Y88)/Y88</f>
        <v/>
      </c>
      <c r="AB92" s="33">
        <f>(Y92-Z92)/Z92</f>
        <v/>
      </c>
      <c r="AC92" s="529">
        <f>E92/U92</f>
        <v/>
      </c>
      <c r="AD92" s="534">
        <f>F92/V92</f>
        <v/>
      </c>
      <c r="AE92" s="33">
        <f>(AC92-AC88)/AC88</f>
        <v/>
      </c>
      <c r="AF92" s="33">
        <f>(AC92-AD92)/AD92</f>
        <v/>
      </c>
      <c r="AG92" s="537" t="n">
        <v>814</v>
      </c>
      <c r="AH92" s="537" t="n">
        <v>1484</v>
      </c>
      <c r="AI92" s="33">
        <f>(AG92-AG88)/AG88</f>
        <v/>
      </c>
      <c r="AJ92" s="33">
        <f>(AG92-AH92)/AH92</f>
        <v/>
      </c>
      <c r="AK92" s="537" t="n">
        <v>12483</v>
      </c>
      <c r="AL92" s="537" t="n">
        <v>20597</v>
      </c>
      <c r="AM92" s="150">
        <f>(AK92-AK88)/AK88</f>
        <v/>
      </c>
      <c r="AN92" s="431">
        <f>(AK92-AL92)/AL92</f>
        <v/>
      </c>
      <c r="AO92" s="282">
        <f>AG92/AK92</f>
        <v/>
      </c>
      <c r="AP92" s="282">
        <f>AH92/AL92</f>
        <v/>
      </c>
      <c r="AQ92" s="33">
        <f>(AO92-AO88)/AO88</f>
        <v/>
      </c>
      <c r="AR92" s="33">
        <f>(AO92-AP92)/AP92</f>
        <v/>
      </c>
    </row>
    <row customHeight="1" ht="15.75" r="93" s="452" spans="1:45">
      <c r="A93" s="260" t="s">
        <v>45</v>
      </c>
      <c r="B93" s="260" t="s">
        <v>103</v>
      </c>
      <c r="C93" s="261">
        <f>C89+7</f>
        <v/>
      </c>
      <c r="D93" s="260" t="s">
        <v>37</v>
      </c>
      <c r="E93" s="535" t="n">
        <v>465</v>
      </c>
      <c r="F93" s="535" t="n"/>
      <c r="G93" s="33">
        <f>(E93-E89)/E89</f>
        <v/>
      </c>
      <c r="H93" s="33">
        <f>(E93-F93)/F93</f>
        <v/>
      </c>
      <c r="I93" s="535" t="n">
        <v>2387</v>
      </c>
      <c r="J93" s="536" t="n"/>
      <c r="K93" s="33">
        <f>(I93-I89)/I89</f>
        <v/>
      </c>
      <c r="L93" s="33">
        <f>(I93-J93)/J93</f>
        <v/>
      </c>
      <c r="M93" s="536">
        <f>E93/I93</f>
        <v/>
      </c>
      <c r="N93" s="536" t="n"/>
      <c r="O93" s="33">
        <f>(M93-M89)/M89</f>
        <v/>
      </c>
      <c r="P93" s="33">
        <f>(M93-N93)/N93</f>
        <v/>
      </c>
      <c r="Q93" s="537" t="n">
        <v>2640</v>
      </c>
      <c r="R93" s="537" t="n"/>
      <c r="S93" s="33">
        <f>(Q93-Q89)/Q89</f>
        <v/>
      </c>
      <c r="T93" s="33">
        <f>(Q93-R93)/R93</f>
        <v/>
      </c>
      <c r="U93" s="537" t="n">
        <v>8</v>
      </c>
      <c r="V93" s="537" t="n"/>
      <c r="W93" s="33">
        <f>(U93-U89)/U89</f>
        <v/>
      </c>
      <c r="X93" s="33">
        <f>(U93-V93)/V93</f>
        <v/>
      </c>
      <c r="Y93" s="113">
        <f>U93/Q93</f>
        <v/>
      </c>
      <c r="Z93" s="113" t="n"/>
      <c r="AA93" s="33">
        <f>(Y93-Y89)/Y89</f>
        <v/>
      </c>
      <c r="AB93" s="33">
        <f>(Y93-Z93)/Z93</f>
        <v/>
      </c>
      <c r="AC93" s="529">
        <f>E93/U93</f>
        <v/>
      </c>
      <c r="AD93" s="534" t="n"/>
      <c r="AE93" s="33">
        <f>(AC93-AC89)/AC89</f>
        <v/>
      </c>
      <c r="AF93" s="33">
        <f>(AC93-AD93)/AD93</f>
        <v/>
      </c>
      <c r="AG93" s="537" t="n">
        <v>3591</v>
      </c>
      <c r="AH93" s="537" t="n"/>
      <c r="AI93" s="33">
        <f>(AG93-AG89)/AG89</f>
        <v/>
      </c>
      <c r="AJ93" s="33">
        <f>(AG93-AH93)/AH93</f>
        <v/>
      </c>
      <c r="AK93" s="537" t="n">
        <v>250403</v>
      </c>
      <c r="AL93" s="537" t="n"/>
      <c r="AM93" s="150">
        <f>(AK93-AK89)/AK89</f>
        <v/>
      </c>
      <c r="AN93" s="431">
        <f>(AK93-AL93)/AL93</f>
        <v/>
      </c>
      <c r="AO93" s="282">
        <f>AG93/AK93</f>
        <v/>
      </c>
      <c r="AP93" s="282" t="n"/>
      <c r="AQ93" s="33">
        <f>(AO93-AO89)/AO89</f>
        <v/>
      </c>
      <c r="AR93" s="33">
        <f>(AO93-AP93)/AP93</f>
        <v/>
      </c>
    </row>
    <row customHeight="1" ht="15.75" r="94" s="452" spans="1:45">
      <c r="A94" s="29" t="s">
        <v>45</v>
      </c>
      <c r="B94" s="29" t="s">
        <v>104</v>
      </c>
      <c r="C94" s="30">
        <f>C90+7</f>
        <v/>
      </c>
      <c r="D94" s="31" t="s">
        <v>60</v>
      </c>
      <c r="E94" s="531">
        <f>SUM(E95:E97)</f>
        <v/>
      </c>
      <c r="F94" s="531">
        <f>SUM(F95:F97)</f>
        <v/>
      </c>
      <c r="G94" s="33">
        <f>(E94-E90)/E90</f>
        <v/>
      </c>
      <c r="H94" s="33">
        <f>(E94-F94)/F94</f>
        <v/>
      </c>
      <c r="I94" s="531">
        <f>SUM(I95:I97)</f>
        <v/>
      </c>
      <c r="J94" s="531">
        <f>SUM(J95:J97)</f>
        <v/>
      </c>
      <c r="K94" s="33">
        <f>(I94-I90)/I90</f>
        <v/>
      </c>
      <c r="L94" s="33">
        <f>(I94-J94)/J94</f>
        <v/>
      </c>
      <c r="M94" s="532">
        <f>E94/I94</f>
        <v/>
      </c>
      <c r="N94" s="532">
        <f>F94/J94</f>
        <v/>
      </c>
      <c r="O94" s="33">
        <f>(M94-M90)/M90</f>
        <v/>
      </c>
      <c r="P94" s="33">
        <f>(M94-N94)/N94</f>
        <v/>
      </c>
      <c r="Q94" s="533">
        <f>SUM(Q95:Q97)</f>
        <v/>
      </c>
      <c r="R94" s="533">
        <f>SUM(R95:R97)</f>
        <v/>
      </c>
      <c r="S94" s="33">
        <f>(Q94-Q90)/Q90</f>
        <v/>
      </c>
      <c r="T94" s="33">
        <f>(Q94-R94)/R94</f>
        <v/>
      </c>
      <c r="U94" s="533">
        <f>SUM(U95:U97)</f>
        <v/>
      </c>
      <c r="V94" s="533">
        <f>SUM(V95:V97)</f>
        <v/>
      </c>
      <c r="W94" s="33">
        <f>(U94-U90)/U90</f>
        <v/>
      </c>
      <c r="X94" s="33">
        <f>(U94-V94)/V94</f>
        <v/>
      </c>
      <c r="Y94" s="88">
        <f>U94/Q94</f>
        <v/>
      </c>
      <c r="Z94" s="88">
        <f>V94/R94</f>
        <v/>
      </c>
      <c r="AA94" s="33">
        <f>(Y94-Y90)/Y90</f>
        <v/>
      </c>
      <c r="AB94" s="33">
        <f>(Y94-Z94)/Z94</f>
        <v/>
      </c>
      <c r="AC94" s="540">
        <f>E94/U94</f>
        <v/>
      </c>
      <c r="AD94" s="534">
        <f>F94/V94</f>
        <v/>
      </c>
      <c r="AE94" s="33">
        <f>(AC94-AC90)/AC90</f>
        <v/>
      </c>
      <c r="AF94" s="33">
        <f>(AC94-AD94)/AD94</f>
        <v/>
      </c>
      <c r="AG94" s="533">
        <f>SUM(AG95:AG97)</f>
        <v/>
      </c>
      <c r="AH94" s="533">
        <f>SUM(AH95:AH97)</f>
        <v/>
      </c>
      <c r="AI94" s="33">
        <f>(AG94-AG90)/AG90</f>
        <v/>
      </c>
      <c r="AJ94" s="33">
        <f>(AG94-AH94)/AH94</f>
        <v/>
      </c>
      <c r="AK94" s="533">
        <f>SUM(AK95:AK97)</f>
        <v/>
      </c>
      <c r="AL94" s="533">
        <f>SUM(AL95:AL97)</f>
        <v/>
      </c>
      <c r="AM94" s="150">
        <f>(AK94-AK90)/AK90</f>
        <v/>
      </c>
      <c r="AN94" s="431">
        <f>(AK94-AL94)/AL94</f>
        <v/>
      </c>
      <c r="AO94" s="33">
        <f>AG94/AK94</f>
        <v/>
      </c>
      <c r="AP94" s="33">
        <f>AH94/AL94</f>
        <v/>
      </c>
      <c r="AQ94" s="33">
        <f>(AO94-AO90)/AO90</f>
        <v/>
      </c>
      <c r="AR94" s="33">
        <f>(AO94-AP94)/AP94</f>
        <v/>
      </c>
      <c r="AS94" t="s">
        <v>105</v>
      </c>
    </row>
    <row customHeight="1" ht="15.75" r="95" s="452" spans="1:45">
      <c r="A95" s="260" t="s">
        <v>45</v>
      </c>
      <c r="B95" s="260" t="s">
        <v>104</v>
      </c>
      <c r="C95" s="261">
        <f>C91+7</f>
        <v/>
      </c>
      <c r="D95" s="260" t="s">
        <v>35</v>
      </c>
      <c r="E95" s="535" t="n">
        <v>16481</v>
      </c>
      <c r="F95" s="535" t="n">
        <v>2218</v>
      </c>
      <c r="G95" s="33">
        <f>(E95-E91)/E91</f>
        <v/>
      </c>
      <c r="H95" s="33">
        <f>(E95-F95)/F95</f>
        <v/>
      </c>
      <c r="I95" s="535">
        <f>657.58+94.06</f>
        <v/>
      </c>
      <c r="J95" s="536">
        <f>504.73+12.59</f>
        <v/>
      </c>
      <c r="K95" s="33">
        <f>(I95-I91)/I91</f>
        <v/>
      </c>
      <c r="L95" s="33">
        <f>(I95-J95)/J95</f>
        <v/>
      </c>
      <c r="M95" s="536">
        <f>E95/I95</f>
        <v/>
      </c>
      <c r="N95" s="536">
        <f>F95/J95</f>
        <v/>
      </c>
      <c r="O95" s="33">
        <f>(M95-M91)/M91</f>
        <v/>
      </c>
      <c r="P95" s="33">
        <f>(M95-N95)/N95</f>
        <v/>
      </c>
      <c r="Q95" s="537" t="n">
        <v>4311</v>
      </c>
      <c r="R95" s="537" t="n">
        <v>2312</v>
      </c>
      <c r="S95" s="33">
        <f>(Q95-Q91)/Q91</f>
        <v/>
      </c>
      <c r="T95" s="33">
        <f>(Q95-R95)/R95</f>
        <v/>
      </c>
      <c r="U95" s="537" t="n">
        <v>120</v>
      </c>
      <c r="V95" s="537" t="n">
        <v>19</v>
      </c>
      <c r="W95" s="33">
        <f>(U95-U91)/U91</f>
        <v/>
      </c>
      <c r="X95" s="33">
        <f>(U95-V95)/V95</f>
        <v/>
      </c>
      <c r="Y95" s="113">
        <f>U95/Q95</f>
        <v/>
      </c>
      <c r="Z95" s="113">
        <f>V95/R95</f>
        <v/>
      </c>
      <c r="AA95" s="33">
        <f>(Y95-Y91)/Y91</f>
        <v/>
      </c>
      <c r="AB95" s="33">
        <f>(Y95-Z95)/Z95</f>
        <v/>
      </c>
      <c r="AC95" s="529">
        <f>E95/U95</f>
        <v/>
      </c>
      <c r="AD95" s="534">
        <f>F95/V95</f>
        <v/>
      </c>
      <c r="AE95" s="33">
        <f>(AC95-AC91)/AC91</f>
        <v/>
      </c>
      <c r="AF95" s="33">
        <f>(AC95-AD95)/AD95</f>
        <v/>
      </c>
      <c r="AG95" s="537">
        <f>3419+162</f>
        <v/>
      </c>
      <c r="AH95" s="537">
        <f>1763+83</f>
        <v/>
      </c>
      <c r="AI95" s="33">
        <f>(AG95-AG91)/AG91</f>
        <v/>
      </c>
      <c r="AJ95" s="33">
        <f>(AG95-AH95)/AH95</f>
        <v/>
      </c>
      <c r="AK95" s="537">
        <f>10783+456</f>
        <v/>
      </c>
      <c r="AL95" s="537">
        <f>5047+229</f>
        <v/>
      </c>
      <c r="AM95" s="150">
        <f>(AK95-AK91)/AK91</f>
        <v/>
      </c>
      <c r="AN95" s="431">
        <f>(AK95-AL95)/AL95</f>
        <v/>
      </c>
      <c r="AO95" s="282">
        <f>AG95/AK95</f>
        <v/>
      </c>
      <c r="AP95" s="282">
        <f>AH95/AL95</f>
        <v/>
      </c>
      <c r="AQ95" s="33">
        <f>(AO95-AO91)/AO91</f>
        <v/>
      </c>
      <c r="AR95" s="33">
        <f>(AO95-AP95)/AP95</f>
        <v/>
      </c>
    </row>
    <row customHeight="1" ht="15.75" r="96" s="452" spans="1:45">
      <c r="A96" s="260" t="s">
        <v>45</v>
      </c>
      <c r="B96" s="260" t="s">
        <v>104</v>
      </c>
      <c r="C96" s="261">
        <f>C92+7</f>
        <v/>
      </c>
      <c r="D96" s="260" t="s">
        <v>36</v>
      </c>
      <c r="E96" s="535" t="n">
        <v>592</v>
      </c>
      <c r="F96" s="535" t="n">
        <v>368</v>
      </c>
      <c r="G96" s="33">
        <f>(E96-E92)/E92</f>
        <v/>
      </c>
      <c r="H96" s="33">
        <f>(E96-F96)/F96</f>
        <v/>
      </c>
      <c r="I96" s="535" t="n">
        <v>1089.28</v>
      </c>
      <c r="J96" s="536">
        <f>2066.87+0</f>
        <v/>
      </c>
      <c r="K96" s="33">
        <f>(I96-I92)/I92</f>
        <v/>
      </c>
      <c r="L96" s="33">
        <f>(I96-J96)/J96</f>
        <v/>
      </c>
      <c r="M96" s="536">
        <f>E96/I96</f>
        <v/>
      </c>
      <c r="N96" s="536">
        <f>F96/J96</f>
        <v/>
      </c>
      <c r="O96" s="33">
        <f>(M96-M92)/M92</f>
        <v/>
      </c>
      <c r="P96" s="33">
        <f>(M96-N96)/N96</f>
        <v/>
      </c>
      <c r="Q96" s="537" t="n">
        <v>3752</v>
      </c>
      <c r="R96" s="537" t="n">
        <v>2504</v>
      </c>
      <c r="S96" s="33">
        <f>(Q96-Q92)/Q92</f>
        <v/>
      </c>
      <c r="T96" s="33">
        <f>(Q96-R96)/R96</f>
        <v/>
      </c>
      <c r="U96" s="537" t="n">
        <v>8</v>
      </c>
      <c r="V96" s="537" t="n">
        <v>3</v>
      </c>
      <c r="W96" s="33">
        <f>(U96-U92)/U92</f>
        <v/>
      </c>
      <c r="X96" s="33">
        <f>(U96-V96)/V96</f>
        <v/>
      </c>
      <c r="Y96" s="113">
        <f>U96/Q96</f>
        <v/>
      </c>
      <c r="Z96" s="113">
        <f>V96/R96</f>
        <v/>
      </c>
      <c r="AA96" s="33">
        <f>(Y96-Y92)/Y92</f>
        <v/>
      </c>
      <c r="AB96" s="33">
        <f>(Y96-Z96)/Z96</f>
        <v/>
      </c>
      <c r="AC96" s="529">
        <f>E96/U96</f>
        <v/>
      </c>
      <c r="AD96" s="534">
        <f>F96/V96</f>
        <v/>
      </c>
      <c r="AE96" s="33">
        <f>(AC96-AC92)/AC92</f>
        <v/>
      </c>
      <c r="AF96" s="33">
        <f>(AC96-AD96)/AD96</f>
        <v/>
      </c>
      <c r="AG96" s="537" t="n">
        <v>856</v>
      </c>
      <c r="AH96" s="537" t="n">
        <v>1958</v>
      </c>
      <c r="AI96" s="33">
        <f>(AG96-AG92)/AG92</f>
        <v/>
      </c>
      <c r="AJ96" s="33">
        <f>(AG96-AH96)/AH96</f>
        <v/>
      </c>
      <c r="AK96" s="537" t="n">
        <v>14333</v>
      </c>
      <c r="AL96" s="537" t="n">
        <v>26862</v>
      </c>
      <c r="AM96" s="150">
        <f>(AK96-AK92)/AK92</f>
        <v/>
      </c>
      <c r="AN96" s="431">
        <f>(AK96-AL96)/AL96</f>
        <v/>
      </c>
      <c r="AO96" s="282">
        <f>AG96/AK96</f>
        <v/>
      </c>
      <c r="AP96" s="282">
        <f>AH96/AL96</f>
        <v/>
      </c>
      <c r="AQ96" s="33">
        <f>(AO96-AO92)/AO92</f>
        <v/>
      </c>
      <c r="AR96" s="33">
        <f>(AO96-AP96)/AP96</f>
        <v/>
      </c>
    </row>
    <row customHeight="1" ht="15.75" r="97" s="452" spans="1:45">
      <c r="A97" s="260" t="s">
        <v>45</v>
      </c>
      <c r="B97" s="260" t="s">
        <v>104</v>
      </c>
      <c r="C97" s="261">
        <f>C93+7</f>
        <v/>
      </c>
      <c r="D97" s="260" t="s">
        <v>37</v>
      </c>
      <c r="E97" s="535" t="n">
        <v>1599</v>
      </c>
      <c r="F97" s="535" t="n"/>
      <c r="G97" s="33">
        <f>(E97-E93)/E93</f>
        <v/>
      </c>
      <c r="H97" s="33">
        <f>(E97-F97)/F97</f>
        <v/>
      </c>
      <c r="I97" s="535" t="n">
        <v>4627</v>
      </c>
      <c r="J97" s="536" t="n"/>
      <c r="K97" s="33">
        <f>(I97-I93)/I93</f>
        <v/>
      </c>
      <c r="L97" s="33">
        <f>(I97-J97)/J97</f>
        <v/>
      </c>
      <c r="M97" s="536">
        <f>E97/I97</f>
        <v/>
      </c>
      <c r="N97" s="536" t="n"/>
      <c r="O97" s="33">
        <f>(M97-M93)/M93</f>
        <v/>
      </c>
      <c r="P97" s="33">
        <f>(M97-N97)/N97</f>
        <v/>
      </c>
      <c r="Q97" s="537" t="n">
        <v>6105</v>
      </c>
      <c r="R97" s="537" t="n"/>
      <c r="S97" s="33">
        <f>(Q97-Q93)/Q93</f>
        <v/>
      </c>
      <c r="T97" s="33">
        <f>(Q97-R97)/R97</f>
        <v/>
      </c>
      <c r="U97" s="537" t="n">
        <v>23</v>
      </c>
      <c r="V97" s="537" t="n"/>
      <c r="W97" s="33">
        <f>(U97-U93)/U93</f>
        <v/>
      </c>
      <c r="X97" s="33">
        <f>(U97-V97)/V97</f>
        <v/>
      </c>
      <c r="Y97" s="113">
        <f>U97/Q97</f>
        <v/>
      </c>
      <c r="Z97" s="113" t="n"/>
      <c r="AA97" s="33">
        <f>(Y97-Y93)/Y93</f>
        <v/>
      </c>
      <c r="AB97" s="33">
        <f>(Y97-Z97)/Z97</f>
        <v/>
      </c>
      <c r="AC97" s="529">
        <f>E97/U97</f>
        <v/>
      </c>
      <c r="AD97" s="534" t="n"/>
      <c r="AE97" s="33">
        <f>(AC97-AC93)/AC93</f>
        <v/>
      </c>
      <c r="AF97" s="33">
        <f>(AC97-AD97)/AD97</f>
        <v/>
      </c>
      <c r="AG97" s="537" t="n">
        <v>7145</v>
      </c>
      <c r="AH97" s="537" t="n"/>
      <c r="AI97" s="33">
        <f>(AG97-AG93)/AG93</f>
        <v/>
      </c>
      <c r="AJ97" s="33">
        <f>(AG97-AH97)/AH97</f>
        <v/>
      </c>
      <c r="AK97" s="537" t="n">
        <v>433644</v>
      </c>
      <c r="AL97" s="537" t="n"/>
      <c r="AM97" s="150">
        <f>(AK97-AK93)/AK93</f>
        <v/>
      </c>
      <c r="AN97" s="431">
        <f>(AK97-AL97)/AL97</f>
        <v/>
      </c>
      <c r="AO97" s="282">
        <f>AG97/AK97</f>
        <v/>
      </c>
      <c r="AP97" s="282" t="n"/>
      <c r="AQ97" s="33">
        <f>(AO97-AO93)/AO93</f>
        <v/>
      </c>
      <c r="AR97" s="33">
        <f>(AO97-AP97)/AP97</f>
        <v/>
      </c>
    </row>
    <row customFormat="1" customHeight="1" ht="15.75" r="98" s="108" spans="1:45">
      <c r="A98" s="272" t="s">
        <v>46</v>
      </c>
      <c r="B98" s="272" t="s">
        <v>106</v>
      </c>
      <c r="C98" s="273">
        <f>C94+7</f>
        <v/>
      </c>
      <c r="D98" s="274" t="s">
        <v>60</v>
      </c>
      <c r="E98" s="541">
        <f>SUM(E99:E101)</f>
        <v/>
      </c>
      <c r="F98" s="541">
        <f>SUM(F99:F101)</f>
        <v/>
      </c>
      <c r="G98" s="116">
        <f>(E98-E94)/E94</f>
        <v/>
      </c>
      <c r="H98" s="116">
        <f>(E98-F98)/F98</f>
        <v/>
      </c>
      <c r="I98" s="541">
        <f>SUM(I99:I101)</f>
        <v/>
      </c>
      <c r="J98" s="541">
        <f>SUM(J99:J101)</f>
        <v/>
      </c>
      <c r="K98" s="116">
        <f>(I98-I94)/I94</f>
        <v/>
      </c>
      <c r="L98" s="116">
        <f>(I98-J98)/J98</f>
        <v/>
      </c>
      <c r="M98" s="542">
        <f>E98/I98</f>
        <v/>
      </c>
      <c r="N98" s="542">
        <f>F98/J98</f>
        <v/>
      </c>
      <c r="O98" s="116">
        <f>(M98-M94)/M94</f>
        <v/>
      </c>
      <c r="P98" s="116">
        <f>(M98-N98)/N98</f>
        <v/>
      </c>
      <c r="Q98" s="543">
        <f>SUM(Q99:Q101)</f>
        <v/>
      </c>
      <c r="R98" s="543">
        <f>SUM(R99:R101)</f>
        <v/>
      </c>
      <c r="S98" s="116">
        <f>(Q98-Q94)/Q94</f>
        <v/>
      </c>
      <c r="T98" s="116">
        <f>(Q98-R98)/R98</f>
        <v/>
      </c>
      <c r="U98" s="543">
        <f>SUM(U99:U101)</f>
        <v/>
      </c>
      <c r="V98" s="543">
        <f>SUM(V99:V101)</f>
        <v/>
      </c>
      <c r="W98" s="116">
        <f>(U98-U94)/U94</f>
        <v/>
      </c>
      <c r="X98" s="116">
        <f>(U98-V98)/V98</f>
        <v/>
      </c>
      <c r="Y98" s="119">
        <f>U98/Q98</f>
        <v/>
      </c>
      <c r="Z98" s="119">
        <f>V98/R98</f>
        <v/>
      </c>
      <c r="AA98" s="116">
        <f>(Y98-Y94)/Y94</f>
        <v/>
      </c>
      <c r="AB98" s="116">
        <f>(Y98-Z98)/Z98</f>
        <v/>
      </c>
      <c r="AC98" s="544">
        <f>E98/U98</f>
        <v/>
      </c>
      <c r="AD98" s="545">
        <f>F98/V98</f>
        <v/>
      </c>
      <c r="AE98" s="116">
        <f>(AC98-AC94)/AC94</f>
        <v/>
      </c>
      <c r="AF98" s="116">
        <f>(AC98-AD98)/AD98</f>
        <v/>
      </c>
      <c r="AG98" s="543">
        <f>SUM(AG99:AG101)</f>
        <v/>
      </c>
      <c r="AH98" s="543">
        <f>SUM(AH99:AH101)</f>
        <v/>
      </c>
      <c r="AI98" s="116">
        <f>(AG98-AG94)/AG94</f>
        <v/>
      </c>
      <c r="AJ98" s="116">
        <f>(AG98-AH98)/AH98</f>
        <v/>
      </c>
      <c r="AK98" s="543">
        <f>SUM(AK99:AK101)</f>
        <v/>
      </c>
      <c r="AL98" s="543">
        <f>SUM(AL99:AL101)</f>
        <v/>
      </c>
      <c r="AM98" s="276">
        <f>(AK98-AK94)/AK94</f>
        <v/>
      </c>
      <c r="AN98" s="277">
        <f>(AK98-AL98)/AL98</f>
        <v/>
      </c>
      <c r="AO98" s="116">
        <f>AG98/AK98</f>
        <v/>
      </c>
      <c r="AP98" s="116">
        <f>AH98/AL98</f>
        <v/>
      </c>
      <c r="AQ98" s="116">
        <f>(AO98-AO94)/AO94</f>
        <v/>
      </c>
      <c r="AR98" s="116">
        <f>(AO98-AP98)/AP98</f>
        <v/>
      </c>
      <c r="AS98" s="108" t="s">
        <v>107</v>
      </c>
    </row>
    <row customHeight="1" ht="15.75" r="99" s="452" spans="1:45">
      <c r="A99" s="260" t="s">
        <v>46</v>
      </c>
      <c r="B99" s="260" t="s">
        <v>106</v>
      </c>
      <c r="C99" s="261">
        <f>C95+7</f>
        <v/>
      </c>
      <c r="D99" s="260" t="s">
        <v>35</v>
      </c>
      <c r="E99" s="535" t="n">
        <v>8213</v>
      </c>
      <c r="F99" s="535" t="n">
        <v>1416</v>
      </c>
      <c r="G99" s="33">
        <f>(E99-E95)/E95</f>
        <v/>
      </c>
      <c r="H99" s="33">
        <f>(E99-F99)/F99</f>
        <v/>
      </c>
      <c r="I99" s="535">
        <f>544.45+83.55</f>
        <v/>
      </c>
      <c r="J99" s="536">
        <f>367.67+15.79</f>
        <v/>
      </c>
      <c r="K99" s="33">
        <f>(I99-I95)/I95</f>
        <v/>
      </c>
      <c r="L99" s="33">
        <f>(I99-J99)/J99</f>
        <v/>
      </c>
      <c r="M99" s="536">
        <f>E99/I99</f>
        <v/>
      </c>
      <c r="N99" s="536">
        <f>F99/J99</f>
        <v/>
      </c>
      <c r="O99" s="33">
        <f>(M99-M95)/M95</f>
        <v/>
      </c>
      <c r="P99" s="33">
        <f>(M99-N99)/N99</f>
        <v/>
      </c>
      <c r="Q99" s="537" t="n">
        <v>3569</v>
      </c>
      <c r="R99" s="537" t="n">
        <v>1895</v>
      </c>
      <c r="S99" s="33">
        <f>(Q99-Q95)/Q95</f>
        <v/>
      </c>
      <c r="T99" s="33">
        <f>(Q99-R99)/R99</f>
        <v/>
      </c>
      <c r="U99" s="537" t="n">
        <v>78</v>
      </c>
      <c r="V99" s="537" t="n">
        <v>15</v>
      </c>
      <c r="W99" s="33">
        <f>(U99-U95)/U95</f>
        <v/>
      </c>
      <c r="X99" s="33">
        <f>(U99-V99)/V99</f>
        <v/>
      </c>
      <c r="Y99" s="113">
        <f>U99/Q99</f>
        <v/>
      </c>
      <c r="Z99" s="113">
        <f>V99/R99</f>
        <v/>
      </c>
      <c r="AA99" s="33">
        <f>(Y99-Y95)/Y95</f>
        <v/>
      </c>
      <c r="AB99" s="33">
        <f>(Y99-Z99)/Z99</f>
        <v/>
      </c>
      <c r="AC99" s="529">
        <f>E99/U99</f>
        <v/>
      </c>
      <c r="AD99" s="534">
        <f>F99/V99</f>
        <v/>
      </c>
      <c r="AE99" s="33">
        <f>(AC99-AC95)/AC95</f>
        <v/>
      </c>
      <c r="AF99" s="33">
        <f>(AC99-AD99)/AD99</f>
        <v/>
      </c>
      <c r="AG99" s="537">
        <f>2583+143</f>
        <v/>
      </c>
      <c r="AH99" s="537">
        <f>1420+92</f>
        <v/>
      </c>
      <c r="AI99" s="33">
        <f>(AG99-AG95)/AG95</f>
        <v/>
      </c>
      <c r="AJ99" s="33">
        <f>(AG99-AH99)/AH99</f>
        <v/>
      </c>
      <c r="AK99" s="537">
        <f>9390+406</f>
        <v/>
      </c>
      <c r="AL99" s="537">
        <f>3972+225</f>
        <v/>
      </c>
      <c r="AM99" s="150">
        <f>(AK99-AK95)/AK95</f>
        <v/>
      </c>
      <c r="AN99" s="431">
        <f>(AK99-AL99)/AL99</f>
        <v/>
      </c>
      <c r="AO99" s="282">
        <f>AG99/AK99</f>
        <v/>
      </c>
      <c r="AP99" s="282">
        <f>AH99/AL99</f>
        <v/>
      </c>
      <c r="AQ99" s="33">
        <f>(AO99-AO95)/AO95</f>
        <v/>
      </c>
      <c r="AR99" s="33">
        <f>(AO99-AP99)/AP99</f>
        <v/>
      </c>
    </row>
    <row customHeight="1" ht="15.75" r="100" s="452" spans="1:45">
      <c r="A100" s="260" t="s">
        <v>46</v>
      </c>
      <c r="B100" s="260" t="s">
        <v>106</v>
      </c>
      <c r="C100" s="261">
        <f>C96+7</f>
        <v/>
      </c>
      <c r="D100" s="260" t="s">
        <v>36</v>
      </c>
      <c r="E100" s="535" t="n">
        <v>786</v>
      </c>
      <c r="F100" s="535" t="n">
        <v>136</v>
      </c>
      <c r="G100" s="33">
        <f>(E100-E96)/E96</f>
        <v/>
      </c>
      <c r="H100" s="33">
        <f>(E100-F100)/F100</f>
        <v/>
      </c>
      <c r="I100" s="535" t="n">
        <v>1169.51</v>
      </c>
      <c r="J100" s="536">
        <f>1862.19+0</f>
        <v/>
      </c>
      <c r="K100" s="33">
        <f>(I100-I96)/I96</f>
        <v/>
      </c>
      <c r="L100" s="33">
        <f>(I100-J100)/J100</f>
        <v/>
      </c>
      <c r="M100" s="536">
        <f>E100/I100</f>
        <v/>
      </c>
      <c r="N100" s="536">
        <f>F100/J100</f>
        <v/>
      </c>
      <c r="O100" s="33">
        <f>(M100-M96)/M96</f>
        <v/>
      </c>
      <c r="P100" s="33">
        <f>(M100-N100)/N100</f>
        <v/>
      </c>
      <c r="Q100" s="537" t="n">
        <v>2153</v>
      </c>
      <c r="R100" s="537" t="n">
        <v>2266</v>
      </c>
      <c r="S100" s="33">
        <f>(Q100-Q96)/Q96</f>
        <v/>
      </c>
      <c r="T100" s="33">
        <f>(Q100-R100)/R100</f>
        <v/>
      </c>
      <c r="U100" s="537" t="n">
        <v>6</v>
      </c>
      <c r="V100" s="537" t="n">
        <v>2</v>
      </c>
      <c r="W100" s="33">
        <f>(U100-U96)/U96</f>
        <v/>
      </c>
      <c r="X100" s="33">
        <f>(U100-V100)/V100</f>
        <v/>
      </c>
      <c r="Y100" s="113">
        <f>U100/Q100</f>
        <v/>
      </c>
      <c r="Z100" s="113">
        <f>V100/R100</f>
        <v/>
      </c>
      <c r="AA100" s="33">
        <f>(Y100-Y96)/Y96</f>
        <v/>
      </c>
      <c r="AB100" s="33">
        <f>(Y100-Z100)/Z100</f>
        <v/>
      </c>
      <c r="AC100" s="529">
        <f>E100/U100</f>
        <v/>
      </c>
      <c r="AD100" s="534">
        <f>F100/V100</f>
        <v/>
      </c>
      <c r="AE100" s="33">
        <f>(AC100-AC96)/AC96</f>
        <v/>
      </c>
      <c r="AF100" s="33">
        <f>(AC100-AD100)/AD100</f>
        <v/>
      </c>
      <c r="AG100" s="537" t="n">
        <v>1017</v>
      </c>
      <c r="AH100" s="537" t="n">
        <v>1685</v>
      </c>
      <c r="AI100" s="33">
        <f>(AG100-AG96)/AG96</f>
        <v/>
      </c>
      <c r="AJ100" s="33">
        <f>(AG100-AH100)/AH100</f>
        <v/>
      </c>
      <c r="AK100" s="537" t="n">
        <v>15480</v>
      </c>
      <c r="AL100" s="537" t="n">
        <v>24505</v>
      </c>
      <c r="AM100" s="150">
        <f>(AK100-AK96)/AK96</f>
        <v/>
      </c>
      <c r="AN100" s="431">
        <f>(AK100-AL100)/AL100</f>
        <v/>
      </c>
      <c r="AO100" s="282">
        <f>AG100/AK100</f>
        <v/>
      </c>
      <c r="AP100" s="282">
        <f>AH100/AL100</f>
        <v/>
      </c>
      <c r="AQ100" s="33">
        <f>(AO100-AO96)/AO96</f>
        <v/>
      </c>
      <c r="AR100" s="33">
        <f>(AO100-AP100)/AP100</f>
        <v/>
      </c>
    </row>
    <row customHeight="1" ht="15.75" r="101" s="452" spans="1:45">
      <c r="A101" s="260" t="s">
        <v>46</v>
      </c>
      <c r="B101" s="260" t="s">
        <v>106</v>
      </c>
      <c r="C101" s="261">
        <f>C97+7</f>
        <v/>
      </c>
      <c r="D101" s="260" t="s">
        <v>37</v>
      </c>
      <c r="E101" s="535" t="n">
        <v>577</v>
      </c>
      <c r="F101" s="535" t="n"/>
      <c r="G101" s="33">
        <f>(E101-E97)/E97</f>
        <v/>
      </c>
      <c r="H101" s="33">
        <f>(E101-F101)/F101</f>
        <v/>
      </c>
      <c r="I101" s="535" t="n">
        <v>1310</v>
      </c>
      <c r="J101" s="536" t="n"/>
      <c r="K101" s="33">
        <f>(I101-I97)/I97</f>
        <v/>
      </c>
      <c r="L101" s="33">
        <f>(I101-J101)/J101</f>
        <v/>
      </c>
      <c r="M101" s="536">
        <f>E101/I101</f>
        <v/>
      </c>
      <c r="N101" s="536" t="n"/>
      <c r="O101" s="33">
        <f>(M101-M97)/M97</f>
        <v/>
      </c>
      <c r="P101" s="33">
        <f>(M101-N101)/N101</f>
        <v/>
      </c>
      <c r="Q101" s="537" t="n">
        <v>2676</v>
      </c>
      <c r="R101" s="537" t="n"/>
      <c r="S101" s="33">
        <f>(Q101-Q97)/Q97</f>
        <v/>
      </c>
      <c r="T101" s="33">
        <f>(Q101-R101)/R101</f>
        <v/>
      </c>
      <c r="U101" s="537" t="n">
        <v>8</v>
      </c>
      <c r="V101" s="537" t="n"/>
      <c r="W101" s="33">
        <f>(U101-U97)/U97</f>
        <v/>
      </c>
      <c r="X101" s="33">
        <f>(U101-V101)/V101</f>
        <v/>
      </c>
      <c r="Y101" s="113">
        <f>U101/Q101</f>
        <v/>
      </c>
      <c r="Z101" s="113" t="n"/>
      <c r="AA101" s="33">
        <f>(Y101-Y97)/Y97</f>
        <v/>
      </c>
      <c r="AB101" s="33">
        <f>(Y101-Z101)/Z101</f>
        <v/>
      </c>
      <c r="AC101" s="529">
        <f>E101/U101</f>
        <v/>
      </c>
      <c r="AD101" s="534" t="n"/>
      <c r="AE101" s="33">
        <f>(AC101-AC97)/AC97</f>
        <v/>
      </c>
      <c r="AF101" s="33">
        <f>(AC101-AD101)/AD101</f>
        <v/>
      </c>
      <c r="AG101" s="537" t="n">
        <v>2491</v>
      </c>
      <c r="AH101" s="537" t="n"/>
      <c r="AI101" s="33">
        <f>(AG101-AG97)/AG97</f>
        <v/>
      </c>
      <c r="AJ101" s="33">
        <f>(AG101-AH101)/AH101</f>
        <v/>
      </c>
      <c r="AK101" s="537" t="n">
        <v>146489</v>
      </c>
      <c r="AL101" s="537" t="n"/>
      <c r="AM101" s="150">
        <f>(AK101-AK97)/AK97</f>
        <v/>
      </c>
      <c r="AN101" s="431">
        <f>(AK101-AL101)/AL101</f>
        <v/>
      </c>
      <c r="AO101" s="282">
        <f>AG101/AK101</f>
        <v/>
      </c>
      <c r="AP101" s="282" t="n"/>
      <c r="AQ101" s="33">
        <f>(AO101-AO97)/AO97</f>
        <v/>
      </c>
      <c r="AR101" s="33">
        <f>(AO101-AP101)/AP101</f>
        <v/>
      </c>
    </row>
    <row customHeight="1" ht="15.75" r="102" s="452" spans="1:45">
      <c r="A102" s="29" t="s">
        <v>46</v>
      </c>
      <c r="B102" s="29" t="s">
        <v>108</v>
      </c>
      <c r="C102" s="30">
        <f>C98+7</f>
        <v/>
      </c>
      <c r="D102" s="31" t="s">
        <v>60</v>
      </c>
      <c r="E102" s="531">
        <f>SUM(E103:E105)</f>
        <v/>
      </c>
      <c r="F102" s="531">
        <f>SUM(F103:F105)</f>
        <v/>
      </c>
      <c r="G102" s="33">
        <f>(E102-E98)/E98</f>
        <v/>
      </c>
      <c r="H102" s="33">
        <f>(E102-F102)/F102</f>
        <v/>
      </c>
      <c r="I102" s="531">
        <f>SUM(I103:I105)</f>
        <v/>
      </c>
      <c r="J102" s="531">
        <f>SUM(J103:J105)</f>
        <v/>
      </c>
      <c r="K102" s="33">
        <f>(I102-I98)/I98</f>
        <v/>
      </c>
      <c r="L102" s="33">
        <f>(I102-J102)/J102</f>
        <v/>
      </c>
      <c r="M102" s="532">
        <f>E102/I102</f>
        <v/>
      </c>
      <c r="N102" s="532">
        <f>F102/J102</f>
        <v/>
      </c>
      <c r="O102" s="33">
        <f>(M102-M98)/M98</f>
        <v/>
      </c>
      <c r="P102" s="33">
        <f>(M102-N102)/N102</f>
        <v/>
      </c>
      <c r="Q102" s="533">
        <f>SUM(Q103:Q105)</f>
        <v/>
      </c>
      <c r="R102" s="533">
        <f>SUM(R103:R105)</f>
        <v/>
      </c>
      <c r="S102" s="33">
        <f>(Q102-Q98)/Q98</f>
        <v/>
      </c>
      <c r="T102" s="33">
        <f>(Q102-R102)/R102</f>
        <v/>
      </c>
      <c r="U102" s="533">
        <f>SUM(U103:U105)</f>
        <v/>
      </c>
      <c r="V102" s="533">
        <f>SUM(V103:V105)</f>
        <v/>
      </c>
      <c r="W102" s="33">
        <f>(U102-U98)/U98</f>
        <v/>
      </c>
      <c r="X102" s="33">
        <f>(U102-V102)/V102</f>
        <v/>
      </c>
      <c r="Y102" s="88">
        <f>U102/Q102</f>
        <v/>
      </c>
      <c r="Z102" s="88">
        <f>V102/R102</f>
        <v/>
      </c>
      <c r="AA102" s="33">
        <f>(Y102-Y98)/Y98</f>
        <v/>
      </c>
      <c r="AB102" s="33">
        <f>(Y102-Z102)/Z102</f>
        <v/>
      </c>
      <c r="AC102" s="540">
        <f>E102/U102</f>
        <v/>
      </c>
      <c r="AD102" s="534">
        <f>F102/V102</f>
        <v/>
      </c>
      <c r="AE102" s="33">
        <f>(AC102-AC98)/AC98</f>
        <v/>
      </c>
      <c r="AF102" s="33">
        <f>(AC102-AD102)/AD102</f>
        <v/>
      </c>
      <c r="AG102" s="533">
        <f>SUM(AG103:AG105)</f>
        <v/>
      </c>
      <c r="AH102" s="533">
        <f>SUM(AH103:AH105)</f>
        <v/>
      </c>
      <c r="AI102" s="33">
        <f>(AG102-AG98)/AG98</f>
        <v/>
      </c>
      <c r="AJ102" s="33">
        <f>(AG102-AH102)/AH102</f>
        <v/>
      </c>
      <c r="AK102" s="533">
        <f>SUM(AK103:AK105)</f>
        <v/>
      </c>
      <c r="AL102" s="533">
        <f>SUM(AL103:AL105)</f>
        <v/>
      </c>
      <c r="AM102" s="150">
        <f>(AK102-AK98)/AK98</f>
        <v/>
      </c>
      <c r="AN102" s="431">
        <f>(AK102-AL102)/AL102</f>
        <v/>
      </c>
      <c r="AO102" s="33">
        <f>AG102/AK102</f>
        <v/>
      </c>
      <c r="AP102" s="33">
        <f>AH102/AL102</f>
        <v/>
      </c>
      <c r="AQ102" s="33">
        <f>(AO102-AO98)/AO98</f>
        <v/>
      </c>
      <c r="AR102" s="33">
        <f>(AO102-AP102)/AP102</f>
        <v/>
      </c>
      <c r="AS102" t="s">
        <v>72</v>
      </c>
    </row>
    <row customHeight="1" ht="15.75" r="103" s="452" spans="1:45">
      <c r="A103" s="260" t="s">
        <v>46</v>
      </c>
      <c r="B103" s="260" t="s">
        <v>108</v>
      </c>
      <c r="C103" s="261">
        <f>C99+7</f>
        <v/>
      </c>
      <c r="D103" s="260" t="s">
        <v>35</v>
      </c>
      <c r="E103" s="535" t="n">
        <v>6815</v>
      </c>
      <c r="F103" s="535" t="n">
        <v>2374</v>
      </c>
      <c r="G103" s="33">
        <f>(E103-E99)/E99</f>
        <v/>
      </c>
      <c r="H103" s="33">
        <f>(E103-F103)/F103</f>
        <v/>
      </c>
      <c r="I103" s="535">
        <f>564.36+99.11</f>
        <v/>
      </c>
      <c r="J103" s="536">
        <f>377.23+14.39</f>
        <v/>
      </c>
      <c r="K103" s="33">
        <f>(I103-I99)/I99</f>
        <v/>
      </c>
      <c r="L103" s="33">
        <f>(I103-J103)/J103</f>
        <v/>
      </c>
      <c r="M103" s="536">
        <f>E103/I103</f>
        <v/>
      </c>
      <c r="N103" s="536">
        <f>F103/J103</f>
        <v/>
      </c>
      <c r="O103" s="33">
        <f>(M103-M99)/M99</f>
        <v/>
      </c>
      <c r="P103" s="33">
        <f>(M103-N103)/N103</f>
        <v/>
      </c>
      <c r="Q103" s="537" t="n">
        <v>4166</v>
      </c>
      <c r="R103" s="537" t="n">
        <v>2461</v>
      </c>
      <c r="S103" s="33">
        <f>(Q103-Q99)/Q99</f>
        <v/>
      </c>
      <c r="T103" s="33">
        <f>(Q103-R103)/R103</f>
        <v/>
      </c>
      <c r="U103" s="537" t="n">
        <v>69</v>
      </c>
      <c r="V103" s="537" t="n">
        <v>19</v>
      </c>
      <c r="W103" s="33">
        <f>(U103-U99)/U99</f>
        <v/>
      </c>
      <c r="X103" s="33">
        <f>(U103-V103)/V103</f>
        <v/>
      </c>
      <c r="Y103" s="113">
        <f>U103/Q103</f>
        <v/>
      </c>
      <c r="Z103" s="113">
        <f>V103/R103</f>
        <v/>
      </c>
      <c r="AA103" s="33">
        <f>(Y103-Y99)/Y99</f>
        <v/>
      </c>
      <c r="AB103" s="33">
        <f>(Y103-Z103)/Z103</f>
        <v/>
      </c>
      <c r="AC103" s="529">
        <f>E103/U103</f>
        <v/>
      </c>
      <c r="AD103" s="534">
        <f>F103/V103</f>
        <v/>
      </c>
      <c r="AE103" s="33">
        <f>(AC103-AC99)/AC99</f>
        <v/>
      </c>
      <c r="AF103" s="33">
        <f>(AC103-AD103)/AD103</f>
        <v/>
      </c>
      <c r="AG103" s="537">
        <f>3135+159</f>
        <v/>
      </c>
      <c r="AH103" s="537">
        <f>1934+89</f>
        <v/>
      </c>
      <c r="AI103" s="33">
        <f>(AG103-AG99)/AG99</f>
        <v/>
      </c>
      <c r="AJ103" s="33">
        <f>(AG103-AH103)/AH103</f>
        <v/>
      </c>
      <c r="AK103" s="537">
        <f>10114+425</f>
        <v/>
      </c>
      <c r="AL103" s="537">
        <f>4962+237</f>
        <v/>
      </c>
      <c r="AM103" s="150">
        <f>(AK103-AK99)/AK99</f>
        <v/>
      </c>
      <c r="AN103" s="431">
        <f>(AK103-AL103)/AL103</f>
        <v/>
      </c>
      <c r="AO103" s="282">
        <f>AG103/AK103</f>
        <v/>
      </c>
      <c r="AP103" s="282">
        <f>AH103/AL103</f>
        <v/>
      </c>
      <c r="AQ103" s="33">
        <f>(AO103-AO99)/AO99</f>
        <v/>
      </c>
      <c r="AR103" s="33">
        <f>(AO103-AP103)/AP103</f>
        <v/>
      </c>
    </row>
    <row customHeight="1" ht="15.75" r="104" s="452" spans="1:45">
      <c r="A104" s="260" t="s">
        <v>46</v>
      </c>
      <c r="B104" s="260" t="s">
        <v>108</v>
      </c>
      <c r="C104" s="261">
        <f>C100+7</f>
        <v/>
      </c>
      <c r="D104" s="260" t="s">
        <v>36</v>
      </c>
      <c r="E104" s="535" t="n">
        <v>135</v>
      </c>
      <c r="F104" s="535" t="n">
        <v>319</v>
      </c>
      <c r="G104" s="33">
        <f>(E104-E100)/E100</f>
        <v/>
      </c>
      <c r="H104" s="33">
        <f>(E104-F104)/F104</f>
        <v/>
      </c>
      <c r="I104" s="535" t="n">
        <v>840.02</v>
      </c>
      <c r="J104" s="536">
        <f>1897.77+58.79</f>
        <v/>
      </c>
      <c r="K104" s="33">
        <f>(I104-I100)/I100</f>
        <v/>
      </c>
      <c r="L104" s="33">
        <f>(I104-J104)/J104</f>
        <v/>
      </c>
      <c r="M104" s="536">
        <f>E104/I104</f>
        <v/>
      </c>
      <c r="N104" s="536">
        <f>F104/J104</f>
        <v/>
      </c>
      <c r="O104" s="33">
        <f>(M104-M100)/M100</f>
        <v/>
      </c>
      <c r="P104" s="33">
        <f>(M104-N104)/N104</f>
        <v/>
      </c>
      <c r="Q104" s="537" t="n">
        <v>864</v>
      </c>
      <c r="R104" s="537" t="n">
        <v>2149</v>
      </c>
      <c r="S104" s="33">
        <f>(Q104-Q100)/Q100</f>
        <v/>
      </c>
      <c r="T104" s="33">
        <f>(Q104-R104)/R104</f>
        <v/>
      </c>
      <c r="U104" s="537" t="n">
        <v>1</v>
      </c>
      <c r="V104" s="537" t="n">
        <v>4</v>
      </c>
      <c r="W104" s="33">
        <f>(U104-U100)/U100</f>
        <v/>
      </c>
      <c r="X104" s="33">
        <f>(U104-V104)/V104</f>
        <v/>
      </c>
      <c r="Y104" s="113">
        <f>U104/Q104</f>
        <v/>
      </c>
      <c r="Z104" s="113">
        <f>V104/R104</f>
        <v/>
      </c>
      <c r="AA104" s="33">
        <f>(Y104-Y100)/Y100</f>
        <v/>
      </c>
      <c r="AB104" s="33">
        <f>(Y104-Z104)/Z104</f>
        <v/>
      </c>
      <c r="AC104" s="529">
        <f>E104/U104</f>
        <v/>
      </c>
      <c r="AD104" s="534">
        <f>F104/V104</f>
        <v/>
      </c>
      <c r="AE104" s="33">
        <f>(AC104-AC100)/AC100</f>
        <v/>
      </c>
      <c r="AF104" s="33">
        <f>(AC104-AD104)/AD104</f>
        <v/>
      </c>
      <c r="AG104" s="537" t="n">
        <v>713</v>
      </c>
      <c r="AH104" s="537">
        <f>1894+55</f>
        <v/>
      </c>
      <c r="AI104" s="33">
        <f>(AG104-AG100)/AG100</f>
        <v/>
      </c>
      <c r="AJ104" s="33">
        <f>(AG104-AH104)/AH104</f>
        <v/>
      </c>
      <c r="AK104" s="537" t="n">
        <v>9931</v>
      </c>
      <c r="AL104" s="537">
        <f>25973+1483</f>
        <v/>
      </c>
      <c r="AM104" s="150">
        <f>(AK104-AK100)/AK100</f>
        <v/>
      </c>
      <c r="AN104" s="431">
        <f>(AK104-AL104)/AL104</f>
        <v/>
      </c>
      <c r="AO104" s="282">
        <f>AG104/AK104</f>
        <v/>
      </c>
      <c r="AP104" s="282">
        <f>AH104/AL104</f>
        <v/>
      </c>
      <c r="AQ104" s="33">
        <f>(AO104-AO100)/AO100</f>
        <v/>
      </c>
      <c r="AR104" s="33">
        <f>(AO104-AP104)/AP104</f>
        <v/>
      </c>
    </row>
    <row customHeight="1" ht="15.75" r="105" s="452" spans="1:45">
      <c r="A105" s="260" t="s">
        <v>46</v>
      </c>
      <c r="B105" s="260" t="s">
        <v>108</v>
      </c>
      <c r="C105" s="261">
        <f>C101+7</f>
        <v/>
      </c>
      <c r="D105" s="260" t="s">
        <v>37</v>
      </c>
      <c r="E105" s="535" t="n">
        <v>1449</v>
      </c>
      <c r="F105" s="535" t="n"/>
      <c r="G105" s="33">
        <f>(E105-E101)/E101</f>
        <v/>
      </c>
      <c r="H105" s="33">
        <f>(E105-F105)/F105</f>
        <v/>
      </c>
      <c r="I105" s="535" t="n">
        <v>1243</v>
      </c>
      <c r="J105" s="536" t="n"/>
      <c r="K105" s="33">
        <f>(I105-I101)/I101</f>
        <v/>
      </c>
      <c r="L105" s="33">
        <f>(I105-J105)/J105</f>
        <v/>
      </c>
      <c r="M105" s="536">
        <f>E105/I105</f>
        <v/>
      </c>
      <c r="N105" s="536" t="n"/>
      <c r="O105" s="33">
        <f>(M105-M101)/M101</f>
        <v/>
      </c>
      <c r="P105" s="33">
        <f>(M105-N105)/N105</f>
        <v/>
      </c>
      <c r="Q105" s="537" t="n">
        <v>2387</v>
      </c>
      <c r="R105" s="537" t="n"/>
      <c r="S105" s="33">
        <f>(Q105-Q101)/Q101</f>
        <v/>
      </c>
      <c r="T105" s="33">
        <f>(Q105-R105)/R105</f>
        <v/>
      </c>
      <c r="U105" s="537" t="n">
        <v>13</v>
      </c>
      <c r="V105" s="537" t="n"/>
      <c r="W105" s="33">
        <f>(U105-U101)/U101</f>
        <v/>
      </c>
      <c r="X105" s="33">
        <f>(U105-V105)/V105</f>
        <v/>
      </c>
      <c r="Y105" s="113">
        <f>U105/Q105</f>
        <v/>
      </c>
      <c r="Z105" s="113" t="n"/>
      <c r="AA105" s="33">
        <f>(Y105-Y101)/Y101</f>
        <v/>
      </c>
      <c r="AB105" s="33">
        <f>(Y105-Z105)/Z105</f>
        <v/>
      </c>
      <c r="AC105" s="529">
        <f>E105/U105</f>
        <v/>
      </c>
      <c r="AD105" s="534" t="n"/>
      <c r="AE105" s="33">
        <f>(AC105-AC101)/AC101</f>
        <v/>
      </c>
      <c r="AF105" s="33">
        <f>(AC105-AD105)/AD105</f>
        <v/>
      </c>
      <c r="AG105" s="537" t="n">
        <v>2336</v>
      </c>
      <c r="AH105" s="537" t="n"/>
      <c r="AI105" s="33">
        <f>(AG105-AG101)/AG101</f>
        <v/>
      </c>
      <c r="AJ105" s="33">
        <f>(AG105-AH105)/AH105</f>
        <v/>
      </c>
      <c r="AK105" s="537" t="n">
        <v>132963</v>
      </c>
      <c r="AL105" s="537" t="n"/>
      <c r="AM105" s="150">
        <f>(AK105-AK101)/AK101</f>
        <v/>
      </c>
      <c r="AN105" s="431">
        <f>(AK105-AL105)/AL105</f>
        <v/>
      </c>
      <c r="AO105" s="282">
        <f>AG105/AK105</f>
        <v/>
      </c>
      <c r="AP105" s="282" t="n"/>
      <c r="AQ105" s="33">
        <f>(AO105-AO101)/AO101</f>
        <v/>
      </c>
      <c r="AR105" s="33">
        <f>(AO105-AP105)/AP105</f>
        <v/>
      </c>
    </row>
    <row customHeight="1" ht="15.75" r="106" s="452" spans="1:45">
      <c r="A106" s="242" t="s">
        <v>46</v>
      </c>
      <c r="B106" s="242" t="s">
        <v>109</v>
      </c>
      <c r="C106" s="243">
        <f>C102+7</f>
        <v/>
      </c>
      <c r="D106" s="244" t="s">
        <v>60</v>
      </c>
      <c r="E106" s="531">
        <f>SUM(E107:E109)</f>
        <v/>
      </c>
      <c r="F106" s="531">
        <f>SUM(F107:F109)</f>
        <v/>
      </c>
      <c r="G106" s="33">
        <f>(E106-E102)/E102</f>
        <v/>
      </c>
      <c r="H106" s="33">
        <f>(E106-F106)/F106</f>
        <v/>
      </c>
      <c r="I106" s="531">
        <f>SUM(I107:I109)</f>
        <v/>
      </c>
      <c r="J106" s="531">
        <f>SUM(J107:J109)</f>
        <v/>
      </c>
      <c r="K106" s="33">
        <f>(I106-I102)/I102</f>
        <v/>
      </c>
      <c r="L106" s="33">
        <f>(I106-J106)/J106</f>
        <v/>
      </c>
      <c r="M106" s="532">
        <f>E106/I106</f>
        <v/>
      </c>
      <c r="N106" s="532">
        <f>F106/J106</f>
        <v/>
      </c>
      <c r="O106" s="33">
        <f>(M106-M102)/M102</f>
        <v/>
      </c>
      <c r="P106" s="33">
        <f>(M106-N106)/N106</f>
        <v/>
      </c>
      <c r="Q106" s="533">
        <f>SUM(Q107:Q109)</f>
        <v/>
      </c>
      <c r="R106" s="533">
        <f>SUM(R107:R109)</f>
        <v/>
      </c>
      <c r="S106" s="33">
        <f>(Q106-Q102)/Q102</f>
        <v/>
      </c>
      <c r="T106" s="33">
        <f>(Q106-R106)/R106</f>
        <v/>
      </c>
      <c r="U106" s="533">
        <f>SUM(U107:U109)</f>
        <v/>
      </c>
      <c r="V106" s="533">
        <f>SUM(V107:V109)</f>
        <v/>
      </c>
      <c r="W106" s="33">
        <f>(U106-U102)/U102</f>
        <v/>
      </c>
      <c r="X106" s="33">
        <f>(U106-V106)/V106</f>
        <v/>
      </c>
      <c r="Y106" s="88">
        <f>U106/Q106</f>
        <v/>
      </c>
      <c r="Z106" s="88">
        <f>V106/R106</f>
        <v/>
      </c>
      <c r="AA106" s="33">
        <f>(Y106-Y102)/Y102</f>
        <v/>
      </c>
      <c r="AB106" s="33">
        <f>(Y106-Z106)/Z106</f>
        <v/>
      </c>
      <c r="AC106" s="540">
        <f>E106/U106</f>
        <v/>
      </c>
      <c r="AD106" s="534">
        <f>F106/V106</f>
        <v/>
      </c>
      <c r="AE106" s="33">
        <f>(AC106-AC102)/AC102</f>
        <v/>
      </c>
      <c r="AF106" s="33">
        <f>(AC106-AD106)/AD106</f>
        <v/>
      </c>
      <c r="AG106" s="533">
        <f>SUM(AG107:AG109)</f>
        <v/>
      </c>
      <c r="AH106" s="533">
        <f>SUM(AH107:AH109)</f>
        <v/>
      </c>
      <c r="AI106" s="33">
        <f>(AG106-AG102)/AG102</f>
        <v/>
      </c>
      <c r="AJ106" s="33">
        <f>(AG106-AH106)/AH106</f>
        <v/>
      </c>
      <c r="AK106" s="533">
        <f>SUM(AK107:AK109)</f>
        <v/>
      </c>
      <c r="AL106" s="533">
        <f>SUM(AL107:AL109)</f>
        <v/>
      </c>
      <c r="AM106" s="150">
        <f>(AK106-AK102)/AK102</f>
        <v/>
      </c>
      <c r="AN106" s="431">
        <f>(AK106-AL106)/AL106</f>
        <v/>
      </c>
      <c r="AO106" s="33">
        <f>AG106/AK106</f>
        <v/>
      </c>
      <c r="AP106" s="33">
        <f>AH106/AL106</f>
        <v/>
      </c>
      <c r="AQ106" s="33">
        <f>(AO106-AO102)/AO102</f>
        <v/>
      </c>
      <c r="AR106" s="33">
        <f>(AO106-AP106)/AP106</f>
        <v/>
      </c>
      <c r="AS106" s="268" t="s">
        <v>70</v>
      </c>
    </row>
    <row customHeight="1" ht="15.75" r="107" s="452" spans="1:45">
      <c r="A107" s="260" t="s">
        <v>46</v>
      </c>
      <c r="B107" s="260" t="s">
        <v>109</v>
      </c>
      <c r="C107" s="261">
        <f>C103+7</f>
        <v/>
      </c>
      <c r="D107" s="260" t="s">
        <v>35</v>
      </c>
      <c r="E107" s="535" t="n">
        <v>7513</v>
      </c>
      <c r="F107" s="535" t="n">
        <v>1854</v>
      </c>
      <c r="G107" s="33">
        <f>(E107-E103)/E103</f>
        <v/>
      </c>
      <c r="H107" s="33">
        <f>(E107-F107)/F107</f>
        <v/>
      </c>
      <c r="I107" s="535">
        <f>508.88+77.39</f>
        <v/>
      </c>
      <c r="J107" s="536">
        <f>207.61+19.14</f>
        <v/>
      </c>
      <c r="K107" s="33">
        <f>(I107-I103)/I103</f>
        <v/>
      </c>
      <c r="L107" s="33">
        <f>(I107-J107)/J107</f>
        <v/>
      </c>
      <c r="M107" s="536">
        <f>E107/I107</f>
        <v/>
      </c>
      <c r="N107" s="536">
        <f>F107/J107</f>
        <v/>
      </c>
      <c r="O107" s="33">
        <f>(M107-M103)/M103</f>
        <v/>
      </c>
      <c r="P107" s="33">
        <f>(M107-N107)/N107</f>
        <v/>
      </c>
      <c r="Q107" s="537" t="n">
        <v>3722</v>
      </c>
      <c r="R107" s="537" t="n">
        <v>2405</v>
      </c>
      <c r="S107" s="33">
        <f>(Q107-Q103)/Q103</f>
        <v/>
      </c>
      <c r="T107" s="33">
        <f>(Q107-R107)/R107</f>
        <v/>
      </c>
      <c r="U107" s="537" t="n">
        <v>66</v>
      </c>
      <c r="V107" s="537" t="n">
        <v>24</v>
      </c>
      <c r="W107" s="33">
        <f>(U107-U103)/U103</f>
        <v/>
      </c>
      <c r="X107" s="33">
        <f>(U107-V107)/V107</f>
        <v/>
      </c>
      <c r="Y107" s="113">
        <f>U107/Q107</f>
        <v/>
      </c>
      <c r="Z107" s="113">
        <f>V107/R107</f>
        <v/>
      </c>
      <c r="AA107" s="33">
        <f>(Y107-Y103)/Y103</f>
        <v/>
      </c>
      <c r="AB107" s="33">
        <f>(Y107-Z107)/Z107</f>
        <v/>
      </c>
      <c r="AC107" s="529">
        <f>E107/U107</f>
        <v/>
      </c>
      <c r="AD107" s="534">
        <f>F107/V107</f>
        <v/>
      </c>
      <c r="AE107" s="33">
        <f>(AC107-AC103)/AC103</f>
        <v/>
      </c>
      <c r="AF107" s="33">
        <f>(AC107-AD107)/AD107</f>
        <v/>
      </c>
      <c r="AG107" s="537">
        <f>2658+138</f>
        <v/>
      </c>
      <c r="AH107" s="537">
        <f>1821+113</f>
        <v/>
      </c>
      <c r="AI107" s="33">
        <f>(AG107-AG103)/AG103</f>
        <v/>
      </c>
      <c r="AJ107" s="33">
        <f>(AG107-AH107)/AH107</f>
        <v/>
      </c>
      <c r="AK107" s="537">
        <f>8556+363</f>
        <v/>
      </c>
      <c r="AL107" s="537">
        <f>4678+345</f>
        <v/>
      </c>
      <c r="AM107" s="150">
        <f>(AK107-AK103)/AK103</f>
        <v/>
      </c>
      <c r="AN107" s="431">
        <f>(AK107-AL107)/AL107</f>
        <v/>
      </c>
      <c r="AO107" s="282">
        <f>AG107/AK107</f>
        <v/>
      </c>
      <c r="AP107" s="282">
        <f>AH107/AL107</f>
        <v/>
      </c>
      <c r="AQ107" s="33">
        <f>(AO107-AO103)/AO103</f>
        <v/>
      </c>
      <c r="AR107" s="33">
        <f>(AO107-AP107)/AP107</f>
        <v/>
      </c>
    </row>
    <row customHeight="1" ht="15.75" r="108" s="452" spans="1:45">
      <c r="A108" s="260" t="s">
        <v>46</v>
      </c>
      <c r="B108" s="260" t="s">
        <v>109</v>
      </c>
      <c r="C108" s="261">
        <f>C104+7</f>
        <v/>
      </c>
      <c r="D108" s="260" t="s">
        <v>36</v>
      </c>
      <c r="E108" s="535" t="n">
        <v>0</v>
      </c>
      <c r="F108" s="535" t="n">
        <v>333</v>
      </c>
      <c r="G108" s="33">
        <f>(E108-E104)/E104</f>
        <v/>
      </c>
      <c r="H108" s="33">
        <f>(E108-F108)/F108</f>
        <v/>
      </c>
      <c r="I108" s="535" t="n">
        <v>551.49</v>
      </c>
      <c r="J108" s="536">
        <f>2040.33+132.61</f>
        <v/>
      </c>
      <c r="K108" s="33">
        <f>(I108-I104)/I104</f>
        <v/>
      </c>
      <c r="L108" s="33">
        <f>(I108-J108)/J108</f>
        <v/>
      </c>
      <c r="M108" s="536">
        <f>E108/I108</f>
        <v/>
      </c>
      <c r="N108" s="536">
        <f>F108/J108</f>
        <v/>
      </c>
      <c r="O108" s="33">
        <f>(M108-M104)/M104</f>
        <v/>
      </c>
      <c r="P108" s="33">
        <f>(M108-N108)/N108</f>
        <v/>
      </c>
      <c r="Q108" s="537" t="n">
        <v>495</v>
      </c>
      <c r="R108" s="537" t="n">
        <v>2402</v>
      </c>
      <c r="S108" s="33">
        <f>(Q108-Q104)/Q104</f>
        <v/>
      </c>
      <c r="T108" s="33">
        <f>(Q108-R108)/R108</f>
        <v/>
      </c>
      <c r="U108" s="537" t="n">
        <v>0</v>
      </c>
      <c r="V108" s="537" t="n">
        <v>4</v>
      </c>
      <c r="W108" s="33">
        <f>(U108-U104)/U104</f>
        <v/>
      </c>
      <c r="X108" s="33">
        <f>(U108-V108)/V108</f>
        <v/>
      </c>
      <c r="Y108" s="113">
        <f>U108/Q108</f>
        <v/>
      </c>
      <c r="Z108" s="113">
        <f>V108/R108</f>
        <v/>
      </c>
      <c r="AA108" s="33">
        <f>(Y108-Y104)/Y104</f>
        <v/>
      </c>
      <c r="AB108" s="33">
        <f>(Y108-Z108)/Z108</f>
        <v/>
      </c>
      <c r="AC108" s="529">
        <f>E108/U108</f>
        <v/>
      </c>
      <c r="AD108" s="534">
        <f>F108/V108</f>
        <v/>
      </c>
      <c r="AE108" s="33">
        <f>(AC108-AC104)/AC104</f>
        <v/>
      </c>
      <c r="AF108" s="33">
        <f>(AC108-AD108)/AD108</f>
        <v/>
      </c>
      <c r="AG108" s="537" t="n">
        <v>392</v>
      </c>
      <c r="AH108" s="537">
        <f>2002+145</f>
        <v/>
      </c>
      <c r="AI108" s="33">
        <f>(AG108-AG104)/AG104</f>
        <v/>
      </c>
      <c r="AJ108" s="33">
        <f>(AG108-AH108)/AH108</f>
        <v/>
      </c>
      <c r="AK108" s="537" t="n">
        <v>6568</v>
      </c>
      <c r="AL108" s="537">
        <f>29433+3422</f>
        <v/>
      </c>
      <c r="AM108" s="150">
        <f>(AK108-AK104)/AK104</f>
        <v/>
      </c>
      <c r="AN108" s="431">
        <f>(AK108-AL108)/AL108</f>
        <v/>
      </c>
      <c r="AO108" s="282">
        <f>AG108/AK108</f>
        <v/>
      </c>
      <c r="AP108" s="282">
        <f>AH108/AL108</f>
        <v/>
      </c>
      <c r="AQ108" s="33">
        <f>(AO108-AO104)/AO104</f>
        <v/>
      </c>
      <c r="AR108" s="33">
        <f>(AO108-AP108)/AP108</f>
        <v/>
      </c>
    </row>
    <row customHeight="1" ht="15.75" r="109" s="452" spans="1:45">
      <c r="A109" s="260" t="s">
        <v>46</v>
      </c>
      <c r="B109" s="260" t="s">
        <v>109</v>
      </c>
      <c r="C109" s="261">
        <f>C105+7</f>
        <v/>
      </c>
      <c r="D109" s="260" t="s">
        <v>37</v>
      </c>
      <c r="E109" s="535" t="n">
        <v>225</v>
      </c>
      <c r="F109" s="535" t="n"/>
      <c r="G109" s="33">
        <f>(E109-E105)/E105</f>
        <v/>
      </c>
      <c r="H109" s="33">
        <f>(E109-F109)/F109</f>
        <v/>
      </c>
      <c r="I109" s="535" t="n">
        <v>1266</v>
      </c>
      <c r="J109" s="536" t="n"/>
      <c r="K109" s="33">
        <f>(I109-I105)/I105</f>
        <v/>
      </c>
      <c r="L109" s="33">
        <f>(I109-J109)/J109</f>
        <v/>
      </c>
      <c r="M109" s="536">
        <f>E109/I109</f>
        <v/>
      </c>
      <c r="N109" s="536" t="n"/>
      <c r="O109" s="33">
        <f>(M109-M105)/M105</f>
        <v/>
      </c>
      <c r="P109" s="33">
        <f>(M109-N109)/N109</f>
        <v/>
      </c>
      <c r="Q109" s="537" t="n">
        <v>1987</v>
      </c>
      <c r="R109" s="537" t="n"/>
      <c r="S109" s="33">
        <f>(Q109-Q105)/Q105</f>
        <v/>
      </c>
      <c r="T109" s="33">
        <f>(Q109-R109)/R109</f>
        <v/>
      </c>
      <c r="U109" s="537" t="n">
        <v>6</v>
      </c>
      <c r="V109" s="537" t="n"/>
      <c r="W109" s="33">
        <f>(U109-U105)/U105</f>
        <v/>
      </c>
      <c r="X109" s="33">
        <f>(U109-V109)/V109</f>
        <v/>
      </c>
      <c r="Y109" s="113">
        <f>U109/Q109</f>
        <v/>
      </c>
      <c r="Z109" s="113" t="n"/>
      <c r="AA109" s="33">
        <f>(Y109-Y105)/Y105</f>
        <v/>
      </c>
      <c r="AB109" s="33">
        <f>(Y109-Z109)/Z109</f>
        <v/>
      </c>
      <c r="AC109" s="529">
        <f>E109/U109</f>
        <v/>
      </c>
      <c r="AD109" s="534" t="n"/>
      <c r="AE109" s="33">
        <f>(AC109-AC105)/AC105</f>
        <v/>
      </c>
      <c r="AF109" s="33">
        <f>(AC109-AD109)/AD109</f>
        <v/>
      </c>
      <c r="AG109" s="537" t="n">
        <v>1930</v>
      </c>
      <c r="AH109" s="537" t="n"/>
      <c r="AI109" s="33">
        <f>(AG109-AG105)/AG105</f>
        <v/>
      </c>
      <c r="AJ109" s="33">
        <f>(AG109-AH109)/AH109</f>
        <v/>
      </c>
      <c r="AK109" s="537" t="n">
        <v>125945</v>
      </c>
      <c r="AL109" s="537" t="n"/>
      <c r="AM109" s="150">
        <f>(AK109-AK105)/AK105</f>
        <v/>
      </c>
      <c r="AN109" s="431">
        <f>(AK109-AL109)/AL109</f>
        <v/>
      </c>
      <c r="AO109" s="282">
        <f>AG109/AK109</f>
        <v/>
      </c>
      <c r="AP109" s="282" t="n"/>
      <c r="AQ109" s="33">
        <f>(AO109-AO105)/AO105</f>
        <v/>
      </c>
      <c r="AR109" s="33">
        <f>(AO109-AP109)/AP109</f>
        <v/>
      </c>
    </row>
    <row customHeight="1" ht="15.75" r="110" s="452" spans="1:45">
      <c r="A110" s="29" t="s">
        <v>46</v>
      </c>
      <c r="B110" s="29" t="s">
        <v>110</v>
      </c>
      <c r="C110" s="30">
        <f>C106+7</f>
        <v/>
      </c>
      <c r="D110" s="31" t="s">
        <v>60</v>
      </c>
      <c r="E110" s="531">
        <f>SUM(E111:E113)</f>
        <v/>
      </c>
      <c r="F110" s="531">
        <f>SUM(F111:F113)</f>
        <v/>
      </c>
      <c r="G110" s="33">
        <f>(E110-E106)/E106</f>
        <v/>
      </c>
      <c r="H110" s="33">
        <f>(E110-F110)/F110</f>
        <v/>
      </c>
      <c r="I110" s="531">
        <f>SUM(I111:I113)</f>
        <v/>
      </c>
      <c r="J110" s="531">
        <f>SUM(J111:J113)</f>
        <v/>
      </c>
      <c r="K110" s="33">
        <f>(I110-I106)/I106</f>
        <v/>
      </c>
      <c r="L110" s="33">
        <f>(I110-J110)/J110</f>
        <v/>
      </c>
      <c r="M110" s="532">
        <f>E110/I110</f>
        <v/>
      </c>
      <c r="N110" s="532">
        <f>F110/J110</f>
        <v/>
      </c>
      <c r="O110" s="33">
        <f>(M110-M106)/M106</f>
        <v/>
      </c>
      <c r="P110" s="33">
        <f>(M110-N110)/N110</f>
        <v/>
      </c>
      <c r="Q110" s="533">
        <f>SUM(Q111:Q113)</f>
        <v/>
      </c>
      <c r="R110" s="533">
        <f>SUM(R111:R113)</f>
        <v/>
      </c>
      <c r="S110" s="33">
        <f>(Q110-Q106)/Q106</f>
        <v/>
      </c>
      <c r="T110" s="33">
        <f>(Q110-R110)/R110</f>
        <v/>
      </c>
      <c r="U110" s="533">
        <f>SUM(U111:U113)</f>
        <v/>
      </c>
      <c r="V110" s="533">
        <f>SUM(V111:V113)</f>
        <v/>
      </c>
      <c r="W110" s="33">
        <f>(U110-U106)/U106</f>
        <v/>
      </c>
      <c r="X110" s="33">
        <f>(U110-V110)/V110</f>
        <v/>
      </c>
      <c r="Y110" s="88">
        <f>U110/Q110</f>
        <v/>
      </c>
      <c r="Z110" s="88">
        <f>V110/R110</f>
        <v/>
      </c>
      <c r="AA110" s="33">
        <f>(Y110-Y106)/Y106</f>
        <v/>
      </c>
      <c r="AB110" s="33">
        <f>(Y110-Z110)/Z110</f>
        <v/>
      </c>
      <c r="AC110" s="540">
        <f>E110/U110</f>
        <v/>
      </c>
      <c r="AD110" s="534">
        <f>F110/V110</f>
        <v/>
      </c>
      <c r="AE110" s="33">
        <f>(AC110-AC106)/AC106</f>
        <v/>
      </c>
      <c r="AF110" s="33">
        <f>(AC110-AD110)/AD110</f>
        <v/>
      </c>
      <c r="AG110" s="533">
        <f>SUM(AG111:AG113)</f>
        <v/>
      </c>
      <c r="AH110" s="533">
        <f>SUM(AH111:AH113)</f>
        <v/>
      </c>
      <c r="AI110" s="33">
        <f>(AG110-AG106)/AG106</f>
        <v/>
      </c>
      <c r="AJ110" s="33">
        <f>(AG110-AH110)/AH110</f>
        <v/>
      </c>
      <c r="AK110" s="533">
        <f>SUM(AK111:AK113)</f>
        <v/>
      </c>
      <c r="AL110" s="533">
        <f>SUM(AL111:AL113)</f>
        <v/>
      </c>
      <c r="AM110" s="150">
        <f>(AK110-AK106)/AK106</f>
        <v/>
      </c>
      <c r="AN110" s="431">
        <f>(AK110-AL110)/AL110</f>
        <v/>
      </c>
      <c r="AO110" s="33">
        <f>AG110/AK110</f>
        <v/>
      </c>
      <c r="AP110" s="33">
        <f>AH110/AL110</f>
        <v/>
      </c>
      <c r="AQ110" s="33">
        <f>(AO110-AO106)/AO106</f>
        <v/>
      </c>
      <c r="AR110" s="33">
        <f>(AO110-AP110)/AP110</f>
        <v/>
      </c>
      <c r="AS110" t="s">
        <v>91</v>
      </c>
    </row>
    <row customHeight="1" ht="15.75" r="111" s="452" spans="1:45">
      <c r="A111" s="260" t="s">
        <v>46</v>
      </c>
      <c r="B111" s="260" t="s">
        <v>110</v>
      </c>
      <c r="C111" s="261">
        <f>C107+7</f>
        <v/>
      </c>
      <c r="D111" s="260" t="s">
        <v>35</v>
      </c>
      <c r="E111" s="535" t="n">
        <v>10746</v>
      </c>
      <c r="F111" s="535" t="n">
        <v>3467</v>
      </c>
      <c r="G111" s="33">
        <f>(E111-E107)/E107</f>
        <v/>
      </c>
      <c r="H111" s="33">
        <f>(E111-F111)/F111</f>
        <v/>
      </c>
      <c r="I111" s="535">
        <f>636.33+73.9</f>
        <v/>
      </c>
      <c r="J111" s="536">
        <f>183.58+22.71</f>
        <v/>
      </c>
      <c r="K111" s="33">
        <f>(I111-I107)/I107</f>
        <v/>
      </c>
      <c r="L111" s="33">
        <f>(I111-J111)/J111</f>
        <v/>
      </c>
      <c r="M111" s="536">
        <f>E111/I111</f>
        <v/>
      </c>
      <c r="N111" s="536">
        <f>F111/J111</f>
        <v/>
      </c>
      <c r="O111" s="33">
        <f>(M111-M107)/M107</f>
        <v/>
      </c>
      <c r="P111" s="33">
        <f>(M111-N111)/N111</f>
        <v/>
      </c>
      <c r="Q111" s="537" t="n">
        <v>3977</v>
      </c>
      <c r="R111" s="537" t="n">
        <v>2620</v>
      </c>
      <c r="S111" s="33">
        <f>(Q111-Q107)/Q107</f>
        <v/>
      </c>
      <c r="T111" s="33">
        <f>(Q111-R111)/R111</f>
        <v/>
      </c>
      <c r="U111" s="537" t="n">
        <v>75</v>
      </c>
      <c r="V111" s="537" t="n">
        <v>34</v>
      </c>
      <c r="W111" s="33">
        <f>(U111-U107)/U107</f>
        <v/>
      </c>
      <c r="X111" s="33">
        <f>(U111-V111)/V111</f>
        <v/>
      </c>
      <c r="Y111" s="113">
        <f>U111/Q111</f>
        <v/>
      </c>
      <c r="Z111" s="113">
        <f>V111/R111</f>
        <v/>
      </c>
      <c r="AA111" s="33">
        <f>(Y111-Y107)/Y107</f>
        <v/>
      </c>
      <c r="AB111" s="33">
        <f>(Y111-Z111)/Z111</f>
        <v/>
      </c>
      <c r="AC111" s="529">
        <f>E111/U111</f>
        <v/>
      </c>
      <c r="AD111" s="534">
        <f>F111/V111</f>
        <v/>
      </c>
      <c r="AE111" s="33">
        <f>(AC111-AC107)/AC107</f>
        <v/>
      </c>
      <c r="AF111" s="33">
        <f>(AC111-AD111)/AD111</f>
        <v/>
      </c>
      <c r="AG111" s="537">
        <f>2838+133</f>
        <v/>
      </c>
      <c r="AH111" s="537">
        <f>1922+107</f>
        <v/>
      </c>
      <c r="AI111" s="33">
        <f>(AG111-AG107)/AG107</f>
        <v/>
      </c>
      <c r="AJ111" s="33">
        <f>(AG111-AH111)/AH111</f>
        <v/>
      </c>
      <c r="AK111" s="537">
        <f>9104+379</f>
        <v/>
      </c>
      <c r="AL111" s="537">
        <f>5034+270</f>
        <v/>
      </c>
      <c r="AM111" s="150">
        <f>(AK111-AK107)/AK107</f>
        <v/>
      </c>
      <c r="AN111" s="431">
        <f>(AK111-AL111)/AL111</f>
        <v/>
      </c>
      <c r="AO111" s="282">
        <f>AG111/AK111</f>
        <v/>
      </c>
      <c r="AP111" s="282">
        <f>AH111/AL111</f>
        <v/>
      </c>
      <c r="AQ111" s="33">
        <f>(AO111-AO107)/AO107</f>
        <v/>
      </c>
      <c r="AR111" s="33">
        <f>(AO111-AP111)/AP111</f>
        <v/>
      </c>
    </row>
    <row customHeight="1" ht="15.75" r="112" s="452" spans="1:45">
      <c r="A112" s="260" t="s">
        <v>46</v>
      </c>
      <c r="B112" s="260" t="s">
        <v>110</v>
      </c>
      <c r="C112" s="261">
        <f>C108+7</f>
        <v/>
      </c>
      <c r="D112" s="260" t="s">
        <v>36</v>
      </c>
      <c r="E112" s="535" t="n">
        <v>158</v>
      </c>
      <c r="F112" s="535" t="n">
        <v>593</v>
      </c>
      <c r="G112" s="33">
        <f>(E112-E108)/E108</f>
        <v/>
      </c>
      <c r="H112" s="33">
        <f>(E112-F112)/F112</f>
        <v/>
      </c>
      <c r="I112" s="535" t="n">
        <v>600.01</v>
      </c>
      <c r="J112" s="536">
        <f>1916.7+135.47</f>
        <v/>
      </c>
      <c r="K112" s="33">
        <f>(I112-I108)/I108</f>
        <v/>
      </c>
      <c r="L112" s="33">
        <f>(I112-J112)/J112</f>
        <v/>
      </c>
      <c r="M112" s="536">
        <f>E112/I112</f>
        <v/>
      </c>
      <c r="N112" s="536">
        <f>F112/J112</f>
        <v/>
      </c>
      <c r="O112" s="33">
        <f>(M112-M108)/M108</f>
        <v/>
      </c>
      <c r="P112" s="33">
        <f>(M112-N112)/N112</f>
        <v/>
      </c>
      <c r="Q112" s="537" t="n">
        <v>530</v>
      </c>
      <c r="R112" s="537" t="n">
        <v>2128</v>
      </c>
      <c r="S112" s="33">
        <f>(Q112-Q108)/Q108</f>
        <v/>
      </c>
      <c r="T112" s="33">
        <f>(Q112-R112)/R112</f>
        <v/>
      </c>
      <c r="U112" s="537" t="n">
        <v>2</v>
      </c>
      <c r="V112" s="537" t="n">
        <v>9</v>
      </c>
      <c r="W112" s="33">
        <f>(U112-U108)/U108</f>
        <v/>
      </c>
      <c r="X112" s="33">
        <f>(U112-V112)/V112</f>
        <v/>
      </c>
      <c r="Y112" s="113">
        <f>U112/Q112</f>
        <v/>
      </c>
      <c r="Z112" s="113">
        <f>V112/R112</f>
        <v/>
      </c>
      <c r="AA112" s="33">
        <f>(Y112-Y108)/Y108</f>
        <v/>
      </c>
      <c r="AB112" s="33">
        <f>(Y112-Z112)/Z112</f>
        <v/>
      </c>
      <c r="AC112" s="529">
        <f>E112/U112</f>
        <v/>
      </c>
      <c r="AD112" s="534">
        <f>F112/V112</f>
        <v/>
      </c>
      <c r="AE112" s="33">
        <f>(AC112-AC108)/AC108</f>
        <v/>
      </c>
      <c r="AF112" s="33">
        <f>(AC112-AD112)/AD112</f>
        <v/>
      </c>
      <c r="AG112" s="537" t="n">
        <v>395</v>
      </c>
      <c r="AH112" s="537">
        <f>1837+150</f>
        <v/>
      </c>
      <c r="AI112" s="33">
        <f>(AG112-AG108)/AG108</f>
        <v/>
      </c>
      <c r="AJ112" s="33">
        <f>(AG112-AH112)/AH112</f>
        <v/>
      </c>
      <c r="AK112" s="537" t="n">
        <v>6140</v>
      </c>
      <c r="AL112" s="537">
        <f>27033+2954</f>
        <v/>
      </c>
      <c r="AM112" s="150">
        <f>(AK112-AK108)/AK108</f>
        <v/>
      </c>
      <c r="AN112" s="431">
        <f>(AK112-AL112)/AL112</f>
        <v/>
      </c>
      <c r="AO112" s="282">
        <f>AG112/AK112</f>
        <v/>
      </c>
      <c r="AP112" s="282">
        <f>AH112/AL112</f>
        <v/>
      </c>
      <c r="AQ112" s="33">
        <f>(AO112-AO108)/AO108</f>
        <v/>
      </c>
      <c r="AR112" s="33">
        <f>(AO112-AP112)/AP112</f>
        <v/>
      </c>
    </row>
    <row customHeight="1" ht="15.75" r="113" s="452" spans="1:45">
      <c r="A113" s="260" t="s">
        <v>46</v>
      </c>
      <c r="B113" s="260" t="s">
        <v>110</v>
      </c>
      <c r="C113" s="261">
        <f>C109+7</f>
        <v/>
      </c>
      <c r="D113" s="260" t="s">
        <v>37</v>
      </c>
      <c r="E113" s="535" t="n">
        <v>506</v>
      </c>
      <c r="F113" s="535" t="n"/>
      <c r="G113" s="33">
        <f>(E113-E109)/E109</f>
        <v/>
      </c>
      <c r="H113" s="33">
        <f>(E113-F113)/F113</f>
        <v/>
      </c>
      <c r="I113" s="535" t="n">
        <v>1180</v>
      </c>
      <c r="J113" s="536" t="n"/>
      <c r="K113" s="33">
        <f>(I113-I109)/I109</f>
        <v/>
      </c>
      <c r="L113" s="33">
        <f>(I113-J113)/J113</f>
        <v/>
      </c>
      <c r="M113" s="536">
        <f>E113/I113</f>
        <v/>
      </c>
      <c r="N113" s="536" t="n"/>
      <c r="O113" s="33">
        <f>(M113-M109)/M109</f>
        <v/>
      </c>
      <c r="P113" s="33">
        <f>(M113-N113)/N113</f>
        <v/>
      </c>
      <c r="Q113" s="537" t="n">
        <v>1746</v>
      </c>
      <c r="R113" s="537" t="n"/>
      <c r="S113" s="33">
        <f>(Q113-Q109)/Q109</f>
        <v/>
      </c>
      <c r="T113" s="33">
        <f>(Q113-R113)/R113</f>
        <v/>
      </c>
      <c r="U113" s="537" t="n">
        <v>4</v>
      </c>
      <c r="V113" s="537" t="n"/>
      <c r="W113" s="33">
        <f>(U113-U109)/U109</f>
        <v/>
      </c>
      <c r="X113" s="33">
        <f>(U113-V113)/V113</f>
        <v/>
      </c>
      <c r="Y113" s="113">
        <f>U113/Q113</f>
        <v/>
      </c>
      <c r="Z113" s="113" t="n"/>
      <c r="AA113" s="33">
        <f>(Y113-Y109)/Y109</f>
        <v/>
      </c>
      <c r="AB113" s="33">
        <f>(Y113-Z113)/Z113</f>
        <v/>
      </c>
      <c r="AC113" s="529">
        <f>E113/U113</f>
        <v/>
      </c>
      <c r="AD113" s="534" t="n"/>
      <c r="AE113" s="33">
        <f>(AC113-AC109)/AC109</f>
        <v/>
      </c>
      <c r="AF113" s="33">
        <f>(AC113-AD113)/AD113</f>
        <v/>
      </c>
      <c r="AG113" s="537" t="n">
        <v>1738</v>
      </c>
      <c r="AH113" s="537" t="n"/>
      <c r="AI113" s="33">
        <f>(AG113-AG109)/AG109</f>
        <v/>
      </c>
      <c r="AJ113" s="33">
        <f>(AG113-AH113)/AH113</f>
        <v/>
      </c>
      <c r="AK113" s="537" t="n">
        <v>108884</v>
      </c>
      <c r="AL113" s="537" t="n"/>
      <c r="AM113" s="150">
        <f>(AK113-AK109)/AK109</f>
        <v/>
      </c>
      <c r="AN113" s="431">
        <f>(AK113-AL113)/AL113</f>
        <v/>
      </c>
      <c r="AO113" s="282">
        <f>AG113/AK113</f>
        <v/>
      </c>
      <c r="AP113" s="282" t="n"/>
      <c r="AQ113" s="33">
        <f>(AO113-AO109)/AO109</f>
        <v/>
      </c>
      <c r="AR113" s="33">
        <f>(AO113-AP113)/AP113</f>
        <v/>
      </c>
    </row>
    <row customFormat="1" customHeight="1" ht="15.75" r="114" s="108" spans="1:45">
      <c r="A114" s="272" t="s">
        <v>47</v>
      </c>
      <c r="B114" s="272" t="s">
        <v>111</v>
      </c>
      <c r="C114" s="273">
        <f>C110+7</f>
        <v/>
      </c>
      <c r="D114" s="274" t="s">
        <v>60</v>
      </c>
      <c r="E114" s="541">
        <f>SUM(E115:E117)</f>
        <v/>
      </c>
      <c r="F114" s="541">
        <f>SUM(F115:F117)</f>
        <v/>
      </c>
      <c r="G114" s="116">
        <f>(E114-E110)/E110</f>
        <v/>
      </c>
      <c r="H114" s="116">
        <f>(E114-F114)/F114</f>
        <v/>
      </c>
      <c r="I114" s="541">
        <f>SUM(I115:I117)</f>
        <v/>
      </c>
      <c r="J114" s="541">
        <f>SUM(J115:J117)</f>
        <v/>
      </c>
      <c r="K114" s="116">
        <f>(I114-I110)/I110</f>
        <v/>
      </c>
      <c r="L114" s="116">
        <f>(I114-J114)/J114</f>
        <v/>
      </c>
      <c r="M114" s="542">
        <f>E114/I114</f>
        <v/>
      </c>
      <c r="N114" s="542">
        <f>F114/J114</f>
        <v/>
      </c>
      <c r="O114" s="116">
        <f>(M114-M110)/M110</f>
        <v/>
      </c>
      <c r="P114" s="116">
        <f>(M114-N114)/N114</f>
        <v/>
      </c>
      <c r="Q114" s="543">
        <f>SUM(Q115:Q117)</f>
        <v/>
      </c>
      <c r="R114" s="543">
        <f>SUM(R115:R117)</f>
        <v/>
      </c>
      <c r="S114" s="116">
        <f>(Q114-Q110)/Q110</f>
        <v/>
      </c>
      <c r="T114" s="116">
        <f>(Q114-R114)/R114</f>
        <v/>
      </c>
      <c r="U114" s="543">
        <f>SUM(U115:U117)</f>
        <v/>
      </c>
      <c r="V114" s="543">
        <f>SUM(V115:V117)</f>
        <v/>
      </c>
      <c r="W114" s="116">
        <f>(U114-U110)/U110</f>
        <v/>
      </c>
      <c r="X114" s="116">
        <f>(U114-V114)/V114</f>
        <v/>
      </c>
      <c r="Y114" s="119">
        <f>U114/Q114</f>
        <v/>
      </c>
      <c r="Z114" s="119">
        <f>V114/R114</f>
        <v/>
      </c>
      <c r="AA114" s="116">
        <f>(Y114-Y110)/Y110</f>
        <v/>
      </c>
      <c r="AB114" s="116">
        <f>(Y114-Z114)/Z114</f>
        <v/>
      </c>
      <c r="AC114" s="544">
        <f>E114/U114</f>
        <v/>
      </c>
      <c r="AD114" s="545">
        <f>F114/V114</f>
        <v/>
      </c>
      <c r="AE114" s="116">
        <f>(AC114-AC110)/AC110</f>
        <v/>
      </c>
      <c r="AF114" s="116">
        <f>(AC114-AD114)/AD114</f>
        <v/>
      </c>
      <c r="AG114" s="543">
        <f>SUM(AG115:AG117)</f>
        <v/>
      </c>
      <c r="AH114" s="543">
        <f>SUM(AH115:AH117)</f>
        <v/>
      </c>
      <c r="AI114" s="116">
        <f>(AG114-AG110)/AG110</f>
        <v/>
      </c>
      <c r="AJ114" s="116">
        <f>(AG114-AH114)/AH114</f>
        <v/>
      </c>
      <c r="AK114" s="543">
        <f>SUM(AK115:AK117)</f>
        <v/>
      </c>
      <c r="AL114" s="543">
        <f>SUM(AL115:AL117)</f>
        <v/>
      </c>
      <c r="AM114" s="276">
        <f>(AK114-AK110)/AK110</f>
        <v/>
      </c>
      <c r="AN114" s="277">
        <f>(AK114-AL114)/AL114</f>
        <v/>
      </c>
      <c r="AO114" s="116">
        <f>AG114/AK114</f>
        <v/>
      </c>
      <c r="AP114" s="116">
        <f>AH114/AL114</f>
        <v/>
      </c>
      <c r="AQ114" s="116">
        <f>(AO114-AO110)/AO110</f>
        <v/>
      </c>
      <c r="AR114" s="116">
        <f>(AO114-AP114)/AP114</f>
        <v/>
      </c>
      <c r="AS114" s="108" t="n"/>
    </row>
    <row customHeight="1" ht="15.75" r="115" s="452" spans="1:45">
      <c r="A115" s="260" t="s">
        <v>47</v>
      </c>
      <c r="B115" s="260" t="s">
        <v>111</v>
      </c>
      <c r="C115" s="261">
        <f>C111+7</f>
        <v/>
      </c>
      <c r="D115" s="260" t="s">
        <v>35</v>
      </c>
      <c r="E115" s="535" t="n">
        <v>14584</v>
      </c>
      <c r="F115" s="535" t="n">
        <v>7107</v>
      </c>
      <c r="G115" s="33">
        <f>(E115-E111)/E111</f>
        <v/>
      </c>
      <c r="H115" s="33">
        <f>(E115-F115)/F115</f>
        <v/>
      </c>
      <c r="I115" s="535">
        <f>566.93+101.85</f>
        <v/>
      </c>
      <c r="J115" s="536">
        <f>275.8+29.1</f>
        <v/>
      </c>
      <c r="K115" s="33">
        <f>(I115-I111)/I111</f>
        <v/>
      </c>
      <c r="L115" s="33">
        <f>(I115-J115)/J115</f>
        <v/>
      </c>
      <c r="M115" s="536">
        <f>E115/I115</f>
        <v/>
      </c>
      <c r="N115" s="536">
        <f>F115/J115</f>
        <v/>
      </c>
      <c r="O115" s="33">
        <f>(M115-M111)/M111</f>
        <v/>
      </c>
      <c r="P115" s="33">
        <f>(M115-N115)/N115</f>
        <v/>
      </c>
      <c r="Q115" s="537" t="n">
        <v>4291</v>
      </c>
      <c r="R115" s="537" t="n">
        <v>3498</v>
      </c>
      <c r="S115" s="33">
        <f>(Q115-Q111)/Q111</f>
        <v/>
      </c>
      <c r="T115" s="33">
        <f>(Q115-R115)/R115</f>
        <v/>
      </c>
      <c r="U115" s="537" t="n">
        <v>116</v>
      </c>
      <c r="V115" s="537" t="n">
        <v>57</v>
      </c>
      <c r="W115" s="33">
        <f>(U115-U111)/U111</f>
        <v/>
      </c>
      <c r="X115" s="33">
        <f>(U115-V115)/V115</f>
        <v/>
      </c>
      <c r="Y115" s="113">
        <f>U115/Q115</f>
        <v/>
      </c>
      <c r="Z115" s="113">
        <f>V115/R115</f>
        <v/>
      </c>
      <c r="AA115" s="33">
        <f>(Y115-Y111)/Y111</f>
        <v/>
      </c>
      <c r="AB115" s="33">
        <f>(Y115-Z115)/Z115</f>
        <v/>
      </c>
      <c r="AC115" s="529">
        <f>E115/U115</f>
        <v/>
      </c>
      <c r="AD115" s="534">
        <f>F115/V115</f>
        <v/>
      </c>
      <c r="AE115" s="33">
        <f>(AC115-AC111)/AC111</f>
        <v/>
      </c>
      <c r="AF115" s="33">
        <f>(AC115-AD115)/AD115</f>
        <v/>
      </c>
      <c r="AG115" s="537">
        <f>3021+155</f>
        <v/>
      </c>
      <c r="AH115" s="537">
        <f>2815+185</f>
        <v/>
      </c>
      <c r="AI115" s="33">
        <f>(AG115-AG111)/AG111</f>
        <v/>
      </c>
      <c r="AJ115" s="33">
        <f>(AG115-AH115)/AH115</f>
        <v/>
      </c>
      <c r="AK115" s="537">
        <f>17127+403</f>
        <v/>
      </c>
      <c r="AL115" s="537">
        <f>6747+363</f>
        <v/>
      </c>
      <c r="AM115" s="150">
        <f>(AK115-AK111)/AK111</f>
        <v/>
      </c>
      <c r="AN115" s="431">
        <f>(AK115-AL115)/AL115</f>
        <v/>
      </c>
      <c r="AO115" s="282">
        <f>AG115/AK115</f>
        <v/>
      </c>
      <c r="AP115" s="282">
        <f>AH115/AL115</f>
        <v/>
      </c>
      <c r="AQ115" s="33">
        <f>(AO115-AO111)/AO111</f>
        <v/>
      </c>
      <c r="AR115" s="33">
        <f>(AO115-AP115)/AP115</f>
        <v/>
      </c>
    </row>
    <row customHeight="1" ht="15.75" r="116" s="452" spans="1:45">
      <c r="A116" s="260" t="s">
        <v>47</v>
      </c>
      <c r="B116" s="260" t="s">
        <v>111</v>
      </c>
      <c r="C116" s="261">
        <f>C112+7</f>
        <v/>
      </c>
      <c r="D116" s="260" t="s">
        <v>36</v>
      </c>
      <c r="E116" s="535" t="n">
        <v>265</v>
      </c>
      <c r="F116" s="535" t="n">
        <v>678</v>
      </c>
      <c r="G116" s="33">
        <f>(E116-E112)/E112</f>
        <v/>
      </c>
      <c r="H116" s="33">
        <f>(E116-F116)/F116</f>
        <v/>
      </c>
      <c r="I116" s="535" t="n">
        <v>631.85</v>
      </c>
      <c r="J116" s="536">
        <f>1898.84+137.29</f>
        <v/>
      </c>
      <c r="K116" s="33">
        <f>(I116-I112)/I112</f>
        <v/>
      </c>
      <c r="L116" s="33">
        <f>(I116-J116)/J116</f>
        <v/>
      </c>
      <c r="M116" s="536">
        <f>E116/I116</f>
        <v/>
      </c>
      <c r="N116" s="536">
        <f>F116/J116</f>
        <v/>
      </c>
      <c r="O116" s="33">
        <f>(M116-M112)/M112</f>
        <v/>
      </c>
      <c r="P116" s="33">
        <f>(M116-N116)/N116</f>
        <v/>
      </c>
      <c r="Q116" s="537" t="n">
        <v>539</v>
      </c>
      <c r="R116" s="537" t="n">
        <v>2250</v>
      </c>
      <c r="S116" s="33">
        <f>(Q116-Q112)/Q112</f>
        <v/>
      </c>
      <c r="T116" s="33">
        <f>(Q116-R116)/R116</f>
        <v/>
      </c>
      <c r="U116" s="537" t="n">
        <v>4</v>
      </c>
      <c r="V116" s="537" t="n">
        <v>10</v>
      </c>
      <c r="W116" s="33">
        <f>(U116-U112)/U112</f>
        <v/>
      </c>
      <c r="X116" s="33">
        <f>(U116-V116)/V116</f>
        <v/>
      </c>
      <c r="Y116" s="113">
        <f>U116/Q116</f>
        <v/>
      </c>
      <c r="Z116" s="113">
        <f>V116/R116</f>
        <v/>
      </c>
      <c r="AA116" s="33">
        <f>(Y116-Y112)/Y112</f>
        <v/>
      </c>
      <c r="AB116" s="33">
        <f>(Y116-Z116)/Z116</f>
        <v/>
      </c>
      <c r="AC116" s="529">
        <f>E116/U116</f>
        <v/>
      </c>
      <c r="AD116" s="534">
        <f>F116/V116</f>
        <v/>
      </c>
      <c r="AE116" s="33">
        <f>(AC116-AC112)/AC112</f>
        <v/>
      </c>
      <c r="AF116" s="33">
        <f>(AC116-AD116)/AD116</f>
        <v/>
      </c>
      <c r="AG116" s="537" t="n">
        <v>434</v>
      </c>
      <c r="AH116" s="537">
        <f>1909+149</f>
        <v/>
      </c>
      <c r="AI116" s="33">
        <f>(AG116-AG112)/AG112</f>
        <v/>
      </c>
      <c r="AJ116" s="33">
        <f>(AG116-AH116)/AH116</f>
        <v/>
      </c>
      <c r="AK116" s="537" t="n">
        <v>7476</v>
      </c>
      <c r="AL116" s="537">
        <f>27193+2709</f>
        <v/>
      </c>
      <c r="AM116" s="150">
        <f>(AK116-AK112)/AK112</f>
        <v/>
      </c>
      <c r="AN116" s="431">
        <f>(AK116-AL116)/AL116</f>
        <v/>
      </c>
      <c r="AO116" s="282">
        <f>AG116/AK116</f>
        <v/>
      </c>
      <c r="AP116" s="282">
        <f>AH116/AL116</f>
        <v/>
      </c>
      <c r="AQ116" s="33">
        <f>(AO116-AO112)/AO112</f>
        <v/>
      </c>
      <c r="AR116" s="33">
        <f>(AO116-AP116)/AP116</f>
        <v/>
      </c>
    </row>
    <row customHeight="1" ht="15.75" r="117" s="452" spans="1:45">
      <c r="A117" s="260" t="s">
        <v>47</v>
      </c>
      <c r="B117" s="260" t="s">
        <v>111</v>
      </c>
      <c r="C117" s="261">
        <f>C113+7</f>
        <v/>
      </c>
      <c r="D117" s="260" t="s">
        <v>37</v>
      </c>
      <c r="E117" s="535" t="n">
        <v>749</v>
      </c>
      <c r="F117" s="535" t="n"/>
      <c r="G117" s="33">
        <f>(E117-E113)/E113</f>
        <v/>
      </c>
      <c r="H117" s="33">
        <f>(E117-F117)/F117</f>
        <v/>
      </c>
      <c r="I117" s="535" t="n">
        <v>1287</v>
      </c>
      <c r="J117" s="536" t="n"/>
      <c r="K117" s="33">
        <f>(I117-I113)/I113</f>
        <v/>
      </c>
      <c r="L117" s="33">
        <f>(I117-J117)/J117</f>
        <v/>
      </c>
      <c r="M117" s="536">
        <f>E117/I117</f>
        <v/>
      </c>
      <c r="N117" s="536" t="n"/>
      <c r="O117" s="33">
        <f>(M117-M113)/M113</f>
        <v/>
      </c>
      <c r="P117" s="33">
        <f>(M117-N117)/N117</f>
        <v/>
      </c>
      <c r="Q117" s="537" t="n">
        <v>2055</v>
      </c>
      <c r="R117" s="537" t="n"/>
      <c r="S117" s="33">
        <f>(Q117-Q113)/Q113</f>
        <v/>
      </c>
      <c r="T117" s="33">
        <f>(Q117-R117)/R117</f>
        <v/>
      </c>
      <c r="U117" s="537" t="n">
        <v>8</v>
      </c>
      <c r="V117" s="537" t="n"/>
      <c r="W117" s="33">
        <f>(U117-U113)/U113</f>
        <v/>
      </c>
      <c r="X117" s="33">
        <f>(U117-V117)/V117</f>
        <v/>
      </c>
      <c r="Y117" s="113">
        <f>U117/Q117</f>
        <v/>
      </c>
      <c r="Z117" s="113" t="n"/>
      <c r="AA117" s="33">
        <f>(Y117-Y113)/Y113</f>
        <v/>
      </c>
      <c r="AB117" s="33">
        <f>(Y117-Z117)/Z117</f>
        <v/>
      </c>
      <c r="AC117" s="529">
        <f>E117/U117</f>
        <v/>
      </c>
      <c r="AD117" s="534" t="n"/>
      <c r="AE117" s="33">
        <f>(AC117-AC113)/AC113</f>
        <v/>
      </c>
      <c r="AF117" s="33">
        <f>(AC117-AD117)/AD117</f>
        <v/>
      </c>
      <c r="AG117" s="537" t="n">
        <v>2067</v>
      </c>
      <c r="AH117" s="537" t="n"/>
      <c r="AI117" s="33">
        <f>(AG117-AG113)/AG113</f>
        <v/>
      </c>
      <c r="AJ117" s="33">
        <f>(AG117-AH117)/AH117</f>
        <v/>
      </c>
      <c r="AK117" s="537" t="n">
        <v>131282</v>
      </c>
      <c r="AL117" s="537" t="n"/>
      <c r="AM117" s="150">
        <f>(AK117-AK113)/AK113</f>
        <v/>
      </c>
      <c r="AN117" s="431">
        <f>(AK117-AL117)/AL117</f>
        <v/>
      </c>
      <c r="AO117" s="282">
        <f>AG117/AK117</f>
        <v/>
      </c>
      <c r="AP117" s="282" t="n"/>
      <c r="AQ117" s="33">
        <f>(AO117-AO113)/AO113</f>
        <v/>
      </c>
      <c r="AR117" s="33">
        <f>(AO117-AP117)/AP117</f>
        <v/>
      </c>
    </row>
    <row customHeight="1" ht="15.75" r="118" s="452" spans="1:45">
      <c r="A118" s="29" t="s">
        <v>47</v>
      </c>
      <c r="B118" s="29" t="s">
        <v>112</v>
      </c>
      <c r="C118" s="30">
        <f>C114+7</f>
        <v/>
      </c>
      <c r="D118" s="31" t="s">
        <v>60</v>
      </c>
      <c r="E118" s="531">
        <f>SUM(E119:E121)</f>
        <v/>
      </c>
      <c r="F118" s="531">
        <f>SUM(F119:F121)</f>
        <v/>
      </c>
      <c r="G118" s="33">
        <f>(E118-E114)/E114</f>
        <v/>
      </c>
      <c r="H118" s="33">
        <f>(E118-F118)/F118</f>
        <v/>
      </c>
      <c r="I118" s="531">
        <f>SUM(I119:I121)</f>
        <v/>
      </c>
      <c r="J118" s="531">
        <f>SUM(J119:J121)</f>
        <v/>
      </c>
      <c r="K118" s="33">
        <f>(I118-I114)/I114</f>
        <v/>
      </c>
      <c r="L118" s="33">
        <f>(I118-J118)/J118</f>
        <v/>
      </c>
      <c r="M118" s="532">
        <f>E118/I118</f>
        <v/>
      </c>
      <c r="N118" s="532">
        <f>F118/J118</f>
        <v/>
      </c>
      <c r="O118" s="33">
        <f>(M118-M114)/M114</f>
        <v/>
      </c>
      <c r="P118" s="33">
        <f>(M118-N118)/N118</f>
        <v/>
      </c>
      <c r="Q118" s="533">
        <f>SUM(Q119:Q121)</f>
        <v/>
      </c>
      <c r="R118" s="533">
        <f>SUM(R119:R121)</f>
        <v/>
      </c>
      <c r="S118" s="33">
        <f>(Q118-Q114)/Q114</f>
        <v/>
      </c>
      <c r="T118" s="33">
        <f>(Q118-R118)/R118</f>
        <v/>
      </c>
      <c r="U118" s="533">
        <f>SUM(U119:U121)</f>
        <v/>
      </c>
      <c r="V118" s="533">
        <f>SUM(V119:V121)</f>
        <v/>
      </c>
      <c r="W118" s="33">
        <f>(U118-U114)/U114</f>
        <v/>
      </c>
      <c r="X118" s="33">
        <f>(U118-V118)/V118</f>
        <v/>
      </c>
      <c r="Y118" s="88">
        <f>U118/Q118</f>
        <v/>
      </c>
      <c r="Z118" s="88">
        <f>V118/R118</f>
        <v/>
      </c>
      <c r="AA118" s="33">
        <f>(Y118-Y114)/Y114</f>
        <v/>
      </c>
      <c r="AB118" s="33">
        <f>(Y118-Z118)/Z118</f>
        <v/>
      </c>
      <c r="AC118" s="540">
        <f>E118/U118</f>
        <v/>
      </c>
      <c r="AD118" s="534">
        <f>F118/V118</f>
        <v/>
      </c>
      <c r="AE118" s="33">
        <f>(AC118-AC114)/AC114</f>
        <v/>
      </c>
      <c r="AF118" s="33">
        <f>(AC118-AD118)/AD118</f>
        <v/>
      </c>
      <c r="AG118" s="533">
        <f>SUM(AG119:AG121)</f>
        <v/>
      </c>
      <c r="AH118" s="533">
        <f>SUM(AH119:AH121)</f>
        <v/>
      </c>
      <c r="AI118" s="33">
        <f>(AG118-AG114)/AG114</f>
        <v/>
      </c>
      <c r="AJ118" s="33">
        <f>(AG118-AH118)/AH118</f>
        <v/>
      </c>
      <c r="AK118" s="533">
        <f>SUM(AK119:AK121)</f>
        <v/>
      </c>
      <c r="AL118" s="533">
        <f>SUM(AL119:AL121)</f>
        <v/>
      </c>
      <c r="AM118" s="150">
        <f>(AK118-AK114)/AK114</f>
        <v/>
      </c>
      <c r="AN118" s="431">
        <f>(AK118-AL118)/AL118</f>
        <v/>
      </c>
      <c r="AO118" s="33">
        <f>AG118/AK118</f>
        <v/>
      </c>
      <c r="AP118" s="33">
        <f>AH118/AL118</f>
        <v/>
      </c>
      <c r="AQ118" s="33">
        <f>(AO118-AO114)/AO114</f>
        <v/>
      </c>
      <c r="AR118" s="33">
        <f>(AO118-AP118)/AP118</f>
        <v/>
      </c>
      <c r="AS118" t="s">
        <v>113</v>
      </c>
    </row>
    <row customHeight="1" ht="15.75" r="119" s="452" spans="1:45">
      <c r="A119" s="260" t="s">
        <v>47</v>
      </c>
      <c r="B119" s="260" t="s">
        <v>112</v>
      </c>
      <c r="C119" s="261">
        <f>C115+7</f>
        <v/>
      </c>
      <c r="D119" s="260" t="s">
        <v>35</v>
      </c>
      <c r="E119" s="535" t="n">
        <v>19223</v>
      </c>
      <c r="F119" s="535" t="n">
        <v>7525</v>
      </c>
      <c r="G119" s="33">
        <f>(E119-E115)/E115</f>
        <v/>
      </c>
      <c r="H119" s="33">
        <f>(E119-F119)/F119</f>
        <v/>
      </c>
      <c r="I119" s="535">
        <f>779.69+132.7</f>
        <v/>
      </c>
      <c r="J119" s="536">
        <f>278.79+34.04</f>
        <v/>
      </c>
      <c r="K119" s="33">
        <f>(I119-I115)/I115</f>
        <v/>
      </c>
      <c r="L119" s="33">
        <f>(I119-J119)/J119</f>
        <v/>
      </c>
      <c r="M119" s="536">
        <f>E119/I119</f>
        <v/>
      </c>
      <c r="N119" s="536">
        <f>F119/J119</f>
        <v/>
      </c>
      <c r="O119" s="33">
        <f>(M119-M115)/M115</f>
        <v/>
      </c>
      <c r="P119" s="33">
        <f>(M119-N119)/N119</f>
        <v/>
      </c>
      <c r="Q119" s="537" t="n">
        <v>5428</v>
      </c>
      <c r="R119" s="537" t="n">
        <v>4240</v>
      </c>
      <c r="S119" s="33">
        <f>(Q119-Q115)/Q115</f>
        <v/>
      </c>
      <c r="T119" s="33">
        <f>(Q119-R119)/R119</f>
        <v/>
      </c>
      <c r="U119" s="537" t="n">
        <v>140</v>
      </c>
      <c r="V119" s="537" t="n">
        <v>75</v>
      </c>
      <c r="W119" s="33">
        <f>(U119-U115)/U115</f>
        <v/>
      </c>
      <c r="X119" s="33">
        <f>(U119-V119)/V119</f>
        <v/>
      </c>
      <c r="Y119" s="113">
        <f>U119/Q119</f>
        <v/>
      </c>
      <c r="Z119" s="113">
        <f>V119/R119</f>
        <v/>
      </c>
      <c r="AA119" s="33">
        <f>(Y119-Y115)/Y115</f>
        <v/>
      </c>
      <c r="AB119" s="33">
        <f>(Y119-Z119)/Z119</f>
        <v/>
      </c>
      <c r="AC119" s="529">
        <f>E119/U119</f>
        <v/>
      </c>
      <c r="AD119" s="546">
        <f>F119/V119</f>
        <v/>
      </c>
      <c r="AE119" s="33">
        <f>(AC119-AC115)/AC115</f>
        <v/>
      </c>
      <c r="AF119" s="33">
        <f>(AC119-AD119)/AD119</f>
        <v/>
      </c>
      <c r="AG119" s="537">
        <f>3858+198</f>
        <v/>
      </c>
      <c r="AH119" s="537">
        <f>3328+214</f>
        <v/>
      </c>
      <c r="AI119" s="33">
        <f>(AG119-AG115)/AG115</f>
        <v/>
      </c>
      <c r="AJ119" s="33">
        <f>(AG119-AH119)/AH119</f>
        <v/>
      </c>
      <c r="AK119" s="537">
        <f>11337+487</f>
        <v/>
      </c>
      <c r="AL119" s="537">
        <f>7385+429</f>
        <v/>
      </c>
      <c r="AM119" s="150">
        <f>(AK119-AK115)/AK115</f>
        <v/>
      </c>
      <c r="AN119" s="431">
        <f>(AK119-AL119)/AL119</f>
        <v/>
      </c>
      <c r="AO119" s="282">
        <f>AG119/AK119</f>
        <v/>
      </c>
      <c r="AP119" s="282">
        <f>AH119/AL119</f>
        <v/>
      </c>
      <c r="AQ119" s="33">
        <f>(AO119-AO115)/AO115</f>
        <v/>
      </c>
      <c r="AR119" s="33">
        <f>(AO119-AP119)/AP119</f>
        <v/>
      </c>
    </row>
    <row customHeight="1" ht="15.75" r="120" s="452" spans="1:45">
      <c r="A120" s="260" t="s">
        <v>47</v>
      </c>
      <c r="B120" s="260" t="s">
        <v>112</v>
      </c>
      <c r="C120" s="261">
        <f>C116+7</f>
        <v/>
      </c>
      <c r="D120" s="260" t="s">
        <v>36</v>
      </c>
      <c r="E120" s="535" t="n">
        <v>788</v>
      </c>
      <c r="F120" s="535" t="n">
        <v>493</v>
      </c>
      <c r="G120" s="33">
        <f>(E120-E116)/E116</f>
        <v/>
      </c>
      <c r="H120" s="33">
        <f>(E120-F120)/F120</f>
        <v/>
      </c>
      <c r="I120" s="535" t="n">
        <v>665.36</v>
      </c>
      <c r="J120" s="536">
        <f>1610.26+152.88</f>
        <v/>
      </c>
      <c r="K120" s="33">
        <f>(I120-I116)/I116</f>
        <v/>
      </c>
      <c r="L120" s="33">
        <f>(I120-J120)/J120</f>
        <v/>
      </c>
      <c r="M120" s="536">
        <f>E120/I120</f>
        <v/>
      </c>
      <c r="N120" s="536">
        <f>F120/J120</f>
        <v/>
      </c>
      <c r="O120" s="33">
        <f>(M120-M116)/M116</f>
        <v/>
      </c>
      <c r="P120" s="33">
        <f>(M120-N120)/N120</f>
        <v/>
      </c>
      <c r="Q120" s="537" t="n">
        <v>514</v>
      </c>
      <c r="R120" s="537" t="n">
        <v>2083</v>
      </c>
      <c r="S120" s="33">
        <f>(Q120-Q116)/Q116</f>
        <v/>
      </c>
      <c r="T120" s="33">
        <f>(Q120-R120)/R120</f>
        <v/>
      </c>
      <c r="U120" s="537" t="n">
        <v>6</v>
      </c>
      <c r="V120" s="537" t="n">
        <v>7</v>
      </c>
      <c r="W120" s="33">
        <f>(U120-U116)/U116</f>
        <v/>
      </c>
      <c r="X120" s="33">
        <f>(U120-V120)/V120</f>
        <v/>
      </c>
      <c r="Y120" s="113">
        <f>U120/Q120</f>
        <v/>
      </c>
      <c r="Z120" s="113">
        <f>V120/R120</f>
        <v/>
      </c>
      <c r="AA120" s="33">
        <f>(Y120-Y116)/Y116</f>
        <v/>
      </c>
      <c r="AB120" s="33">
        <f>(Y120-Z120)/Z120</f>
        <v/>
      </c>
      <c r="AC120" s="529">
        <f>E120/U120</f>
        <v/>
      </c>
      <c r="AD120" s="546">
        <f>F120/V120</f>
        <v/>
      </c>
      <c r="AE120" s="33">
        <f>(AC120-AC116)/AC116</f>
        <v/>
      </c>
      <c r="AF120" s="33">
        <f>(AC120-AD120)/AD120</f>
        <v/>
      </c>
      <c r="AG120" s="537" t="n">
        <v>432</v>
      </c>
      <c r="AH120" s="537">
        <f>1709+158</f>
        <v/>
      </c>
      <c r="AI120" s="33">
        <f>(AG120-AG116)/AG116</f>
        <v/>
      </c>
      <c r="AJ120" s="33">
        <f>(AG120-AH120)/AH120</f>
        <v/>
      </c>
      <c r="AK120" s="537" t="n">
        <v>6564</v>
      </c>
      <c r="AL120" s="537">
        <f>22432+2515</f>
        <v/>
      </c>
      <c r="AM120" s="150">
        <f>(AK120-AK116)/AK116</f>
        <v/>
      </c>
      <c r="AN120" s="431">
        <f>(AK120-AL120)/AL120</f>
        <v/>
      </c>
      <c r="AO120" s="282">
        <f>AG120/AK120</f>
        <v/>
      </c>
      <c r="AP120" s="282">
        <f>AH120/AL120</f>
        <v/>
      </c>
      <c r="AQ120" s="33">
        <f>(AO120-AO116)/AO116</f>
        <v/>
      </c>
      <c r="AR120" s="33">
        <f>(AO120-AP120)/AP120</f>
        <v/>
      </c>
    </row>
    <row customHeight="1" ht="15.75" r="121" s="452" spans="1:45">
      <c r="A121" s="260" t="s">
        <v>47</v>
      </c>
      <c r="B121" s="260" t="s">
        <v>112</v>
      </c>
      <c r="C121" s="261">
        <f>C117+7</f>
        <v/>
      </c>
      <c r="D121" s="260" t="s">
        <v>37</v>
      </c>
      <c r="E121" s="535" t="n">
        <v>510</v>
      </c>
      <c r="F121" s="535" t="n"/>
      <c r="G121" s="33">
        <f>(E121-E117)/E117</f>
        <v/>
      </c>
      <c r="H121" s="33">
        <f>(E121-F121)/F121</f>
        <v/>
      </c>
      <c r="I121" s="535" t="n">
        <v>1703</v>
      </c>
      <c r="J121" s="536" t="n"/>
      <c r="K121" s="33">
        <f>(I121-I117)/I117</f>
        <v/>
      </c>
      <c r="L121" s="33">
        <f>(I121-J121)/J121</f>
        <v/>
      </c>
      <c r="M121" s="536">
        <f>E121/I121</f>
        <v/>
      </c>
      <c r="N121" s="536" t="n"/>
      <c r="O121" s="33">
        <f>(M121-M117)/M117</f>
        <v/>
      </c>
      <c r="P121" s="33">
        <f>(M121-N121)/N121</f>
        <v/>
      </c>
      <c r="Q121" s="537" t="n">
        <v>2775</v>
      </c>
      <c r="R121" s="537" t="n"/>
      <c r="S121" s="33">
        <f>(Q121-Q117)/Q117</f>
        <v/>
      </c>
      <c r="T121" s="33">
        <f>(Q121-R121)/R121</f>
        <v/>
      </c>
      <c r="U121" s="537" t="n">
        <v>7</v>
      </c>
      <c r="V121" s="537" t="n"/>
      <c r="W121" s="33">
        <f>(U121-U117)/U117</f>
        <v/>
      </c>
      <c r="X121" s="33">
        <f>(U121-V121)/V121</f>
        <v/>
      </c>
      <c r="Y121" s="113">
        <f>U121/Q121</f>
        <v/>
      </c>
      <c r="Z121" s="113" t="n"/>
      <c r="AA121" s="33">
        <f>(Y121-Y117)/Y117</f>
        <v/>
      </c>
      <c r="AB121" s="33">
        <f>(Y121-Z121)/Z121</f>
        <v/>
      </c>
      <c r="AC121" s="529">
        <f>E121/U121</f>
        <v/>
      </c>
      <c r="AD121" s="546" t="n"/>
      <c r="AE121" s="33">
        <f>(AC121-AC117)/AC117</f>
        <v/>
      </c>
      <c r="AF121" s="33">
        <f>(AC121-AD121)/AD121</f>
        <v/>
      </c>
      <c r="AG121" s="537" t="n">
        <v>2948</v>
      </c>
      <c r="AH121" s="537" t="n"/>
      <c r="AI121" s="33">
        <f>(AG121-AG117)/AG117</f>
        <v/>
      </c>
      <c r="AJ121" s="33">
        <f>(AG121-AH121)/AH121</f>
        <v/>
      </c>
      <c r="AK121" s="537" t="n">
        <v>173304</v>
      </c>
      <c r="AL121" s="537" t="n"/>
      <c r="AM121" s="150">
        <f>(AK121-AK117)/AK117</f>
        <v/>
      </c>
      <c r="AN121" s="431">
        <f>(AK121-AL121)/AL121</f>
        <v/>
      </c>
      <c r="AO121" s="282">
        <f>AG121/AK121</f>
        <v/>
      </c>
      <c r="AP121" s="282" t="n"/>
      <c r="AQ121" s="33">
        <f>(AO121-AO117)/AO117</f>
        <v/>
      </c>
      <c r="AR121" s="33">
        <f>(AO121-AP121)/AP121</f>
        <v/>
      </c>
    </row>
    <row customHeight="1" ht="15.75" r="122" s="452" spans="1:45">
      <c r="A122" s="29" t="s">
        <v>47</v>
      </c>
      <c r="B122" s="29" t="s">
        <v>114</v>
      </c>
      <c r="C122" s="30">
        <f>C118+7</f>
        <v/>
      </c>
      <c r="D122" s="31" t="s">
        <v>60</v>
      </c>
      <c r="E122" s="531">
        <f>SUM(E123:E125)</f>
        <v/>
      </c>
      <c r="F122" s="531">
        <f>SUM(F123:F125)</f>
        <v/>
      </c>
      <c r="G122" s="33">
        <f>(E122-E118)/E118</f>
        <v/>
      </c>
      <c r="H122" s="33">
        <f>(E122-F122)/F122</f>
        <v/>
      </c>
      <c r="I122" s="531">
        <f>SUM(I123:I125)</f>
        <v/>
      </c>
      <c r="J122" s="531">
        <f>SUM(J123:J125)</f>
        <v/>
      </c>
      <c r="K122" s="33">
        <f>(I122-I118)/I118</f>
        <v/>
      </c>
      <c r="L122" s="33">
        <f>(I122-J122)/J122</f>
        <v/>
      </c>
      <c r="M122" s="532">
        <f>E122/I122</f>
        <v/>
      </c>
      <c r="N122" s="532">
        <f>F122/J122</f>
        <v/>
      </c>
      <c r="O122" s="33">
        <f>(M122-M118)/M118</f>
        <v/>
      </c>
      <c r="P122" s="33">
        <f>(M122-N122)/N122</f>
        <v/>
      </c>
      <c r="Q122" s="533">
        <f>SUM(Q123:Q125)</f>
        <v/>
      </c>
      <c r="R122" s="533">
        <f>SUM(R123:R125)</f>
        <v/>
      </c>
      <c r="S122" s="33">
        <f>(Q122-Q118)/Q118</f>
        <v/>
      </c>
      <c r="T122" s="33">
        <f>(Q122-R122)/R122</f>
        <v/>
      </c>
      <c r="U122" s="533">
        <f>SUM(U123:U125)</f>
        <v/>
      </c>
      <c r="V122" s="533">
        <f>SUM(V123:V125)</f>
        <v/>
      </c>
      <c r="W122" s="33">
        <f>(U122-U118)/U118</f>
        <v/>
      </c>
      <c r="X122" s="33">
        <f>(U122-V122)/V122</f>
        <v/>
      </c>
      <c r="Y122" s="88">
        <f>U122/Q122</f>
        <v/>
      </c>
      <c r="Z122" s="88">
        <f>V122/R122</f>
        <v/>
      </c>
      <c r="AA122" s="33">
        <f>(Y122-Y118)/Y118</f>
        <v/>
      </c>
      <c r="AB122" s="33">
        <f>(Y122-Z122)/Z122</f>
        <v/>
      </c>
      <c r="AC122" s="540">
        <f>E122/U122</f>
        <v/>
      </c>
      <c r="AD122" s="534">
        <f>F122/V122</f>
        <v/>
      </c>
      <c r="AE122" s="33">
        <f>(AC122-AC118)/AC118</f>
        <v/>
      </c>
      <c r="AF122" s="33">
        <f>(AC122-AD122)/AD122</f>
        <v/>
      </c>
      <c r="AG122" s="533">
        <f>SUM(AG123:AG125)</f>
        <v/>
      </c>
      <c r="AH122" s="533">
        <f>SUM(AH123:AH125)</f>
        <v/>
      </c>
      <c r="AI122" s="33">
        <f>(AG122-AG118)/AG118</f>
        <v/>
      </c>
      <c r="AJ122" s="33">
        <f>(AG122-AH122)/AH122</f>
        <v/>
      </c>
      <c r="AK122" s="533">
        <f>SUM(AK123:AK125)</f>
        <v/>
      </c>
      <c r="AL122" s="533">
        <f>SUM(AL123:AL125)</f>
        <v/>
      </c>
      <c r="AM122" s="150">
        <f>(AK122-AK118)/AK118</f>
        <v/>
      </c>
      <c r="AN122" s="431">
        <f>(AK122-AL122)/AL122</f>
        <v/>
      </c>
      <c r="AO122" s="33">
        <f>AG122/AK122</f>
        <v/>
      </c>
      <c r="AP122" s="33">
        <f>AH122/AL122</f>
        <v/>
      </c>
      <c r="AQ122" s="33">
        <f>(AO122-AO118)/AO118</f>
        <v/>
      </c>
      <c r="AR122" s="33">
        <f>(AO122-AP122)/AP122</f>
        <v/>
      </c>
      <c r="AS122" t="s">
        <v>115</v>
      </c>
    </row>
    <row customHeight="1" ht="15.75" r="123" s="452" spans="1:45">
      <c r="A123" s="260" t="s">
        <v>47</v>
      </c>
      <c r="B123" s="260" t="s">
        <v>114</v>
      </c>
      <c r="C123" s="261">
        <f>C119+7</f>
        <v/>
      </c>
      <c r="D123" s="260" t="s">
        <v>35</v>
      </c>
      <c r="E123" s="535" t="n">
        <v>7256</v>
      </c>
      <c r="F123" s="535" t="n">
        <v>5174</v>
      </c>
      <c r="G123" s="33">
        <f>(E123-E119)/E119</f>
        <v/>
      </c>
      <c r="H123" s="33">
        <f>(E123-F123)/F123</f>
        <v/>
      </c>
      <c r="I123" s="535">
        <f>378.99+79.11</f>
        <v/>
      </c>
      <c r="J123" s="536">
        <f>208.28+24.31</f>
        <v/>
      </c>
      <c r="K123" s="33">
        <f>(I123-I119)/I119</f>
        <v/>
      </c>
      <c r="L123" s="33">
        <f>(I123-J123)/J123</f>
        <v/>
      </c>
      <c r="M123" s="536">
        <f>E123/I123</f>
        <v/>
      </c>
      <c r="N123" s="536">
        <f>F123/J123</f>
        <v/>
      </c>
      <c r="O123" s="33">
        <f>(M123-M119)/M119</f>
        <v/>
      </c>
      <c r="P123" s="33">
        <f>(M123-N123)/N123</f>
        <v/>
      </c>
      <c r="Q123" s="537" t="n">
        <v>3236</v>
      </c>
      <c r="R123" s="537" t="n">
        <v>3144</v>
      </c>
      <c r="S123" s="33">
        <f>(Q123-Q119)/Q119</f>
        <v/>
      </c>
      <c r="T123" s="33">
        <f>(Q123-R123)/R123</f>
        <v/>
      </c>
      <c r="U123" s="537" t="n">
        <v>74</v>
      </c>
      <c r="V123" s="537" t="n">
        <v>54</v>
      </c>
      <c r="W123" s="33">
        <f>(U123-U119)/U119</f>
        <v/>
      </c>
      <c r="X123" s="33">
        <f>(U123-V123)/V123</f>
        <v/>
      </c>
      <c r="Y123" s="113">
        <f>U123/Q123</f>
        <v/>
      </c>
      <c r="Z123" s="113">
        <f>V123/R123</f>
        <v/>
      </c>
      <c r="AA123" s="33">
        <f>(Y123-Y119)/Y119</f>
        <v/>
      </c>
      <c r="AB123" s="33">
        <f>(Y123-Z123)/Z123</f>
        <v/>
      </c>
      <c r="AC123" s="529">
        <f>E123/U123</f>
        <v/>
      </c>
      <c r="AD123" s="546">
        <f>F123/V123</f>
        <v/>
      </c>
      <c r="AE123" s="33">
        <f>(AC123-AC119)/AC119</f>
        <v/>
      </c>
      <c r="AF123" s="33">
        <f>(AC123-AD123)/AD123</f>
        <v/>
      </c>
      <c r="AG123" s="537">
        <f>2041+137</f>
        <v/>
      </c>
      <c r="AH123" s="537">
        <f>2422+132</f>
        <v/>
      </c>
      <c r="AI123" s="33">
        <f>(AG123-AG119)/AG119</f>
        <v/>
      </c>
      <c r="AJ123" s="33">
        <f>(AG123-AH123)/AH123</f>
        <v/>
      </c>
      <c r="AK123" s="537">
        <f>6739+379</f>
        <v/>
      </c>
      <c r="AL123" s="537">
        <f>5824+307</f>
        <v/>
      </c>
      <c r="AM123" s="150">
        <f>(AK123-AK119)/AK119</f>
        <v/>
      </c>
      <c r="AN123" s="431">
        <f>(AK123-AL123)/AL123</f>
        <v/>
      </c>
      <c r="AO123" s="282">
        <f>AG123/AK123</f>
        <v/>
      </c>
      <c r="AP123" s="282">
        <f>AH123/AL123</f>
        <v/>
      </c>
      <c r="AQ123" s="33">
        <f>(AO123-AO119)/AO119</f>
        <v/>
      </c>
      <c r="AR123" s="33">
        <f>(AO123-AP123)/AP123</f>
        <v/>
      </c>
    </row>
    <row customHeight="1" ht="15.75" r="124" s="452" spans="1:45">
      <c r="A124" s="260" t="s">
        <v>47</v>
      </c>
      <c r="B124" s="260" t="s">
        <v>114</v>
      </c>
      <c r="C124" s="261">
        <f>C120+7</f>
        <v/>
      </c>
      <c r="D124" s="260" t="s">
        <v>36</v>
      </c>
      <c r="E124" s="535" t="n">
        <v>177</v>
      </c>
      <c r="F124" s="535" t="n">
        <v>544</v>
      </c>
      <c r="G124" s="33">
        <f>(E124-E120)/E120</f>
        <v/>
      </c>
      <c r="H124" s="33">
        <f>(E124-F124)/F124</f>
        <v/>
      </c>
      <c r="I124" s="535" t="n">
        <v>568.23</v>
      </c>
      <c r="J124" s="536">
        <f>1494.61+121.3</f>
        <v/>
      </c>
      <c r="K124" s="33">
        <f>(I124-I120)/I120</f>
        <v/>
      </c>
      <c r="L124" s="33">
        <f>(I124-J124)/J124</f>
        <v/>
      </c>
      <c r="M124" s="536">
        <f>E124/I124</f>
        <v/>
      </c>
      <c r="N124" s="536">
        <f>F124/J124</f>
        <v/>
      </c>
      <c r="O124" s="33">
        <f>(M124-M120)/M120</f>
        <v/>
      </c>
      <c r="P124" s="33">
        <f>(M124-N124)/N124</f>
        <v/>
      </c>
      <c r="Q124" s="537" t="n">
        <v>473</v>
      </c>
      <c r="R124" s="537" t="n">
        <v>2048</v>
      </c>
      <c r="S124" s="33">
        <f>(Q124-Q120)/Q120</f>
        <v/>
      </c>
      <c r="T124" s="33">
        <f>(Q124-R124)/R124</f>
        <v/>
      </c>
      <c r="U124" s="537" t="n">
        <v>2</v>
      </c>
      <c r="V124" s="537" t="n">
        <v>7</v>
      </c>
      <c r="W124" s="33">
        <f>(U124-U120)/U120</f>
        <v/>
      </c>
      <c r="X124" s="33">
        <f>(U124-V124)/V124</f>
        <v/>
      </c>
      <c r="Y124" s="113">
        <f>U124/Q124</f>
        <v/>
      </c>
      <c r="Z124" s="113">
        <f>V124/R124</f>
        <v/>
      </c>
      <c r="AA124" s="33">
        <f>(Y124-Y120)/Y120</f>
        <v/>
      </c>
      <c r="AB124" s="33">
        <f>(Y124-Z124)/Z124</f>
        <v/>
      </c>
      <c r="AC124" s="529">
        <f>E124/U124</f>
        <v/>
      </c>
      <c r="AD124" s="546">
        <f>F124/V124</f>
        <v/>
      </c>
      <c r="AE124" s="33">
        <f>(AC124-AC120)/AC120</f>
        <v/>
      </c>
      <c r="AF124" s="33">
        <f>(AC124-AD124)/AD124</f>
        <v/>
      </c>
      <c r="AG124" s="537" t="n">
        <v>424</v>
      </c>
      <c r="AH124" s="537">
        <f>1681+146</f>
        <v/>
      </c>
      <c r="AI124" s="33">
        <f>(AG124-AG120)/AG120</f>
        <v/>
      </c>
      <c r="AJ124" s="33">
        <f>(AG124-AH124)/AH124</f>
        <v/>
      </c>
      <c r="AK124" s="537" t="n">
        <v>5999</v>
      </c>
      <c r="AL124" s="537">
        <f>21512+2834</f>
        <v/>
      </c>
      <c r="AM124" s="150">
        <f>(AK124-AK120)/AK120</f>
        <v/>
      </c>
      <c r="AN124" s="431">
        <f>(AK124-AL124)/AL124</f>
        <v/>
      </c>
      <c r="AO124" s="282">
        <f>AG124/AK124</f>
        <v/>
      </c>
      <c r="AP124" s="282">
        <f>AH124/AL124</f>
        <v/>
      </c>
      <c r="AQ124" s="33">
        <f>(AO124-AO120)/AO120</f>
        <v/>
      </c>
      <c r="AR124" s="33">
        <f>(AO124-AP124)/AP124</f>
        <v/>
      </c>
    </row>
    <row customHeight="1" ht="15.75" r="125" s="452" spans="1:45">
      <c r="A125" s="260" t="s">
        <v>47</v>
      </c>
      <c r="B125" s="260" t="s">
        <v>114</v>
      </c>
      <c r="C125" s="261">
        <f>C121+7</f>
        <v/>
      </c>
      <c r="D125" s="260" t="s">
        <v>37</v>
      </c>
      <c r="E125" s="535" t="n">
        <v>715</v>
      </c>
      <c r="F125" s="535" t="n"/>
      <c r="G125" s="33">
        <f>(E125-E121)/E121</f>
        <v/>
      </c>
      <c r="H125" s="33">
        <f>(E125-F125)/F125</f>
        <v/>
      </c>
      <c r="I125" s="535" t="n">
        <v>1994</v>
      </c>
      <c r="J125" s="536" t="n"/>
      <c r="K125" s="33">
        <f>(I125-I121)/I121</f>
        <v/>
      </c>
      <c r="L125" s="33">
        <f>(I125-J125)/J125</f>
        <v/>
      </c>
      <c r="M125" s="536">
        <f>E125/I125</f>
        <v/>
      </c>
      <c r="N125" s="536" t="n"/>
      <c r="O125" s="33">
        <f>(M125-M121)/M121</f>
        <v/>
      </c>
      <c r="P125" s="33">
        <f>(M125-N125)/N125</f>
        <v/>
      </c>
      <c r="Q125" s="537" t="n">
        <v>3388</v>
      </c>
      <c r="R125" s="537" t="n"/>
      <c r="S125" s="33">
        <f>(Q125-Q121)/Q121</f>
        <v/>
      </c>
      <c r="T125" s="33">
        <f>(Q125-R125)/R125</f>
        <v/>
      </c>
      <c r="U125" s="537" t="n">
        <v>10</v>
      </c>
      <c r="V125" s="537" t="n"/>
      <c r="W125" s="33">
        <f>(U125-U121)/U121</f>
        <v/>
      </c>
      <c r="X125" s="33">
        <f>(U125-V125)/V125</f>
        <v/>
      </c>
      <c r="Y125" s="113">
        <f>U125/Q125</f>
        <v/>
      </c>
      <c r="Z125" s="113" t="n"/>
      <c r="AA125" s="33">
        <f>(Y125-Y121)/Y121</f>
        <v/>
      </c>
      <c r="AB125" s="33">
        <f>(Y125-Z125)/Z125</f>
        <v/>
      </c>
      <c r="AC125" s="529">
        <f>E125/U125</f>
        <v/>
      </c>
      <c r="AD125" s="546" t="n"/>
      <c r="AE125" s="33">
        <f>(AC125-AC121)/AC121</f>
        <v/>
      </c>
      <c r="AF125" s="33">
        <f>(AC125-AD125)/AD125</f>
        <v/>
      </c>
      <c r="AG125" s="537" t="n">
        <v>3450</v>
      </c>
      <c r="AH125" s="537" t="n"/>
      <c r="AI125" s="33">
        <f>(AG125-AG121)/AG121</f>
        <v/>
      </c>
      <c r="AJ125" s="33">
        <f>(AG125-AH125)/AH125</f>
        <v/>
      </c>
      <c r="AK125" s="537" t="n">
        <v>204904</v>
      </c>
      <c r="AL125" s="537" t="n"/>
      <c r="AM125" s="150">
        <f>(AK125-AK121)/AK121</f>
        <v/>
      </c>
      <c r="AN125" s="431">
        <f>(AK125-AL125)/AL125</f>
        <v/>
      </c>
      <c r="AO125" s="282">
        <f>AG125/AK125</f>
        <v/>
      </c>
      <c r="AP125" s="282" t="n"/>
      <c r="AQ125" s="33">
        <f>(AO125-AO121)/AO121</f>
        <v/>
      </c>
      <c r="AR125" s="33">
        <f>(AO125-AP125)/AP125</f>
        <v/>
      </c>
    </row>
    <row customHeight="1" ht="15.75" r="126" s="452" spans="1:45">
      <c r="A126" s="29" t="s">
        <v>47</v>
      </c>
      <c r="B126" s="29" t="s">
        <v>116</v>
      </c>
      <c r="C126" s="30">
        <f>C122+7</f>
        <v/>
      </c>
      <c r="D126" s="31" t="s">
        <v>60</v>
      </c>
      <c r="E126" s="531">
        <f>SUM(E127:E129)</f>
        <v/>
      </c>
      <c r="F126" s="531">
        <f>SUM(F127:F129)</f>
        <v/>
      </c>
      <c r="G126" s="33">
        <f>(E126-E122)/E122</f>
        <v/>
      </c>
      <c r="H126" s="33">
        <f>(E126-F126)/F126</f>
        <v/>
      </c>
      <c r="I126" s="531">
        <f>SUM(I127:I129)</f>
        <v/>
      </c>
      <c r="J126" s="531">
        <f>SUM(J127:J129)</f>
        <v/>
      </c>
      <c r="K126" s="33">
        <f>(I126-I122)/I122</f>
        <v/>
      </c>
      <c r="L126" s="33">
        <f>(I126-J126)/J126</f>
        <v/>
      </c>
      <c r="M126" s="532">
        <f>E126/I126</f>
        <v/>
      </c>
      <c r="N126" s="532">
        <f>F126/J126</f>
        <v/>
      </c>
      <c r="O126" s="33">
        <f>(M126-M122)/M122</f>
        <v/>
      </c>
      <c r="P126" s="33">
        <f>(M126-N126)/N126</f>
        <v/>
      </c>
      <c r="Q126" s="533">
        <f>SUM(Q127:Q129)</f>
        <v/>
      </c>
      <c r="R126" s="533">
        <f>SUM(R127:R129)</f>
        <v/>
      </c>
      <c r="S126" s="33">
        <f>(Q126-Q122)/Q122</f>
        <v/>
      </c>
      <c r="T126" s="33">
        <f>(Q126-R126)/R126</f>
        <v/>
      </c>
      <c r="U126" s="533">
        <f>SUM(U127:U129)</f>
        <v/>
      </c>
      <c r="V126" s="533">
        <f>SUM(V127:V129)</f>
        <v/>
      </c>
      <c r="W126" s="33">
        <f>(U126-U122)/U122</f>
        <v/>
      </c>
      <c r="X126" s="33">
        <f>(U126-V126)/V126</f>
        <v/>
      </c>
      <c r="Y126" s="88">
        <f>U126/Q126</f>
        <v/>
      </c>
      <c r="Z126" s="88">
        <f>V126/R126</f>
        <v/>
      </c>
      <c r="AA126" s="33">
        <f>(Y126-Y122)/Y122</f>
        <v/>
      </c>
      <c r="AB126" s="33">
        <f>(Y126-Z126)/Z126</f>
        <v/>
      </c>
      <c r="AC126" s="540">
        <f>E126/U126</f>
        <v/>
      </c>
      <c r="AD126" s="534">
        <f>F126/V126</f>
        <v/>
      </c>
      <c r="AE126" s="33">
        <f>(AC126-AC122)/AC122</f>
        <v/>
      </c>
      <c r="AF126" s="33">
        <f>(AC126-AD126)/AD126</f>
        <v/>
      </c>
      <c r="AG126" s="533">
        <f>SUM(AG127:AG129)</f>
        <v/>
      </c>
      <c r="AH126" s="533">
        <f>SUM(AH127:AH129)</f>
        <v/>
      </c>
      <c r="AI126" s="33">
        <f>(AG126-AG122)/AG122</f>
        <v/>
      </c>
      <c r="AJ126" s="33">
        <f>(AG126-AH126)/AH126</f>
        <v/>
      </c>
      <c r="AK126" s="533">
        <f>SUM(AK127:AK129)</f>
        <v/>
      </c>
      <c r="AL126" s="533">
        <f>SUM(AL127:AL129)</f>
        <v/>
      </c>
      <c r="AM126" s="150">
        <f>(AK126-AK122)/AK122</f>
        <v/>
      </c>
      <c r="AN126" s="431">
        <f>(AK126-AL126)/AL126</f>
        <v/>
      </c>
      <c r="AO126" s="33">
        <f>AG126/AK126</f>
        <v/>
      </c>
      <c r="AP126" s="33">
        <f>AH126/AL126</f>
        <v/>
      </c>
      <c r="AQ126" s="33">
        <f>(AO126-AO122)/AO122</f>
        <v/>
      </c>
      <c r="AR126" s="33">
        <f>(AO126-AP126)/AP126</f>
        <v/>
      </c>
    </row>
    <row customHeight="1" ht="15.75" r="127" s="452" spans="1:45">
      <c r="A127" s="260" t="s">
        <v>47</v>
      </c>
      <c r="B127" s="265" t="s">
        <v>116</v>
      </c>
      <c r="C127" s="261">
        <f>C123+7</f>
        <v/>
      </c>
      <c r="D127" s="260" t="s">
        <v>35</v>
      </c>
      <c r="E127" s="535" t="n">
        <v>8332</v>
      </c>
      <c r="F127" s="535" t="n">
        <v>5105</v>
      </c>
      <c r="G127" s="33">
        <f>(E127-E123)/E123</f>
        <v/>
      </c>
      <c r="H127" s="33">
        <f>(E127-F127)/F127</f>
        <v/>
      </c>
      <c r="I127" s="535">
        <f>671.2+85.57</f>
        <v/>
      </c>
      <c r="J127" s="536">
        <f>207.77+15.12</f>
        <v/>
      </c>
      <c r="K127" s="33">
        <f>(I127-I123)/I123</f>
        <v/>
      </c>
      <c r="L127" s="33">
        <f>(I127-J127)/J127</f>
        <v/>
      </c>
      <c r="M127" s="536">
        <f>E127/I127</f>
        <v/>
      </c>
      <c r="N127" s="536">
        <f>F127/J127</f>
        <v/>
      </c>
      <c r="O127" s="33">
        <f>(M127-M123)/M123</f>
        <v/>
      </c>
      <c r="P127" s="33">
        <f>(M127-N127)/N127</f>
        <v/>
      </c>
      <c r="Q127" s="537" t="n">
        <v>4334</v>
      </c>
      <c r="R127" s="537" t="n">
        <v>3193</v>
      </c>
      <c r="S127" s="33">
        <f>(Q127-Q123)/Q123</f>
        <v/>
      </c>
      <c r="T127" s="33">
        <f>(Q127-R127)/R127</f>
        <v/>
      </c>
      <c r="U127" s="537" t="n">
        <v>87</v>
      </c>
      <c r="V127" s="537" t="n">
        <v>54</v>
      </c>
      <c r="W127" s="33">
        <f>(U127-U123)/U123</f>
        <v/>
      </c>
      <c r="X127" s="33">
        <f>(U127-V127)/V127</f>
        <v/>
      </c>
      <c r="Y127" s="113">
        <f>U127/Q127</f>
        <v/>
      </c>
      <c r="Z127" s="113">
        <f>V127/R127</f>
        <v/>
      </c>
      <c r="AA127" s="33">
        <f>(Y127-Y123)/Y123</f>
        <v/>
      </c>
      <c r="AB127" s="33">
        <f>(Y127-Z127)/Z127</f>
        <v/>
      </c>
      <c r="AC127" s="529">
        <f>E127/U127</f>
        <v/>
      </c>
      <c r="AD127" s="529">
        <f>F127/V127</f>
        <v/>
      </c>
      <c r="AE127" s="33">
        <f>(AC127-AC123)/AC123</f>
        <v/>
      </c>
      <c r="AF127" s="33">
        <f>(AC127-AD127)/AD127</f>
        <v/>
      </c>
      <c r="AG127" s="537">
        <f>2942+124</f>
        <v/>
      </c>
      <c r="AH127" s="537">
        <f>2401+100</f>
        <v/>
      </c>
      <c r="AI127" s="33">
        <f>(AG127-AG123)/AG123</f>
        <v/>
      </c>
      <c r="AJ127" s="33">
        <f>(AG127-AH127)/AH127</f>
        <v/>
      </c>
      <c r="AK127" s="537">
        <f>8703+341</f>
        <v/>
      </c>
      <c r="AL127" s="537">
        <f>5899+273</f>
        <v/>
      </c>
      <c r="AM127" s="150">
        <f>(AK127-AK123)/AK123</f>
        <v/>
      </c>
      <c r="AN127" s="431">
        <f>(AK127-AL127)/AL127</f>
        <v/>
      </c>
      <c r="AO127" s="282">
        <f>AG127/AK127</f>
        <v/>
      </c>
      <c r="AP127" s="282">
        <f>AH127/AL127</f>
        <v/>
      </c>
      <c r="AQ127" s="33">
        <f>(AO127-AO123)/AO123</f>
        <v/>
      </c>
      <c r="AR127" s="33">
        <f>(AO127-AP127)/AP127</f>
        <v/>
      </c>
    </row>
    <row customHeight="1" ht="15.75" r="128" s="452" spans="1:45">
      <c r="A128" s="260" t="s">
        <v>47</v>
      </c>
      <c r="B128" s="265" t="s">
        <v>116</v>
      </c>
      <c r="C128" s="261">
        <f>C124+7</f>
        <v/>
      </c>
      <c r="D128" s="260" t="s">
        <v>36</v>
      </c>
      <c r="E128" s="535" t="n">
        <v>447</v>
      </c>
      <c r="F128" s="535" t="n">
        <v>534</v>
      </c>
      <c r="G128" s="33">
        <f>(E128-E124)/E124</f>
        <v/>
      </c>
      <c r="H128" s="33">
        <f>(E128-F128)/F128</f>
        <v/>
      </c>
      <c r="I128" s="535" t="n">
        <v>724.46</v>
      </c>
      <c r="J128" s="536">
        <f>2103.67+104.31</f>
        <v/>
      </c>
      <c r="K128" s="33">
        <f>(I128-I124)/I124</f>
        <v/>
      </c>
      <c r="L128" s="33">
        <f>(I128-J128)/J128</f>
        <v/>
      </c>
      <c r="M128" s="536">
        <f>E128/I128</f>
        <v/>
      </c>
      <c r="N128" s="536">
        <f>F128/J128</f>
        <v/>
      </c>
      <c r="O128" s="33">
        <f>(M128-M124)/M124</f>
        <v/>
      </c>
      <c r="P128" s="33">
        <f>(M128-N128)/N128</f>
        <v/>
      </c>
      <c r="Q128" s="537" t="n">
        <v>523</v>
      </c>
      <c r="R128" s="537" t="n">
        <v>2406</v>
      </c>
      <c r="S128" s="33">
        <f>(Q128-Q124)/Q124</f>
        <v/>
      </c>
      <c r="T128" s="33">
        <f>(Q128-R128)/R128</f>
        <v/>
      </c>
      <c r="U128" s="537" t="n">
        <v>2</v>
      </c>
      <c r="V128" s="537" t="n">
        <v>8</v>
      </c>
      <c r="W128" s="33">
        <f>(U128-U124)/U124</f>
        <v/>
      </c>
      <c r="X128" s="33">
        <f>(U128-V128)/V128</f>
        <v/>
      </c>
      <c r="Y128" s="113">
        <f>U128/Q128</f>
        <v/>
      </c>
      <c r="Z128" s="113">
        <f>V128/R128</f>
        <v/>
      </c>
      <c r="AA128" s="33">
        <f>(Y128-Y124)/Y124</f>
        <v/>
      </c>
      <c r="AB128" s="33">
        <f>(Y128-Z128)/Z128</f>
        <v/>
      </c>
      <c r="AC128" s="529">
        <f>E128/U128</f>
        <v/>
      </c>
      <c r="AD128" s="529">
        <f>F128/V128</f>
        <v/>
      </c>
      <c r="AE128" s="33">
        <f>(AC128-AC124)/AC124</f>
        <v/>
      </c>
      <c r="AF128" s="33">
        <f>(AC128-AD128)/AD128</f>
        <v/>
      </c>
      <c r="AG128" s="537" t="n">
        <v>505</v>
      </c>
      <c r="AH128" s="537">
        <f>2123+154</f>
        <v/>
      </c>
      <c r="AI128" s="33">
        <f>(AG128-AG124)/AG124</f>
        <v/>
      </c>
      <c r="AJ128" s="33">
        <f>(AG128-AH128)/AH128</f>
        <v/>
      </c>
      <c r="AK128" s="537" t="n">
        <v>7908</v>
      </c>
      <c r="AL128" s="537">
        <f>26044+1664</f>
        <v/>
      </c>
      <c r="AM128" s="150">
        <f>(AK128-AK124)/AK124</f>
        <v/>
      </c>
      <c r="AN128" s="431">
        <f>(AK128-AL128)/AL128</f>
        <v/>
      </c>
      <c r="AO128" s="282">
        <f>AG128/AK128</f>
        <v/>
      </c>
      <c r="AP128" s="282">
        <f>AH128/AL128</f>
        <v/>
      </c>
      <c r="AQ128" s="33">
        <f>(AO128-AO124)/AO124</f>
        <v/>
      </c>
      <c r="AR128" s="33">
        <f>(AO128-AP128)/AP128</f>
        <v/>
      </c>
    </row>
    <row customHeight="1" ht="15.75" r="129" s="452" spans="1:45">
      <c r="A129" s="260" t="s">
        <v>47</v>
      </c>
      <c r="B129" s="265" t="s">
        <v>116</v>
      </c>
      <c r="C129" s="261">
        <f>C125+7</f>
        <v/>
      </c>
      <c r="D129" s="260" t="s">
        <v>37</v>
      </c>
      <c r="E129" s="535" t="n">
        <v>660</v>
      </c>
      <c r="F129" s="535" t="n"/>
      <c r="G129" s="33">
        <f>(E129-E125)/E125</f>
        <v/>
      </c>
      <c r="H129" s="33">
        <f>(E129-F129)/F129</f>
        <v/>
      </c>
      <c r="I129" s="535" t="n">
        <v>2013</v>
      </c>
      <c r="J129" s="536" t="n"/>
      <c r="K129" s="33">
        <f>(I129-I125)/I125</f>
        <v/>
      </c>
      <c r="L129" s="33">
        <f>(I129-J129)/J129</f>
        <v/>
      </c>
      <c r="M129" s="536">
        <f>E129/I129</f>
        <v/>
      </c>
      <c r="N129" s="536" t="n"/>
      <c r="O129" s="33">
        <f>(M129-M125)/M125</f>
        <v/>
      </c>
      <c r="P129" s="33">
        <f>(M129-N129)/N129</f>
        <v/>
      </c>
      <c r="Q129" s="537" t="n">
        <v>3462</v>
      </c>
      <c r="R129" s="537" t="n"/>
      <c r="S129" s="33">
        <f>(Q129-Q125)/Q125</f>
        <v/>
      </c>
      <c r="T129" s="33">
        <f>(Q129-R129)/R129</f>
        <v/>
      </c>
      <c r="U129" s="537" t="n">
        <v>6</v>
      </c>
      <c r="V129" s="537" t="n"/>
      <c r="W129" s="33">
        <f>(U129-U125)/U125</f>
        <v/>
      </c>
      <c r="X129" s="33">
        <f>(U129-V129)/V129</f>
        <v/>
      </c>
      <c r="Y129" s="113">
        <f>U129/Q129</f>
        <v/>
      </c>
      <c r="Z129" s="113" t="n"/>
      <c r="AA129" s="33">
        <f>(Y129-Y125)/Y125</f>
        <v/>
      </c>
      <c r="AB129" s="33">
        <f>(Y129-Z129)/Z129</f>
        <v/>
      </c>
      <c r="AC129" s="529">
        <f>E129/U129</f>
        <v/>
      </c>
      <c r="AD129" s="529" t="n"/>
      <c r="AE129" s="33">
        <f>(AC129-AC125)/AC125</f>
        <v/>
      </c>
      <c r="AF129" s="33">
        <f>(AC129-AD129)/AD129</f>
        <v/>
      </c>
      <c r="AG129" s="537" t="n">
        <v>3675</v>
      </c>
      <c r="AH129" s="537" t="n"/>
      <c r="AI129" s="33">
        <f>(AG129-AG125)/AG125</f>
        <v/>
      </c>
      <c r="AJ129" s="33">
        <f>(AG129-AH129)/AH129</f>
        <v/>
      </c>
      <c r="AK129" s="537" t="n">
        <v>188369</v>
      </c>
      <c r="AL129" s="537" t="n"/>
      <c r="AM129" s="150">
        <f>(AK129-AK125)/AK125</f>
        <v/>
      </c>
      <c r="AN129" s="431">
        <f>(AK129-AL129)/AL129</f>
        <v/>
      </c>
      <c r="AO129" s="282">
        <f>AG129/AK129</f>
        <v/>
      </c>
      <c r="AP129" s="282" t="n"/>
      <c r="AQ129" s="33">
        <f>(AO129-AO125)/AO125</f>
        <v/>
      </c>
      <c r="AR129" s="33">
        <f>(AO129-AP129)/AP129</f>
        <v/>
      </c>
    </row>
    <row customFormat="1" customHeight="1" ht="15.75" r="130" s="108" spans="1:45">
      <c r="A130" s="272" t="s">
        <v>48</v>
      </c>
      <c r="B130" s="272" t="s">
        <v>117</v>
      </c>
      <c r="C130" s="273">
        <f>C126+7</f>
        <v/>
      </c>
      <c r="D130" s="274" t="s">
        <v>60</v>
      </c>
      <c r="E130" s="541">
        <f>SUM(E131:E133)</f>
        <v/>
      </c>
      <c r="F130" s="541">
        <f>SUM(F131:F133)</f>
        <v/>
      </c>
      <c r="G130" s="116">
        <f>(E130-E126)/E126</f>
        <v/>
      </c>
      <c r="H130" s="116">
        <f>(E130-F130)/F130</f>
        <v/>
      </c>
      <c r="I130" s="541">
        <f>SUM(I131:I133)</f>
        <v/>
      </c>
      <c r="J130" s="541">
        <f>SUM(J131:J133)</f>
        <v/>
      </c>
      <c r="K130" s="116">
        <f>(I130-I126)/I126</f>
        <v/>
      </c>
      <c r="L130" s="116">
        <f>(I130-J130)/J130</f>
        <v/>
      </c>
      <c r="M130" s="542">
        <f>E130/I130</f>
        <v/>
      </c>
      <c r="N130" s="542">
        <f>F130/J130</f>
        <v/>
      </c>
      <c r="O130" s="116">
        <f>(M130-M126)/M126</f>
        <v/>
      </c>
      <c r="P130" s="116">
        <f>(M130-N130)/N130</f>
        <v/>
      </c>
      <c r="Q130" s="543">
        <f>SUM(Q131:Q133)</f>
        <v/>
      </c>
      <c r="R130" s="543">
        <f>SUM(R131:R133)</f>
        <v/>
      </c>
      <c r="S130" s="116">
        <f>(Q130-Q126)/Q126</f>
        <v/>
      </c>
      <c r="T130" s="116">
        <f>(Q130-R130)/R130</f>
        <v/>
      </c>
      <c r="U130" s="543">
        <f>SUM(U131:U133)</f>
        <v/>
      </c>
      <c r="V130" s="543">
        <f>SUM(V131:V133)</f>
        <v/>
      </c>
      <c r="W130" s="116">
        <f>(U130-U126)/U126</f>
        <v/>
      </c>
      <c r="X130" s="116">
        <f>(U130-V130)/V130</f>
        <v/>
      </c>
      <c r="Y130" s="119">
        <f>U130/Q130</f>
        <v/>
      </c>
      <c r="Z130" s="119">
        <f>V130/R130</f>
        <v/>
      </c>
      <c r="AA130" s="116">
        <f>(Y130-Y126)/Y126</f>
        <v/>
      </c>
      <c r="AB130" s="116">
        <f>(Y130-Z130)/Z130</f>
        <v/>
      </c>
      <c r="AC130" s="544">
        <f>E130/U130</f>
        <v/>
      </c>
      <c r="AD130" s="545">
        <f>F130/V130</f>
        <v/>
      </c>
      <c r="AE130" s="116">
        <f>(AC130-AC126)/AC126</f>
        <v/>
      </c>
      <c r="AF130" s="116">
        <f>(AC130-AD130)/AD130</f>
        <v/>
      </c>
      <c r="AG130" s="543">
        <f>SUM(AG131:AG133)</f>
        <v/>
      </c>
      <c r="AH130" s="543">
        <f>SUM(AH131:AH133)</f>
        <v/>
      </c>
      <c r="AI130" s="116">
        <f>(AG130-AG126)/AG126</f>
        <v/>
      </c>
      <c r="AJ130" s="116">
        <f>(AG130-AH130)/AH130</f>
        <v/>
      </c>
      <c r="AK130" s="543">
        <f>SUM(AK131:AK133)</f>
        <v/>
      </c>
      <c r="AL130" s="543">
        <f>SUM(AL131:AL133)</f>
        <v/>
      </c>
      <c r="AM130" s="276">
        <f>(AK130-AK126)/AK126</f>
        <v/>
      </c>
      <c r="AN130" s="277">
        <f>(AK130-AL130)/AL130</f>
        <v/>
      </c>
      <c r="AO130" s="116">
        <f>AG130/AK130</f>
        <v/>
      </c>
      <c r="AP130" s="116">
        <f>AH130/AL130</f>
        <v/>
      </c>
      <c r="AQ130" s="116">
        <f>(AO130-AO126)/AO126</f>
        <v/>
      </c>
      <c r="AR130" s="116">
        <f>(AO130-AP130)/AP130</f>
        <v/>
      </c>
      <c r="AS130" s="108" t="n"/>
    </row>
    <row customHeight="1" ht="15.75" r="131" s="452" spans="1:45">
      <c r="A131" s="260" t="s">
        <v>48</v>
      </c>
      <c r="B131" s="265" t="s">
        <v>117</v>
      </c>
      <c r="C131" s="261">
        <f>C127+7</f>
        <v/>
      </c>
      <c r="D131" s="260" t="s">
        <v>35</v>
      </c>
      <c r="E131" s="535" t="n">
        <v>15069</v>
      </c>
      <c r="F131" s="535" t="n">
        <v>6319</v>
      </c>
      <c r="G131" s="33">
        <f>(E131-E127)/E127</f>
        <v/>
      </c>
      <c r="H131" s="33">
        <f>(E131-F131)/F131</f>
        <v/>
      </c>
      <c r="I131" s="547">
        <f>810.85+121.19</f>
        <v/>
      </c>
      <c r="J131" s="548">
        <f>208.63+15.04</f>
        <v/>
      </c>
      <c r="K131" s="33">
        <f>(I131-I127)/I127</f>
        <v/>
      </c>
      <c r="L131" s="33">
        <f>(I131-J131)/J131</f>
        <v/>
      </c>
      <c r="M131" s="536">
        <f>E131/I131</f>
        <v/>
      </c>
      <c r="N131" s="536">
        <f>F131/J131</f>
        <v/>
      </c>
      <c r="O131" s="33">
        <f>(M131-M127)/M127</f>
        <v/>
      </c>
      <c r="P131" s="33">
        <f>(M131-N131)/N131</f>
        <v/>
      </c>
      <c r="Q131" s="537" t="n">
        <v>4842</v>
      </c>
      <c r="R131" s="537" t="n">
        <v>3620</v>
      </c>
      <c r="S131" s="33">
        <f>(Q131-Q127)/Q127</f>
        <v/>
      </c>
      <c r="T131" s="33">
        <f>(Q131-R131)/R131</f>
        <v/>
      </c>
      <c r="U131" s="537" t="n">
        <v>123</v>
      </c>
      <c r="V131" s="537" t="n">
        <v>55</v>
      </c>
      <c r="W131" s="33">
        <f>(U131-U127)/U127</f>
        <v/>
      </c>
      <c r="X131" s="33">
        <f>(U131-V131)/V131</f>
        <v/>
      </c>
      <c r="Y131" s="113">
        <f>U131/Q131</f>
        <v/>
      </c>
      <c r="Z131" s="113">
        <f>V131/R131</f>
        <v/>
      </c>
      <c r="AA131" s="33">
        <f>(Y131-Y127)/Y127</f>
        <v/>
      </c>
      <c r="AB131" s="33">
        <f>(Y131-Z131)/Z131</f>
        <v/>
      </c>
      <c r="AC131" s="529">
        <f>E131/U131</f>
        <v/>
      </c>
      <c r="AD131" s="529">
        <f>F131/V131</f>
        <v/>
      </c>
      <c r="AE131" s="33">
        <f>(AC131-AC127)/AC127</f>
        <v/>
      </c>
      <c r="AF131" s="33">
        <f>(AC131-AD131)/AD131</f>
        <v/>
      </c>
      <c r="AG131" s="537">
        <f>3227+178</f>
        <v/>
      </c>
      <c r="AH131" s="537">
        <f>2691+130</f>
        <v/>
      </c>
      <c r="AI131" s="33">
        <f>(AG131-AG127)/AG127</f>
        <v/>
      </c>
      <c r="AJ131" s="33">
        <f>(AG131-AH131)/AH131</f>
        <v/>
      </c>
      <c r="AK131" s="537">
        <f>9880+432</f>
        <v/>
      </c>
      <c r="AL131" s="537">
        <f>6368+325</f>
        <v/>
      </c>
      <c r="AM131" s="150">
        <f>(AK131-AK127)/AK127</f>
        <v/>
      </c>
      <c r="AN131" s="431">
        <f>(AK131-AL131)/AL131</f>
        <v/>
      </c>
      <c r="AO131" s="282">
        <f>AG131/AK131</f>
        <v/>
      </c>
      <c r="AP131" s="282">
        <f>AH131/AL131</f>
        <v/>
      </c>
      <c r="AQ131" s="33">
        <f>(AO131-AO127)/AO127</f>
        <v/>
      </c>
      <c r="AR131" s="33">
        <f>(AO131-AP131)/AP131</f>
        <v/>
      </c>
    </row>
    <row customHeight="1" ht="15.75" r="132" s="452" spans="1:45">
      <c r="A132" s="260" t="s">
        <v>48</v>
      </c>
      <c r="B132" s="265" t="s">
        <v>117</v>
      </c>
      <c r="C132" s="261">
        <f>C128+7</f>
        <v/>
      </c>
      <c r="D132" s="260" t="s">
        <v>36</v>
      </c>
      <c r="E132" s="535" t="n">
        <v>0</v>
      </c>
      <c r="F132" s="535" t="n">
        <v>388</v>
      </c>
      <c r="G132" s="33">
        <f>(E132-E128)/E128</f>
        <v/>
      </c>
      <c r="H132" s="33">
        <f>(E132-F132)/F132</f>
        <v/>
      </c>
      <c r="I132" s="535" t="n">
        <v>633.98</v>
      </c>
      <c r="J132" s="536">
        <f>2361+129.39</f>
        <v/>
      </c>
      <c r="K132" s="33">
        <f>(I132-I128)/I128</f>
        <v/>
      </c>
      <c r="L132" s="33">
        <f>(I132-J132)/J132</f>
        <v/>
      </c>
      <c r="M132" s="536">
        <f>E132/I132</f>
        <v/>
      </c>
      <c r="N132" s="536">
        <f>F132/J132</f>
        <v/>
      </c>
      <c r="O132" s="33">
        <f>(M132-M128)/M128</f>
        <v/>
      </c>
      <c r="P132" s="33">
        <f>(M132-N132)/N132</f>
        <v/>
      </c>
      <c r="Q132" s="537" t="n">
        <v>532</v>
      </c>
      <c r="R132" s="537" t="n">
        <v>2642</v>
      </c>
      <c r="S132" s="33">
        <f>(Q132-Q128)/Q128</f>
        <v/>
      </c>
      <c r="T132" s="33">
        <f>(Q132-R132)/R132</f>
        <v/>
      </c>
      <c r="U132" s="537" t="n">
        <v>0</v>
      </c>
      <c r="V132" s="537" t="n">
        <v>8</v>
      </c>
      <c r="W132" s="33">
        <f>(U132-U128)/U128</f>
        <v/>
      </c>
      <c r="X132" s="33">
        <f>(U132-V132)/V132</f>
        <v/>
      </c>
      <c r="Y132" s="113">
        <f>U132/Q132</f>
        <v/>
      </c>
      <c r="Z132" s="113">
        <f>V132/R132</f>
        <v/>
      </c>
      <c r="AA132" s="33">
        <f>(Y132-Y128)/Y128</f>
        <v/>
      </c>
      <c r="AB132" s="33">
        <f>(Y132-Z132)/Z132</f>
        <v/>
      </c>
      <c r="AC132" s="529">
        <f>E132/U132</f>
        <v/>
      </c>
      <c r="AD132" s="529">
        <f>F132/V132</f>
        <v/>
      </c>
      <c r="AE132" s="33">
        <f>(AC132-AC128)/AC128</f>
        <v/>
      </c>
      <c r="AF132" s="33">
        <f>(AC132-AD132)/AD132</f>
        <v/>
      </c>
      <c r="AG132" s="537" t="n">
        <v>479</v>
      </c>
      <c r="AH132" s="537">
        <f>2466+166</f>
        <v/>
      </c>
      <c r="AI132" s="33">
        <f>(AG132-AG128)/AG128</f>
        <v/>
      </c>
      <c r="AJ132" s="33">
        <f>(AG132-AH132)/AH132</f>
        <v/>
      </c>
      <c r="AK132" s="537" t="n">
        <v>6559</v>
      </c>
      <c r="AL132" s="537">
        <f>29644+1785</f>
        <v/>
      </c>
      <c r="AM132" s="150">
        <f>(AK132-AK128)/AK128</f>
        <v/>
      </c>
      <c r="AN132" s="431">
        <f>(AK132-AL132)/AL132</f>
        <v/>
      </c>
      <c r="AO132" s="282">
        <f>AG132/AK132</f>
        <v/>
      </c>
      <c r="AP132" s="282">
        <f>AH132/AL132</f>
        <v/>
      </c>
      <c r="AQ132" s="33">
        <f>(AO132-AO128)/AO128</f>
        <v/>
      </c>
      <c r="AR132" s="33">
        <f>(AO132-AP132)/AP132</f>
        <v/>
      </c>
    </row>
    <row customHeight="1" ht="15.75" r="133" s="452" spans="1:45">
      <c r="A133" s="260" t="s">
        <v>48</v>
      </c>
      <c r="B133" s="265" t="s">
        <v>117</v>
      </c>
      <c r="C133" s="261">
        <f>C129+7</f>
        <v/>
      </c>
      <c r="D133" s="260" t="s">
        <v>37</v>
      </c>
      <c r="E133" s="535" t="n">
        <v>1794</v>
      </c>
      <c r="F133" s="535" t="n"/>
      <c r="G133" s="33">
        <f>(E133-E129)/E129</f>
        <v/>
      </c>
      <c r="H133" s="33">
        <f>(E133-F133)/F133</f>
        <v/>
      </c>
      <c r="I133" s="535" t="n">
        <v>2065</v>
      </c>
      <c r="J133" s="536" t="n"/>
      <c r="K133" s="33">
        <f>(I133-I129)/I129</f>
        <v/>
      </c>
      <c r="L133" s="33">
        <f>(I133-J133)/J133</f>
        <v/>
      </c>
      <c r="M133" s="536">
        <f>E133/I133</f>
        <v/>
      </c>
      <c r="N133" s="536" t="n"/>
      <c r="O133" s="33">
        <f>(M133-M129)/M129</f>
        <v/>
      </c>
      <c r="P133" s="33">
        <f>(M133-N133)/N133</f>
        <v/>
      </c>
      <c r="Q133" s="537" t="n">
        <v>4840</v>
      </c>
      <c r="R133" s="537" t="n"/>
      <c r="S133" s="33">
        <f>(Q133-Q129)/Q129</f>
        <v/>
      </c>
      <c r="T133" s="33">
        <f>(Q133-R133)/R133</f>
        <v/>
      </c>
      <c r="U133" s="537" t="n">
        <v>15</v>
      </c>
      <c r="V133" s="537" t="n"/>
      <c r="W133" s="33">
        <f>(U133-U129)/U129</f>
        <v/>
      </c>
      <c r="X133" s="33">
        <f>(U133-V133)/V133</f>
        <v/>
      </c>
      <c r="Y133" s="113">
        <f>U133/Q133</f>
        <v/>
      </c>
      <c r="Z133" s="113" t="n"/>
      <c r="AA133" s="33">
        <f>(Y133-Y129)/Y129</f>
        <v/>
      </c>
      <c r="AB133" s="33">
        <f>(Y133-Z133)/Z133</f>
        <v/>
      </c>
      <c r="AC133" s="529">
        <f>E133/U133</f>
        <v/>
      </c>
      <c r="AD133" s="529" t="n"/>
      <c r="AE133" s="33">
        <f>(AC133-AC129)/AC129</f>
        <v/>
      </c>
      <c r="AF133" s="33">
        <f>(AC133-AD133)/AD133</f>
        <v/>
      </c>
      <c r="AG133" s="537" t="n">
        <v>4913</v>
      </c>
      <c r="AH133" s="537" t="n"/>
      <c r="AI133" s="33">
        <f>(AG133-AG129)/AG129</f>
        <v/>
      </c>
      <c r="AJ133" s="33">
        <f>(AG133-AH133)/AH133</f>
        <v/>
      </c>
      <c r="AK133" s="537" t="n">
        <v>255315</v>
      </c>
      <c r="AL133" s="537" t="n"/>
      <c r="AM133" s="150">
        <f>(AK133-AK129)/AK129</f>
        <v/>
      </c>
      <c r="AN133" s="431">
        <f>(AK133-AL133)/AL133</f>
        <v/>
      </c>
      <c r="AO133" s="282">
        <f>AG133/AK133</f>
        <v/>
      </c>
      <c r="AP133" s="282" t="n"/>
      <c r="AQ133" s="33">
        <f>(AO133-AO129)/AO129</f>
        <v/>
      </c>
      <c r="AR133" s="33">
        <f>(AO133-AP133)/AP133</f>
        <v/>
      </c>
    </row>
    <row customHeight="1" ht="15.75" r="134" s="452" spans="1:45">
      <c r="A134" s="29" t="s">
        <v>48</v>
      </c>
      <c r="B134" s="29" t="s">
        <v>118</v>
      </c>
      <c r="C134" s="30">
        <f>C130+7</f>
        <v/>
      </c>
      <c r="D134" s="31" t="s">
        <v>60</v>
      </c>
      <c r="E134" s="531">
        <f>SUM(E135:E137)</f>
        <v/>
      </c>
      <c r="F134" s="531">
        <f>SUM(F135:F137)</f>
        <v/>
      </c>
      <c r="G134" s="33">
        <f>(E134-E130)/E130</f>
        <v/>
      </c>
      <c r="H134" s="33">
        <f>(E134-F134)/F134</f>
        <v/>
      </c>
      <c r="I134" s="531">
        <f>SUM(I135:I137)</f>
        <v/>
      </c>
      <c r="J134" s="531">
        <f>SUM(J135:J137)</f>
        <v/>
      </c>
      <c r="K134" s="33">
        <f>(I134-I130)/I130</f>
        <v/>
      </c>
      <c r="L134" s="33">
        <f>(I134-J134)/J134</f>
        <v/>
      </c>
      <c r="M134" s="532">
        <f>E134/I134</f>
        <v/>
      </c>
      <c r="N134" s="532">
        <f>F134/J134</f>
        <v/>
      </c>
      <c r="O134" s="33">
        <f>(M134-M130)/M130</f>
        <v/>
      </c>
      <c r="P134" s="33">
        <f>(M134-N134)/N134</f>
        <v/>
      </c>
      <c r="Q134" s="533">
        <f>SUM(Q135:Q137)</f>
        <v/>
      </c>
      <c r="R134" s="533">
        <f>SUM(R135:R137)</f>
        <v/>
      </c>
      <c r="S134" s="33">
        <f>(Q134-Q130)/Q130</f>
        <v/>
      </c>
      <c r="T134" s="33">
        <f>(Q134-R134)/R134</f>
        <v/>
      </c>
      <c r="U134" s="533">
        <f>SUM(U135:U137)</f>
        <v/>
      </c>
      <c r="V134" s="533">
        <f>SUM(V135:V137)</f>
        <v/>
      </c>
      <c r="W134" s="33">
        <f>(U134-U130)/U130</f>
        <v/>
      </c>
      <c r="X134" s="33">
        <f>(U134-V134)/V134</f>
        <v/>
      </c>
      <c r="Y134" s="88">
        <f>U134/Q134</f>
        <v/>
      </c>
      <c r="Z134" s="88">
        <f>V134/R134</f>
        <v/>
      </c>
      <c r="AA134" s="33">
        <f>(Y134-Y130)/Y130</f>
        <v/>
      </c>
      <c r="AB134" s="33">
        <f>(Y134-Z134)/Z134</f>
        <v/>
      </c>
      <c r="AC134" s="540">
        <f>E134/U134</f>
        <v/>
      </c>
      <c r="AD134" s="534">
        <f>F134/V134</f>
        <v/>
      </c>
      <c r="AE134" s="33">
        <f>(AC134-AC130)/AC130</f>
        <v/>
      </c>
      <c r="AF134" s="33">
        <f>(AC134-AD134)/AD134</f>
        <v/>
      </c>
      <c r="AG134" s="533">
        <f>SUM(AG135:AG137)</f>
        <v/>
      </c>
      <c r="AH134" s="533">
        <f>SUM(AH135:AH137)</f>
        <v/>
      </c>
      <c r="AI134" s="33">
        <f>(AG134-AG130)/AG130</f>
        <v/>
      </c>
      <c r="AJ134" s="33">
        <f>(AG134-AH134)/AH134</f>
        <v/>
      </c>
      <c r="AK134" s="533">
        <f>SUM(AK135:AK137)</f>
        <v/>
      </c>
      <c r="AL134" s="533">
        <f>SUM(AL135:AL137)</f>
        <v/>
      </c>
      <c r="AM134" s="150">
        <f>(AK134-AK130)/AK130</f>
        <v/>
      </c>
      <c r="AN134" s="431">
        <f>(AK134-AL134)/AL134</f>
        <v/>
      </c>
      <c r="AO134" s="33">
        <f>AG134/AK134</f>
        <v/>
      </c>
      <c r="AP134" s="33">
        <f>AH134/AL134</f>
        <v/>
      </c>
      <c r="AQ134" s="33">
        <f>(AO134-AO130)/AO130</f>
        <v/>
      </c>
      <c r="AR134" s="33">
        <f>(AO134-AP134)/AP134</f>
        <v/>
      </c>
    </row>
    <row customHeight="1" ht="15.75" r="135" s="452" spans="1:45">
      <c r="A135" s="260" t="s">
        <v>48</v>
      </c>
      <c r="B135" s="265" t="s">
        <v>118</v>
      </c>
      <c r="C135" s="261">
        <f>C131+7</f>
        <v/>
      </c>
      <c r="D135" s="260" t="s">
        <v>35</v>
      </c>
      <c r="E135" s="535" t="n">
        <v>13024</v>
      </c>
      <c r="F135" s="535" t="n">
        <v>7363</v>
      </c>
      <c r="G135" s="33">
        <f>(E135-E131)/E131</f>
        <v/>
      </c>
      <c r="H135" s="33">
        <f>(E135-F135)/F135</f>
        <v/>
      </c>
      <c r="I135" s="535">
        <f>804.19+120.8</f>
        <v/>
      </c>
      <c r="J135" s="536">
        <f>215.79+24.3</f>
        <v/>
      </c>
      <c r="K135" s="33">
        <f>(I135-I131)/I131</f>
        <v/>
      </c>
      <c r="L135" s="33">
        <f>(I135-J135)/J135</f>
        <v/>
      </c>
      <c r="M135" s="536">
        <f>E135/I135</f>
        <v/>
      </c>
      <c r="N135" s="536">
        <f>F135/J135</f>
        <v/>
      </c>
      <c r="O135" s="33">
        <f>(M135-M131)/M131</f>
        <v/>
      </c>
      <c r="P135" s="33">
        <f>(M135-N135)/N135</f>
        <v/>
      </c>
      <c r="Q135" s="537" t="n">
        <v>4803</v>
      </c>
      <c r="R135" s="537" t="n">
        <v>3666</v>
      </c>
      <c r="S135" s="33">
        <f>(Q135-Q131)/Q131</f>
        <v/>
      </c>
      <c r="T135" s="33">
        <f>(Q135-R135)/R135</f>
        <v/>
      </c>
      <c r="U135" s="537" t="n">
        <v>118</v>
      </c>
      <c r="V135" s="537" t="n">
        <v>78</v>
      </c>
      <c r="W135" s="33">
        <f>(U135-U131)/U131</f>
        <v/>
      </c>
      <c r="X135" s="33">
        <f>(U135-V135)/V135</f>
        <v/>
      </c>
      <c r="Y135" s="113">
        <f>U135/Q135</f>
        <v/>
      </c>
      <c r="Z135" s="113">
        <f>V135/R135</f>
        <v/>
      </c>
      <c r="AA135" s="33">
        <f>(Y135-Y131)/Y131</f>
        <v/>
      </c>
      <c r="AB135" s="33">
        <f>(Y135-Z135)/Z135</f>
        <v/>
      </c>
      <c r="AC135" s="529">
        <f>E135/U135</f>
        <v/>
      </c>
      <c r="AD135" s="529">
        <f>F135/V135</f>
        <v/>
      </c>
      <c r="AE135" s="33">
        <f>(AC135-AC131)/AC131</f>
        <v/>
      </c>
      <c r="AF135" s="33">
        <f>(AC135-AD135)/AD135</f>
        <v/>
      </c>
      <c r="AG135" s="537">
        <f>3171+182</f>
        <v/>
      </c>
      <c r="AH135" s="537">
        <f>2613+133</f>
        <v/>
      </c>
      <c r="AI135" s="33">
        <f>(AG135-AG131)/AG131</f>
        <v/>
      </c>
      <c r="AJ135" s="33">
        <f>(AG135-AH135)/AH135</f>
        <v/>
      </c>
      <c r="AK135" s="537">
        <f>9062+490</f>
        <v/>
      </c>
      <c r="AL135" s="537">
        <f>6304+335</f>
        <v/>
      </c>
      <c r="AM135" s="150">
        <f>(AK135-AK131)/AK131</f>
        <v/>
      </c>
      <c r="AN135" s="431">
        <f>(AK135-AL135)/AL135</f>
        <v/>
      </c>
      <c r="AO135" s="282">
        <f>AG135/AK135</f>
        <v/>
      </c>
      <c r="AP135" s="282">
        <f>AH135/AL135</f>
        <v/>
      </c>
      <c r="AQ135" s="33">
        <f>(AO135-AO131)/AO131</f>
        <v/>
      </c>
      <c r="AR135" s="33">
        <f>(AO135-AP135)/AP135</f>
        <v/>
      </c>
    </row>
    <row customHeight="1" ht="15.75" r="136" s="452" spans="1:45">
      <c r="A136" s="260" t="s">
        <v>48</v>
      </c>
      <c r="B136" s="265" t="s">
        <v>118</v>
      </c>
      <c r="C136" s="261">
        <f>C132+7</f>
        <v/>
      </c>
      <c r="D136" s="260" t="s">
        <v>36</v>
      </c>
      <c r="E136" s="535" t="n">
        <v>208</v>
      </c>
      <c r="F136" s="535" t="n">
        <v>756</v>
      </c>
      <c r="G136" s="33">
        <f>(E136-E132)/E132</f>
        <v/>
      </c>
      <c r="H136" s="33">
        <f>(E136-F136)/F136</f>
        <v/>
      </c>
      <c r="I136" s="535" t="n">
        <v>611.04</v>
      </c>
      <c r="J136" s="536">
        <f>2304.21+104.83</f>
        <v/>
      </c>
      <c r="K136" s="33">
        <f>(I136-I132)/I132</f>
        <v/>
      </c>
      <c r="L136" s="33">
        <f>(I136-J136)/J136</f>
        <v/>
      </c>
      <c r="M136" s="536">
        <f>E136/I136</f>
        <v/>
      </c>
      <c r="N136" s="536">
        <f>F136/J136</f>
        <v/>
      </c>
      <c r="O136" s="33">
        <f>(M136-M132)/M132</f>
        <v/>
      </c>
      <c r="P136" s="33">
        <f>(M136-N136)/N136</f>
        <v/>
      </c>
      <c r="Q136" s="537" t="n">
        <v>489</v>
      </c>
      <c r="R136" s="537" t="n">
        <v>2704</v>
      </c>
      <c r="S136" s="33">
        <f>(Q136-Q132)/Q132</f>
        <v/>
      </c>
      <c r="T136" s="33">
        <f>(Q136-R136)/R136</f>
        <v/>
      </c>
      <c r="U136" s="537" t="n">
        <v>1</v>
      </c>
      <c r="V136" s="537" t="n">
        <v>6</v>
      </c>
      <c r="W136" s="33">
        <f>(U136-U132)/U132</f>
        <v/>
      </c>
      <c r="X136" s="33">
        <f>(U136-V136)/V136</f>
        <v/>
      </c>
      <c r="Y136" s="113">
        <f>U136/Q136</f>
        <v/>
      </c>
      <c r="Z136" s="113">
        <f>V136/R136</f>
        <v/>
      </c>
      <c r="AA136" s="33">
        <f>(Y136-Y132)/Y132</f>
        <v/>
      </c>
      <c r="AB136" s="33">
        <f>(Y136-Z136)/Z136</f>
        <v/>
      </c>
      <c r="AC136" s="529">
        <f>E136/U136</f>
        <v/>
      </c>
      <c r="AD136" s="529">
        <f>F136/V136</f>
        <v/>
      </c>
      <c r="AE136" s="33">
        <f>(AC136-AC132)/AC132</f>
        <v/>
      </c>
      <c r="AF136" s="33">
        <f>(AC136-AD136)/AD136</f>
        <v/>
      </c>
      <c r="AG136" s="537" t="n">
        <v>448</v>
      </c>
      <c r="AH136" s="537">
        <f>2445+134</f>
        <v/>
      </c>
      <c r="AI136" s="33">
        <f>(AG136-AG132)/AG132</f>
        <v/>
      </c>
      <c r="AJ136" s="33">
        <f>(AG136-AH136)/AH136</f>
        <v/>
      </c>
      <c r="AK136" s="537" t="n">
        <v>5955</v>
      </c>
      <c r="AL136" s="537">
        <f>29366+1703</f>
        <v/>
      </c>
      <c r="AM136" s="150">
        <f>(AK136-AK132)/AK132</f>
        <v/>
      </c>
      <c r="AN136" s="431">
        <f>(AK136-AL136)/AL136</f>
        <v/>
      </c>
      <c r="AO136" s="282">
        <f>AG136/AK136</f>
        <v/>
      </c>
      <c r="AP136" s="282">
        <f>AH136/AL136</f>
        <v/>
      </c>
      <c r="AQ136" s="33">
        <f>(AO136-AO132)/AO132</f>
        <v/>
      </c>
      <c r="AR136" s="33">
        <f>(AO136-AP136)/AP136</f>
        <v/>
      </c>
    </row>
    <row customHeight="1" ht="15.75" r="137" s="452" spans="1:45">
      <c r="A137" s="260" t="s">
        <v>48</v>
      </c>
      <c r="B137" s="265" t="s">
        <v>118</v>
      </c>
      <c r="C137" s="261">
        <f>C133+7</f>
        <v/>
      </c>
      <c r="D137" s="260" t="s">
        <v>37</v>
      </c>
      <c r="E137" s="535" t="n">
        <v>1450</v>
      </c>
      <c r="F137" s="535" t="n"/>
      <c r="G137" s="33">
        <f>(E137-E133)/E133</f>
        <v/>
      </c>
      <c r="H137" s="33">
        <f>(E137-F137)/F137</f>
        <v/>
      </c>
      <c r="I137" s="535" t="n">
        <v>1378.44</v>
      </c>
      <c r="J137" s="536" t="n"/>
      <c r="K137" s="33">
        <f>(I137-I133)/I133</f>
        <v/>
      </c>
      <c r="L137" s="33">
        <f>(I137-J137)/J137</f>
        <v/>
      </c>
      <c r="M137" s="536">
        <f>E137/I137</f>
        <v/>
      </c>
      <c r="N137" s="536" t="n"/>
      <c r="O137" s="33">
        <f>(M137-M133)/M133</f>
        <v/>
      </c>
      <c r="P137" s="33">
        <f>(M137-N137)/N137</f>
        <v/>
      </c>
      <c r="Q137" s="537" t="n">
        <v>3378</v>
      </c>
      <c r="R137" s="537" t="n"/>
      <c r="S137" s="33">
        <f>(Q137-Q133)/Q133</f>
        <v/>
      </c>
      <c r="T137" s="33">
        <f>(Q137-R137)/R137</f>
        <v/>
      </c>
      <c r="U137" s="537" t="n">
        <v>12</v>
      </c>
      <c r="V137" s="537" t="n"/>
      <c r="W137" s="33">
        <f>(U137-U133)/U133</f>
        <v/>
      </c>
      <c r="X137" s="33">
        <f>(U137-V137)/V137</f>
        <v/>
      </c>
      <c r="Y137" s="113">
        <f>U137/Q137</f>
        <v/>
      </c>
      <c r="Z137" s="113" t="n"/>
      <c r="AA137" s="33">
        <f>(Y137-Y133)/Y133</f>
        <v/>
      </c>
      <c r="AB137" s="33">
        <f>(Y137-Z137)/Z137</f>
        <v/>
      </c>
      <c r="AC137" s="529">
        <f>E137/U137</f>
        <v/>
      </c>
      <c r="AD137" s="529" t="n"/>
      <c r="AE137" s="33">
        <f>(AC137-AC133)/AC133</f>
        <v/>
      </c>
      <c r="AF137" s="33">
        <f>(AC137-AD137)/AD137</f>
        <v/>
      </c>
      <c r="AG137" s="537" t="n">
        <v>3370</v>
      </c>
      <c r="AH137" s="537" t="n"/>
      <c r="AI137" s="33">
        <f>(AG137-AG133)/AG133</f>
        <v/>
      </c>
      <c r="AJ137" s="33">
        <f>(AG137-AH137)/AH137</f>
        <v/>
      </c>
      <c r="AK137" s="537" t="n">
        <v>184573</v>
      </c>
      <c r="AL137" s="537" t="n"/>
      <c r="AM137" s="150">
        <f>(AK137-AK133)/AK133</f>
        <v/>
      </c>
      <c r="AN137" s="431">
        <f>(AK137-AL137)/AL137</f>
        <v/>
      </c>
      <c r="AO137" s="282">
        <f>AG137/AK137</f>
        <v/>
      </c>
      <c r="AP137" s="282" t="n"/>
      <c r="AQ137" s="33">
        <f>(AO137-AO133)/AO133</f>
        <v/>
      </c>
      <c r="AR137" s="33">
        <f>(AO137-AP137)/AP137</f>
        <v/>
      </c>
    </row>
    <row customHeight="1" ht="15.75" r="138" s="452" spans="1:45">
      <c r="A138" s="29" t="s">
        <v>48</v>
      </c>
      <c r="B138" s="29" t="s">
        <v>119</v>
      </c>
      <c r="C138" s="30">
        <f>C134+7</f>
        <v/>
      </c>
      <c r="D138" s="31" t="s">
        <v>60</v>
      </c>
      <c r="E138" s="531">
        <f>SUM(E139:E141)</f>
        <v/>
      </c>
      <c r="F138" s="531">
        <f>SUM(F139:F141)</f>
        <v/>
      </c>
      <c r="G138" s="33">
        <f>(E138-E134)/E134</f>
        <v/>
      </c>
      <c r="H138" s="33">
        <f>(E138-F138)/F138</f>
        <v/>
      </c>
      <c r="I138" s="531">
        <f>SUM(I139:I141)</f>
        <v/>
      </c>
      <c r="J138" s="531">
        <f>SUM(J139:J141)</f>
        <v/>
      </c>
      <c r="K138" s="33">
        <f>(I138-I134)/I134</f>
        <v/>
      </c>
      <c r="L138" s="33">
        <f>(I138-J138)/J138</f>
        <v/>
      </c>
      <c r="M138" s="532">
        <f>E138/I138</f>
        <v/>
      </c>
      <c r="N138" s="532">
        <f>F138/J138</f>
        <v/>
      </c>
      <c r="O138" s="33">
        <f>(M138-M134)/M134</f>
        <v/>
      </c>
      <c r="P138" s="33">
        <f>(M138-N138)/N138</f>
        <v/>
      </c>
      <c r="Q138" s="533">
        <f>SUM(Q139:Q141)</f>
        <v/>
      </c>
      <c r="R138" s="533">
        <f>SUM(R139:R141)</f>
        <v/>
      </c>
      <c r="S138" s="33">
        <f>(Q138-Q134)/Q134</f>
        <v/>
      </c>
      <c r="T138" s="33">
        <f>(Q138-R138)/R138</f>
        <v/>
      </c>
      <c r="U138" s="533">
        <f>SUM(U139:U141)</f>
        <v/>
      </c>
      <c r="V138" s="533">
        <f>SUM(V139:V141)</f>
        <v/>
      </c>
      <c r="W138" s="33">
        <f>(U138-U134)/U134</f>
        <v/>
      </c>
      <c r="X138" s="33">
        <f>(U138-V138)/V138</f>
        <v/>
      </c>
      <c r="Y138" s="88">
        <f>U138/Q138</f>
        <v/>
      </c>
      <c r="Z138" s="88">
        <f>V138/R138</f>
        <v/>
      </c>
      <c r="AA138" s="33">
        <f>(Y138-Y134)/Y134</f>
        <v/>
      </c>
      <c r="AB138" s="33">
        <f>(Y138-Z138)/Z138</f>
        <v/>
      </c>
      <c r="AC138" s="540">
        <f>E138/U138</f>
        <v/>
      </c>
      <c r="AD138" s="534">
        <f>F138/V138</f>
        <v/>
      </c>
      <c r="AE138" s="33">
        <f>(AC138-AC134)/AC134</f>
        <v/>
      </c>
      <c r="AF138" s="33">
        <f>(AC138-AD138)/AD138</f>
        <v/>
      </c>
      <c r="AG138" s="533">
        <f>SUM(AG139:AG141)</f>
        <v/>
      </c>
      <c r="AH138" s="533">
        <f>SUM(AH139:AH141)</f>
        <v/>
      </c>
      <c r="AI138" s="33">
        <f>(AG138-AG134)/AG134</f>
        <v/>
      </c>
      <c r="AJ138" s="33">
        <f>(AG138-AH138)/AH138</f>
        <v/>
      </c>
      <c r="AK138" s="533">
        <f>SUM(AK139:AK141)</f>
        <v/>
      </c>
      <c r="AL138" s="533">
        <f>SUM(AL139:AL141)</f>
        <v/>
      </c>
      <c r="AM138" s="150">
        <f>(AK138-AK134)/AK134</f>
        <v/>
      </c>
      <c r="AN138" s="431">
        <f>(AK138-AL138)/AL138</f>
        <v/>
      </c>
      <c r="AO138" s="33">
        <f>AG138/AK138</f>
        <v/>
      </c>
      <c r="AP138" s="33">
        <f>AH138/AL138</f>
        <v/>
      </c>
      <c r="AQ138" s="33">
        <f>(AO138-AO134)/AO134</f>
        <v/>
      </c>
      <c r="AR138" s="33">
        <f>(AO138-AP138)/AP138</f>
        <v/>
      </c>
    </row>
    <row customHeight="1" ht="15.75" r="139" s="452" spans="1:45">
      <c r="A139" s="260" t="s">
        <v>48</v>
      </c>
      <c r="B139" s="265" t="s">
        <v>119</v>
      </c>
      <c r="C139" s="261">
        <f>C135+7</f>
        <v/>
      </c>
      <c r="D139" s="260" t="s">
        <v>35</v>
      </c>
      <c r="E139" s="535" t="n">
        <v>10443</v>
      </c>
      <c r="F139" s="535" t="n">
        <v>3637</v>
      </c>
      <c r="G139" s="33">
        <f>(E139-E135)/E135</f>
        <v/>
      </c>
      <c r="H139" s="33">
        <f>(E139-F139)/F139</f>
        <v/>
      </c>
      <c r="I139" s="535">
        <f>868.2+103.42</f>
        <v/>
      </c>
      <c r="J139" s="536">
        <f>426.23+14.79</f>
        <v/>
      </c>
      <c r="K139" s="33">
        <f>(I139-I135)/I135</f>
        <v/>
      </c>
      <c r="L139" s="33">
        <f>(I139-J139)/J139</f>
        <v/>
      </c>
      <c r="M139" s="536">
        <f>E139/I139</f>
        <v/>
      </c>
      <c r="N139" s="536">
        <f>F139/J139</f>
        <v/>
      </c>
      <c r="O139" s="33">
        <f>(M139-M135)/M135</f>
        <v/>
      </c>
      <c r="P139" s="33">
        <f>(M139-N139)/N139</f>
        <v/>
      </c>
      <c r="Q139" s="537" t="n">
        <v>4815</v>
      </c>
      <c r="R139" s="537" t="n">
        <v>2883</v>
      </c>
      <c r="S139" s="33">
        <f>(Q139-Q135)/Q135</f>
        <v/>
      </c>
      <c r="T139" s="33">
        <f>(Q139-R139)/R139</f>
        <v/>
      </c>
      <c r="U139" s="537" t="n">
        <v>80</v>
      </c>
      <c r="V139" s="537" t="n">
        <v>33</v>
      </c>
      <c r="W139" s="33">
        <f>(U139-U135)/U135</f>
        <v/>
      </c>
      <c r="X139" s="33">
        <f>(U139-V139)/V139</f>
        <v/>
      </c>
      <c r="Y139" s="113">
        <f>U139/Q139</f>
        <v/>
      </c>
      <c r="Z139" s="113">
        <f>V139/R139</f>
        <v/>
      </c>
      <c r="AA139" s="33">
        <f>(Y139-Y135)/Y135</f>
        <v/>
      </c>
      <c r="AB139" s="33">
        <f>(Y139-Z139)/Z139</f>
        <v/>
      </c>
      <c r="AC139" s="529">
        <f>E139/U139</f>
        <v/>
      </c>
      <c r="AD139" s="529">
        <f>F139/V139</f>
        <v/>
      </c>
      <c r="AE139" s="33">
        <f>(AC139-AC135)/AC135</f>
        <v/>
      </c>
      <c r="AF139" s="33">
        <f>(AC139-AD139)/AD139</f>
        <v/>
      </c>
      <c r="AG139" s="537">
        <f>3251+155</f>
        <v/>
      </c>
      <c r="AH139" s="537">
        <f>2021+116</f>
        <v/>
      </c>
      <c r="AI139" s="33">
        <f>(AG139-AG135)/AG135</f>
        <v/>
      </c>
      <c r="AJ139" s="33">
        <f>(AG139-AH139)/AH139</f>
        <v/>
      </c>
      <c r="AK139" s="537">
        <f>9137+416</f>
        <v/>
      </c>
      <c r="AL139" s="537">
        <f>6312+292</f>
        <v/>
      </c>
      <c r="AM139" s="150">
        <f>(AK139-AK135)/AK135</f>
        <v/>
      </c>
      <c r="AN139" s="431">
        <f>(AK139-AL139)/AL139</f>
        <v/>
      </c>
      <c r="AO139" s="282">
        <f>AG139/AK139</f>
        <v/>
      </c>
      <c r="AP139" s="282">
        <f>AH139/AL139</f>
        <v/>
      </c>
      <c r="AQ139" s="33">
        <f>(AO139-AO135)/AO135</f>
        <v/>
      </c>
      <c r="AR139" s="33">
        <f>(AO139-AP139)/AP139</f>
        <v/>
      </c>
    </row>
    <row customHeight="1" ht="15.75" r="140" s="452" spans="1:45">
      <c r="A140" s="260" t="s">
        <v>48</v>
      </c>
      <c r="B140" s="265" t="s">
        <v>119</v>
      </c>
      <c r="C140" s="261">
        <f>C136+7</f>
        <v/>
      </c>
      <c r="D140" s="260" t="s">
        <v>36</v>
      </c>
      <c r="E140" s="535" t="n">
        <v>288</v>
      </c>
      <c r="F140" s="535" t="n">
        <v>893</v>
      </c>
      <c r="G140" s="33">
        <f>(E140-E136)/E136</f>
        <v/>
      </c>
      <c r="H140" s="33">
        <f>(E140-F140)/F140</f>
        <v/>
      </c>
      <c r="I140" s="535" t="n">
        <v>612.16</v>
      </c>
      <c r="J140" s="536">
        <f>2131.49+116.59</f>
        <v/>
      </c>
      <c r="K140" s="33">
        <f>(I140-I136)/I136</f>
        <v/>
      </c>
      <c r="L140" s="33">
        <f>(I140-J140)/J140</f>
        <v/>
      </c>
      <c r="M140" s="536">
        <f>E140/I140</f>
        <v/>
      </c>
      <c r="N140" s="536">
        <f>F140/J140</f>
        <v/>
      </c>
      <c r="O140" s="33">
        <f>(M140-M136)/M136</f>
        <v/>
      </c>
      <c r="P140" s="33">
        <f>(M140-N140)/N140</f>
        <v/>
      </c>
      <c r="Q140" s="537" t="n">
        <v>477</v>
      </c>
      <c r="R140" s="537" t="n">
        <v>2408</v>
      </c>
      <c r="S140" s="33">
        <f>(Q140-Q136)/Q136</f>
        <v/>
      </c>
      <c r="T140" s="33">
        <f>(Q140-R140)/R140</f>
        <v/>
      </c>
      <c r="U140" s="537" t="n">
        <v>3</v>
      </c>
      <c r="V140" s="537" t="n">
        <v>11</v>
      </c>
      <c r="W140" s="33">
        <f>(U140-U136)/U136</f>
        <v/>
      </c>
      <c r="X140" s="33">
        <f>(U140-V140)/V140</f>
        <v/>
      </c>
      <c r="Y140" s="113">
        <f>U140/Q140</f>
        <v/>
      </c>
      <c r="Z140" s="113">
        <f>V140/R140</f>
        <v/>
      </c>
      <c r="AA140" s="33">
        <f>(Y140-Y136)/Y136</f>
        <v/>
      </c>
      <c r="AB140" s="33">
        <f>(Y140-Z140)/Z140</f>
        <v/>
      </c>
      <c r="AC140" s="529">
        <f>E140/U140</f>
        <v/>
      </c>
      <c r="AD140" s="529">
        <f>F140/V140</f>
        <v/>
      </c>
      <c r="AE140" s="33">
        <f>(AC140-AC136)/AC136</f>
        <v/>
      </c>
      <c r="AF140" s="33">
        <f>(AC140-AD140)/AD140</f>
        <v/>
      </c>
      <c r="AG140" s="537" t="n">
        <v>409</v>
      </c>
      <c r="AH140" s="537">
        <f>2209+153</f>
        <v/>
      </c>
      <c r="AI140" s="33">
        <f>(AG140-AG136)/AG136</f>
        <v/>
      </c>
      <c r="AJ140" s="33">
        <f>(AG140-AH140)/AH140</f>
        <v/>
      </c>
      <c r="AK140" s="537" t="n">
        <v>4945</v>
      </c>
      <c r="AL140" s="537">
        <f>26582+1632</f>
        <v/>
      </c>
      <c r="AM140" s="150">
        <f>(AK140-AK136)/AK136</f>
        <v/>
      </c>
      <c r="AN140" s="431">
        <f>(AK140-AL140)/AL140</f>
        <v/>
      </c>
      <c r="AO140" s="282">
        <f>AG140/AK140</f>
        <v/>
      </c>
      <c r="AP140" s="282">
        <f>AH140/AL140</f>
        <v/>
      </c>
      <c r="AQ140" s="33">
        <f>(AO140-AO136)/AO136</f>
        <v/>
      </c>
      <c r="AR140" s="33">
        <f>(AO140-AP140)/AP140</f>
        <v/>
      </c>
    </row>
    <row customHeight="1" ht="15.75" r="141" s="452" spans="1:45">
      <c r="A141" s="260" t="s">
        <v>48</v>
      </c>
      <c r="B141" s="265" t="s">
        <v>119</v>
      </c>
      <c r="C141" s="261">
        <f>C137+7</f>
        <v/>
      </c>
      <c r="D141" s="260" t="s">
        <v>37</v>
      </c>
      <c r="E141" s="535" t="n">
        <v>545</v>
      </c>
      <c r="F141" s="535" t="n"/>
      <c r="G141" s="33">
        <f>(E141-E137)/E137</f>
        <v/>
      </c>
      <c r="H141" s="33">
        <f>(E141-F141)/F141</f>
        <v/>
      </c>
      <c r="I141" s="535" t="n">
        <v>793.4299999999999</v>
      </c>
      <c r="J141" s="536" t="n"/>
      <c r="K141" s="33">
        <f>(I141-I137)/I137</f>
        <v/>
      </c>
      <c r="L141" s="33">
        <f>(I141-J141)/J141</f>
        <v/>
      </c>
      <c r="M141" s="536">
        <f>E141/I141</f>
        <v/>
      </c>
      <c r="N141" s="536">
        <f>F141/J141</f>
        <v/>
      </c>
      <c r="O141" s="33">
        <f>(M141-M137)/M137</f>
        <v/>
      </c>
      <c r="P141" s="33">
        <f>(M141-N141)/N141</f>
        <v/>
      </c>
      <c r="Q141" s="537" t="n">
        <v>2332</v>
      </c>
      <c r="R141" s="537" t="n"/>
      <c r="S141" s="33">
        <f>(Q141-Q137)/Q137</f>
        <v/>
      </c>
      <c r="T141" s="33">
        <f>(Q141-R141)/R141</f>
        <v/>
      </c>
      <c r="U141" s="537" t="n">
        <v>7</v>
      </c>
      <c r="V141" s="537" t="n"/>
      <c r="W141" s="33">
        <f>(U141-U137)/U137</f>
        <v/>
      </c>
      <c r="X141" s="33">
        <f>(U141-V141)/V141</f>
        <v/>
      </c>
      <c r="Y141" s="113">
        <f>U141/Q141</f>
        <v/>
      </c>
      <c r="Z141" s="113">
        <f>V141/R141</f>
        <v/>
      </c>
      <c r="AA141" s="33">
        <f>(Y141-Y137)/Y137</f>
        <v/>
      </c>
      <c r="AB141" s="33">
        <f>(Y141-Z141)/Z141</f>
        <v/>
      </c>
      <c r="AC141" s="529">
        <f>E141/U141</f>
        <v/>
      </c>
      <c r="AD141" s="529">
        <f>F141/V141</f>
        <v/>
      </c>
      <c r="AE141" s="33">
        <f>(AC141-AC137)/AC137</f>
        <v/>
      </c>
      <c r="AF141" s="33">
        <f>(AC141-AD141)/AD141</f>
        <v/>
      </c>
      <c r="AG141" s="537" t="n">
        <v>2338</v>
      </c>
      <c r="AH141" s="537" t="n"/>
      <c r="AI141" s="33">
        <f>(AG141-AG137)/AG137</f>
        <v/>
      </c>
      <c r="AJ141" s="33">
        <f>(AG141-AH141)/AH141</f>
        <v/>
      </c>
      <c r="AK141" s="537" t="n">
        <v>118234</v>
      </c>
      <c r="AL141" s="537" t="n"/>
      <c r="AM141" s="150">
        <f>(AK141-AK137)/AK137</f>
        <v/>
      </c>
      <c r="AN141" s="431">
        <f>(AK141-AL141)/AL141</f>
        <v/>
      </c>
      <c r="AO141" s="282">
        <f>AG141/AK141</f>
        <v/>
      </c>
      <c r="AP141" s="282">
        <f>AH141/AL141</f>
        <v/>
      </c>
      <c r="AQ141" s="33">
        <f>(AO141-AO137)/AO137</f>
        <v/>
      </c>
      <c r="AR141" s="33">
        <f>(AO141-AP141)/AP141</f>
        <v/>
      </c>
    </row>
    <row customHeight="1" ht="15.75" r="142" s="452" spans="1:45">
      <c r="A142" s="29" t="s">
        <v>48</v>
      </c>
      <c r="B142" s="29" t="s">
        <v>120</v>
      </c>
      <c r="C142" s="30">
        <f>C138+7</f>
        <v/>
      </c>
      <c r="D142" s="31" t="s">
        <v>60</v>
      </c>
      <c r="E142" s="531">
        <f>SUM(E143:E145)</f>
        <v/>
      </c>
      <c r="F142" s="531">
        <f>SUM(F143:F145)</f>
        <v/>
      </c>
      <c r="G142" s="33">
        <f>(E142-E138)/E138</f>
        <v/>
      </c>
      <c r="H142" s="33">
        <f>(E142-F142)/F142</f>
        <v/>
      </c>
      <c r="I142" s="531">
        <f>SUM(I143:I145)</f>
        <v/>
      </c>
      <c r="J142" s="531">
        <f>SUM(J143:J145)</f>
        <v/>
      </c>
      <c r="K142" s="33">
        <f>(I142-I138)/I138</f>
        <v/>
      </c>
      <c r="L142" s="33">
        <f>(I142-J142)/J142</f>
        <v/>
      </c>
      <c r="M142" s="532">
        <f>E142/I142</f>
        <v/>
      </c>
      <c r="N142" s="532">
        <f>F142/J142</f>
        <v/>
      </c>
      <c r="O142" s="33">
        <f>(M142-M138)/M138</f>
        <v/>
      </c>
      <c r="P142" s="33">
        <f>(M142-N142)/N142</f>
        <v/>
      </c>
      <c r="Q142" s="533">
        <f>SUM(Q143:Q145)</f>
        <v/>
      </c>
      <c r="R142" s="533">
        <f>SUM(R143:R145)</f>
        <v/>
      </c>
      <c r="S142" s="33">
        <f>(Q142-Q138)/Q138</f>
        <v/>
      </c>
      <c r="T142" s="33">
        <f>(Q142-R142)/R142</f>
        <v/>
      </c>
      <c r="U142" s="533">
        <f>SUM(U143:U145)</f>
        <v/>
      </c>
      <c r="V142" s="533">
        <f>SUM(V143:V145)</f>
        <v/>
      </c>
      <c r="W142" s="33">
        <f>(U142-U138)/U138</f>
        <v/>
      </c>
      <c r="X142" s="33">
        <f>(U142-V142)/V142</f>
        <v/>
      </c>
      <c r="Y142" s="88">
        <f>U142/Q142</f>
        <v/>
      </c>
      <c r="Z142" s="88">
        <f>V142/R142</f>
        <v/>
      </c>
      <c r="AA142" s="33">
        <f>(Y142-Y138)/Y138</f>
        <v/>
      </c>
      <c r="AB142" s="33">
        <f>(Y142-Z142)/Z142</f>
        <v/>
      </c>
      <c r="AC142" s="540">
        <f>E142/U142</f>
        <v/>
      </c>
      <c r="AD142" s="534">
        <f>F142/V142</f>
        <v/>
      </c>
      <c r="AE142" s="33">
        <f>(AC142-AC138)/AC138</f>
        <v/>
      </c>
      <c r="AF142" s="33">
        <f>(AC142-AD142)/AD142</f>
        <v/>
      </c>
      <c r="AG142" s="533">
        <f>SUM(AG143:AG145)</f>
        <v/>
      </c>
      <c r="AH142" s="533">
        <f>SUM(AH143:AH145)</f>
        <v/>
      </c>
      <c r="AI142" s="33">
        <f>(AG142-AG138)/AG138</f>
        <v/>
      </c>
      <c r="AJ142" s="33">
        <f>(AG142-AH142)/AH142</f>
        <v/>
      </c>
      <c r="AK142" s="533">
        <f>SUM(AK143:AK145)</f>
        <v/>
      </c>
      <c r="AL142" s="533">
        <f>SUM(AL143:AL145)</f>
        <v/>
      </c>
      <c r="AM142" s="150">
        <f>(AK142-AK138)/AK138</f>
        <v/>
      </c>
      <c r="AN142" s="431">
        <f>(AK142-AL142)/AL142</f>
        <v/>
      </c>
      <c r="AO142" s="33">
        <f>AG142/AK142</f>
        <v/>
      </c>
      <c r="AP142" s="33">
        <f>AH142/AL142</f>
        <v/>
      </c>
      <c r="AQ142" s="33">
        <f>(AO142-AO138)/AO138</f>
        <v/>
      </c>
      <c r="AR142" s="33">
        <f>(AO142-AP142)/AP142</f>
        <v/>
      </c>
    </row>
    <row customHeight="1" ht="15.75" r="143" s="452" spans="1:45">
      <c r="A143" s="260" t="s">
        <v>48</v>
      </c>
      <c r="B143" s="260" t="s">
        <v>120</v>
      </c>
      <c r="C143" s="261">
        <f>C139+7</f>
        <v/>
      </c>
      <c r="D143" s="260" t="s">
        <v>35</v>
      </c>
      <c r="E143" s="535" t="n">
        <v>9784</v>
      </c>
      <c r="F143" s="535" t="n">
        <v>5902</v>
      </c>
      <c r="G143" s="33">
        <f>(E143-E139)/E139</f>
        <v/>
      </c>
      <c r="H143" s="33">
        <f>(E143-F143)/F143</f>
        <v/>
      </c>
      <c r="I143" s="535">
        <f>737.43+80.66</f>
        <v/>
      </c>
      <c r="J143" s="536">
        <f>444.28+16.84</f>
        <v/>
      </c>
      <c r="K143" s="33">
        <f>(I143-I139)/I139</f>
        <v/>
      </c>
      <c r="L143" s="33">
        <f>(I143-J143)/J143</f>
        <v/>
      </c>
      <c r="M143" s="536">
        <f>E143/I143</f>
        <v/>
      </c>
      <c r="N143" s="536">
        <f>F143/J143</f>
        <v/>
      </c>
      <c r="O143" s="33">
        <f>(M143-M139)/M139</f>
        <v/>
      </c>
      <c r="P143" s="33">
        <f>(M143-N143)/N143</f>
        <v/>
      </c>
      <c r="Q143" s="537" t="n">
        <v>4224</v>
      </c>
      <c r="R143" s="537" t="n">
        <v>3129</v>
      </c>
      <c r="S143" s="33">
        <f>(Q143-Q139)/Q139</f>
        <v/>
      </c>
      <c r="T143" s="33">
        <f>(Q143-R143)/R143</f>
        <v/>
      </c>
      <c r="U143" s="537" t="n">
        <v>88</v>
      </c>
      <c r="V143" s="537" t="n">
        <v>52</v>
      </c>
      <c r="W143" s="33">
        <f>(U143-U139)/U139</f>
        <v/>
      </c>
      <c r="X143" s="33">
        <f>(U143-V143)/V143</f>
        <v/>
      </c>
      <c r="Y143" s="113">
        <f>U143/Q143</f>
        <v/>
      </c>
      <c r="Z143" s="113">
        <f>V143/R143</f>
        <v/>
      </c>
      <c r="AA143" s="33">
        <f>(Y143-Y139)/Y139</f>
        <v/>
      </c>
      <c r="AB143" s="33">
        <f>(Y143-Z143)/Z143</f>
        <v/>
      </c>
      <c r="AC143" s="529">
        <f>E143/U143</f>
        <v/>
      </c>
      <c r="AD143" s="529">
        <f>F143/V143</f>
        <v/>
      </c>
      <c r="AE143" s="33">
        <f>(AC143-AC139)/AC139</f>
        <v/>
      </c>
      <c r="AF143" s="33">
        <f>(AC143-AD143)/AD143</f>
        <v/>
      </c>
      <c r="AG143" s="537">
        <f>2830+91</f>
        <v/>
      </c>
      <c r="AH143" s="537">
        <f>2274+104</f>
        <v/>
      </c>
      <c r="AI143" s="33">
        <f>(AG143-AG139)/AG139</f>
        <v/>
      </c>
      <c r="AJ143" s="33">
        <f>(AG143-AH143)/AH143</f>
        <v/>
      </c>
      <c r="AK143" s="537">
        <f>8147+266</f>
        <v/>
      </c>
      <c r="AL143" s="537">
        <f>6511+272</f>
        <v/>
      </c>
      <c r="AM143" s="150">
        <f>(AK143-AK139)/AK139</f>
        <v/>
      </c>
      <c r="AN143" s="431">
        <f>(AK143-AL143)/AL143</f>
        <v/>
      </c>
      <c r="AO143" s="282">
        <f>AG143/AK143</f>
        <v/>
      </c>
      <c r="AP143" s="282">
        <f>AH143/AL143</f>
        <v/>
      </c>
      <c r="AQ143" s="33">
        <f>(AO143-AO139)/AO139</f>
        <v/>
      </c>
      <c r="AR143" s="33">
        <f>(AO143-AP143)/AP143</f>
        <v/>
      </c>
    </row>
    <row customHeight="1" ht="15.75" r="144" s="452" spans="1:45">
      <c r="A144" s="260" t="s">
        <v>48</v>
      </c>
      <c r="B144" s="260" t="s">
        <v>120</v>
      </c>
      <c r="C144" s="261">
        <f>C140+7</f>
        <v/>
      </c>
      <c r="D144" s="260" t="s">
        <v>36</v>
      </c>
      <c r="E144" s="535" t="n">
        <v>734</v>
      </c>
      <c r="F144" s="535" t="n">
        <v>758</v>
      </c>
      <c r="G144" s="33">
        <f>(E144-E140)/E140</f>
        <v/>
      </c>
      <c r="H144" s="33">
        <f>(E144-F144)/F144</f>
        <v/>
      </c>
      <c r="I144" s="535">
        <f>724.86</f>
        <v/>
      </c>
      <c r="J144" s="536">
        <f>2442.29+115.47</f>
        <v/>
      </c>
      <c r="K144" s="33">
        <f>(I144-I140)/I140</f>
        <v/>
      </c>
      <c r="L144" s="33">
        <f>(I144-J144)/J144</f>
        <v/>
      </c>
      <c r="M144" s="536">
        <f>E144/I144</f>
        <v/>
      </c>
      <c r="N144" s="536">
        <f>F144/J144</f>
        <v/>
      </c>
      <c r="O144" s="33">
        <f>(M144-M140)/M140</f>
        <v/>
      </c>
      <c r="P144" s="33">
        <f>(M144-N144)/N144</f>
        <v/>
      </c>
      <c r="Q144" s="537" t="n">
        <v>591</v>
      </c>
      <c r="R144" s="537" t="n">
        <v>2550</v>
      </c>
      <c r="S144" s="33">
        <f>(Q144-Q140)/Q140</f>
        <v/>
      </c>
      <c r="T144" s="33">
        <f>(Q144-R144)/R144</f>
        <v/>
      </c>
      <c r="U144" s="537" t="n">
        <v>7</v>
      </c>
      <c r="V144" s="537" t="n">
        <v>10</v>
      </c>
      <c r="W144" s="33">
        <f>(U144-U140)/U140</f>
        <v/>
      </c>
      <c r="X144" s="33">
        <f>(U144-V144)/V144</f>
        <v/>
      </c>
      <c r="Y144" s="113">
        <f>U144/Q144</f>
        <v/>
      </c>
      <c r="Z144" s="113">
        <f>V144/R144</f>
        <v/>
      </c>
      <c r="AA144" s="33">
        <f>(Y144-Y140)/Y140</f>
        <v/>
      </c>
      <c r="AB144" s="33">
        <f>(Y144-Z144)/Z144</f>
        <v/>
      </c>
      <c r="AC144" s="529">
        <f>E144/U144</f>
        <v/>
      </c>
      <c r="AD144" s="529">
        <f>F144/V144</f>
        <v/>
      </c>
      <c r="AE144" s="33">
        <f>(AC144-AC140)/AC140</f>
        <v/>
      </c>
      <c r="AF144" s="33">
        <f>(AC144-AD144)/AD144</f>
        <v/>
      </c>
      <c r="AG144" s="537" t="n">
        <v>512</v>
      </c>
      <c r="AH144" s="537">
        <f>2294+142</f>
        <v/>
      </c>
      <c r="AI144" s="33">
        <f>(AG144-AG140)/AG140</f>
        <v/>
      </c>
      <c r="AJ144" s="33">
        <f>(AG144-AH144)/AH144</f>
        <v/>
      </c>
      <c r="AK144" s="537" t="n">
        <v>7267</v>
      </c>
      <c r="AL144" s="537">
        <f>30506+1638</f>
        <v/>
      </c>
      <c r="AM144" s="150">
        <f>(AK144-AK140)/AK140</f>
        <v/>
      </c>
      <c r="AN144" s="431">
        <f>(AK144-AL144)/AL144</f>
        <v/>
      </c>
      <c r="AO144" s="282">
        <f>AG144/AK144</f>
        <v/>
      </c>
      <c r="AP144" s="282">
        <f>AH144/AL144</f>
        <v/>
      </c>
      <c r="AQ144" s="33">
        <f>(AO144-AO140)/AO140</f>
        <v/>
      </c>
      <c r="AR144" s="33">
        <f>(AO144-AP144)/AP144</f>
        <v/>
      </c>
    </row>
    <row customHeight="1" ht="15.75" r="145" s="452" spans="1:45">
      <c r="A145" s="260" t="s">
        <v>48</v>
      </c>
      <c r="B145" s="260" t="s">
        <v>120</v>
      </c>
      <c r="C145" s="261">
        <f>C141+7</f>
        <v/>
      </c>
      <c r="D145" s="260" t="s">
        <v>37</v>
      </c>
      <c r="E145" s="535" t="n">
        <v>1041</v>
      </c>
      <c r="F145" s="535" t="n"/>
      <c r="G145" s="33">
        <f>(E145-E141)/E141</f>
        <v/>
      </c>
      <c r="H145" s="33">
        <f>(E145-F145)/F145</f>
        <v/>
      </c>
      <c r="I145" s="535" t="n">
        <v>763.1</v>
      </c>
      <c r="J145" s="536" t="n"/>
      <c r="K145" s="33">
        <f>(I145-I141)/I141</f>
        <v/>
      </c>
      <c r="L145" s="33">
        <f>(I145-J145)/J145</f>
        <v/>
      </c>
      <c r="M145" s="536">
        <f>E145/I145</f>
        <v/>
      </c>
      <c r="N145" s="536" t="n"/>
      <c r="O145" s="33">
        <f>(M145-M141)/M141</f>
        <v/>
      </c>
      <c r="P145" s="33">
        <f>(M145-N145)/N145</f>
        <v/>
      </c>
      <c r="Q145" s="537" t="n">
        <v>2317</v>
      </c>
      <c r="R145" s="537" t="n"/>
      <c r="S145" s="33">
        <f>(Q145-Q141)/Q141</f>
        <v/>
      </c>
      <c r="T145" s="33">
        <f>(Q145-R145)/R145</f>
        <v/>
      </c>
      <c r="U145" s="537" t="n">
        <v>15</v>
      </c>
      <c r="V145" s="537" t="n"/>
      <c r="W145" s="33">
        <f>(U145-U141)/U141</f>
        <v/>
      </c>
      <c r="X145" s="33">
        <f>(U145-V145)/V145</f>
        <v/>
      </c>
      <c r="Y145" s="113">
        <f>U145/Q145</f>
        <v/>
      </c>
      <c r="Z145" s="113" t="n"/>
      <c r="AA145" s="33">
        <f>(Y145-Y141)/Y141</f>
        <v/>
      </c>
      <c r="AB145" s="33">
        <f>(Y145-Z145)/Z145</f>
        <v/>
      </c>
      <c r="AC145" s="529">
        <f>E145/U145</f>
        <v/>
      </c>
      <c r="AD145" s="529" t="n"/>
      <c r="AE145" s="33">
        <f>(AC145-AC141)/AC141</f>
        <v/>
      </c>
      <c r="AF145" s="33">
        <f>(AC145-AD145)/AD145</f>
        <v/>
      </c>
      <c r="AG145" s="537" t="n">
        <v>2290</v>
      </c>
      <c r="AH145" s="537" t="n"/>
      <c r="AI145" s="33">
        <f>(AG145-AG141)/AG141</f>
        <v/>
      </c>
      <c r="AJ145" s="33">
        <f>(AG145-AH145)/AH145</f>
        <v/>
      </c>
      <c r="AK145" s="537" t="n">
        <v>124623</v>
      </c>
      <c r="AL145" s="537" t="n"/>
      <c r="AM145" s="150">
        <f>(AK145-AK141)/AK141</f>
        <v/>
      </c>
      <c r="AN145" s="431">
        <f>(AK145-AL145)/AL145</f>
        <v/>
      </c>
      <c r="AO145" s="282">
        <f>AG145/AK145</f>
        <v/>
      </c>
      <c r="AP145" s="282" t="n"/>
      <c r="AQ145" s="33">
        <f>(AO145-AO141)/AO141</f>
        <v/>
      </c>
      <c r="AR145" s="33">
        <f>(AO145-AP145)/AP145</f>
        <v/>
      </c>
    </row>
    <row customFormat="1" customHeight="1" ht="15.75" r="146" s="108" spans="1:45">
      <c r="A146" s="272" t="s">
        <v>49</v>
      </c>
      <c r="B146" s="272" t="s">
        <v>121</v>
      </c>
      <c r="C146" s="273">
        <f>C142+7</f>
        <v/>
      </c>
      <c r="D146" s="274" t="s">
        <v>60</v>
      </c>
      <c r="E146" s="541">
        <f>SUM(E147:E149)</f>
        <v/>
      </c>
      <c r="F146" s="541">
        <f>SUM(F147:F149)</f>
        <v/>
      </c>
      <c r="G146" s="116">
        <f>(E146-E142)/E142</f>
        <v/>
      </c>
      <c r="H146" s="116">
        <f>(E146-F146)/F146</f>
        <v/>
      </c>
      <c r="I146" s="541">
        <f>SUM(I147:I149)</f>
        <v/>
      </c>
      <c r="J146" s="541">
        <f>SUM(J147:J149)</f>
        <v/>
      </c>
      <c r="K146" s="116">
        <f>(I146-I142)/I142</f>
        <v/>
      </c>
      <c r="L146" s="116">
        <f>(I146-J146)/J146</f>
        <v/>
      </c>
      <c r="M146" s="542">
        <f>E146/I146</f>
        <v/>
      </c>
      <c r="N146" s="542">
        <f>F146/J146</f>
        <v/>
      </c>
      <c r="O146" s="116">
        <f>(M146-M142)/M142</f>
        <v/>
      </c>
      <c r="P146" s="116">
        <f>(M146-N146)/N146</f>
        <v/>
      </c>
      <c r="Q146" s="543">
        <f>SUM(Q147:Q149)</f>
        <v/>
      </c>
      <c r="R146" s="543">
        <f>SUM(R147:R149)</f>
        <v/>
      </c>
      <c r="S146" s="116">
        <f>(Q146-Q142)/Q142</f>
        <v/>
      </c>
      <c r="T146" s="116">
        <f>(Q146-R146)/R146</f>
        <v/>
      </c>
      <c r="U146" s="543">
        <f>SUM(U147:U149)</f>
        <v/>
      </c>
      <c r="V146" s="543">
        <f>SUM(V147:V149)</f>
        <v/>
      </c>
      <c r="W146" s="116">
        <f>(U146-U142)/U142</f>
        <v/>
      </c>
      <c r="X146" s="116">
        <f>(U146-V146)/V146</f>
        <v/>
      </c>
      <c r="Y146" s="119">
        <f>U146/Q146</f>
        <v/>
      </c>
      <c r="Z146" s="119">
        <f>V146/R146</f>
        <v/>
      </c>
      <c r="AA146" s="116">
        <f>(Y146-Y142)/Y142</f>
        <v/>
      </c>
      <c r="AB146" s="116">
        <f>(Y146-Z146)/Z146</f>
        <v/>
      </c>
      <c r="AC146" s="544">
        <f>E146/U146</f>
        <v/>
      </c>
      <c r="AD146" s="545">
        <f>F146/V146</f>
        <v/>
      </c>
      <c r="AE146" s="116">
        <f>(AC146-AC142)/AC142</f>
        <v/>
      </c>
      <c r="AF146" s="116">
        <f>(AC146-AD146)/AD146</f>
        <v/>
      </c>
      <c r="AG146" s="543">
        <f>SUM(AG147:AG149)</f>
        <v/>
      </c>
      <c r="AH146" s="543">
        <f>SUM(AH147:AH149)</f>
        <v/>
      </c>
      <c r="AI146" s="116">
        <f>(AG146-AG142)/AG142</f>
        <v/>
      </c>
      <c r="AJ146" s="116">
        <f>(AG146-AH146)/AH146</f>
        <v/>
      </c>
      <c r="AK146" s="543">
        <f>SUM(AK147:AK149)</f>
        <v/>
      </c>
      <c r="AL146" s="543">
        <f>SUM(AL147:AL149)</f>
        <v/>
      </c>
      <c r="AM146" s="276">
        <f>(AK146-AK142)/AK142</f>
        <v/>
      </c>
      <c r="AN146" s="277">
        <f>(AK146-AL146)/AL146</f>
        <v/>
      </c>
      <c r="AO146" s="116">
        <f>AG146/AK146</f>
        <v/>
      </c>
      <c r="AP146" s="116">
        <f>AH146/AL146</f>
        <v/>
      </c>
      <c r="AQ146" s="116">
        <f>(AO146-AO142)/AO142</f>
        <v/>
      </c>
      <c r="AR146" s="116">
        <f>(AO146-AP146)/AP146</f>
        <v/>
      </c>
      <c r="AS146" s="108" t="n"/>
    </row>
    <row customHeight="1" ht="15.75" r="147" s="452" spans="1:45">
      <c r="A147" s="260" t="s">
        <v>49</v>
      </c>
      <c r="B147" s="260" t="s">
        <v>121</v>
      </c>
      <c r="C147" s="261">
        <f>C143+7</f>
        <v/>
      </c>
      <c r="D147" s="260" t="s">
        <v>35</v>
      </c>
      <c r="E147" s="535" t="n">
        <v>10751</v>
      </c>
      <c r="F147" s="535" t="n">
        <v>5945</v>
      </c>
      <c r="G147" s="33">
        <f>(E147-E143)/E143</f>
        <v/>
      </c>
      <c r="H147" s="33">
        <f>(E147-F147)/F147</f>
        <v/>
      </c>
      <c r="I147" s="535">
        <f>766.67+113.29</f>
        <v/>
      </c>
      <c r="J147" s="536">
        <f>473.17+17.56</f>
        <v/>
      </c>
      <c r="K147" s="33">
        <f>(I147-I143)/I143</f>
        <v/>
      </c>
      <c r="L147" s="33">
        <f>(I147-J147)/J147</f>
        <v/>
      </c>
      <c r="M147" s="536">
        <f>E147/I147</f>
        <v/>
      </c>
      <c r="N147" s="536">
        <f>F147/J147</f>
        <v/>
      </c>
      <c r="O147" s="33">
        <f>(M147-M143)/M143</f>
        <v/>
      </c>
      <c r="P147" s="33">
        <f>(M147-N147)/N147</f>
        <v/>
      </c>
      <c r="Q147" s="537" t="n">
        <v>4564</v>
      </c>
      <c r="R147" s="537" t="n">
        <v>3587</v>
      </c>
      <c r="S147" s="33">
        <f>(Q147-Q143)/Q143</f>
        <v/>
      </c>
      <c r="T147" s="33">
        <f>(Q147-R147)/R147</f>
        <v/>
      </c>
      <c r="U147" s="537" t="n">
        <v>95</v>
      </c>
      <c r="V147" s="537" t="n">
        <v>60</v>
      </c>
      <c r="W147" s="33">
        <f>(U147-U143)/U143</f>
        <v/>
      </c>
      <c r="X147" s="33">
        <f>(U147-V147)/V147</f>
        <v/>
      </c>
      <c r="Y147" s="113">
        <f>U147/Q147</f>
        <v/>
      </c>
      <c r="Z147" s="113">
        <f>V147/R147</f>
        <v/>
      </c>
      <c r="AA147" s="33">
        <f>(Y147-Y143)/Y143</f>
        <v/>
      </c>
      <c r="AB147" s="33">
        <f>(Y147-Z147)/Z147</f>
        <v/>
      </c>
      <c r="AC147" s="529">
        <f>E147/U147</f>
        <v/>
      </c>
      <c r="AD147" s="529">
        <f>F147/V147</f>
        <v/>
      </c>
      <c r="AE147" s="33">
        <f>(AC147-AC143)/AC143</f>
        <v/>
      </c>
      <c r="AF147" s="33">
        <f>(AC147-AD147)/AD147</f>
        <v/>
      </c>
      <c r="AG147" s="537">
        <f>3096+144</f>
        <v/>
      </c>
      <c r="AH147" s="537">
        <f>2636+128</f>
        <v/>
      </c>
      <c r="AI147" s="33">
        <f>(AG147-AG143)/AG143</f>
        <v/>
      </c>
      <c r="AJ147" s="33">
        <f>(AG147-AH147)/AH147</f>
        <v/>
      </c>
      <c r="AK147" s="537">
        <f>8127+484</f>
        <v/>
      </c>
      <c r="AL147" s="537">
        <f>6967+328</f>
        <v/>
      </c>
      <c r="AM147" s="150">
        <f>(AK147-AK143)/AK143</f>
        <v/>
      </c>
      <c r="AN147" s="431">
        <f>(AK147-AL147)/AL147</f>
        <v/>
      </c>
      <c r="AO147" s="282">
        <f>AG147/AK147</f>
        <v/>
      </c>
      <c r="AP147" s="282">
        <f>AH147/AL147</f>
        <v/>
      </c>
      <c r="AQ147" s="33">
        <f>(AO147-AO143)/AO143</f>
        <v/>
      </c>
      <c r="AR147" s="33">
        <f>(AO147-AP147)/AP147</f>
        <v/>
      </c>
    </row>
    <row customHeight="1" ht="15.75" r="148" s="452" spans="1:45">
      <c r="A148" s="260" t="s">
        <v>49</v>
      </c>
      <c r="B148" s="260" t="s">
        <v>121</v>
      </c>
      <c r="C148" s="261">
        <f>C144+7</f>
        <v/>
      </c>
      <c r="D148" s="260" t="s">
        <v>36</v>
      </c>
      <c r="E148" s="535" t="n">
        <v>332</v>
      </c>
      <c r="F148" s="535" t="n">
        <v>483</v>
      </c>
      <c r="G148" s="33">
        <f>(E148-E144)/E144</f>
        <v/>
      </c>
      <c r="H148" s="33">
        <f>(E148-F148)/F148</f>
        <v/>
      </c>
      <c r="I148" s="535">
        <f>755.72+0</f>
        <v/>
      </c>
      <c r="J148" s="536">
        <f>2258.98+131.44</f>
        <v/>
      </c>
      <c r="K148" s="33">
        <f>(I148-I144)/I144</f>
        <v/>
      </c>
      <c r="L148" s="33">
        <f>(I148-J148)/J148</f>
        <v/>
      </c>
      <c r="M148" s="536">
        <f>E148/I148</f>
        <v/>
      </c>
      <c r="N148" s="536">
        <f>F148/J148</f>
        <v/>
      </c>
      <c r="O148" s="33">
        <f>(M148-M144)/M144</f>
        <v/>
      </c>
      <c r="P148" s="33">
        <f>(M148-N148)/N148</f>
        <v/>
      </c>
      <c r="Q148" s="537" t="n">
        <v>567</v>
      </c>
      <c r="R148" s="537" t="n">
        <v>2572</v>
      </c>
      <c r="S148" s="33">
        <f>(Q148-Q144)/Q144</f>
        <v/>
      </c>
      <c r="T148" s="33">
        <f>(Q148-R148)/R148</f>
        <v/>
      </c>
      <c r="U148" s="537" t="n">
        <v>3</v>
      </c>
      <c r="V148" s="537" t="n">
        <v>8</v>
      </c>
      <c r="W148" s="33">
        <f>(U148-U144)/U144</f>
        <v/>
      </c>
      <c r="X148" s="33">
        <f>(U148-V148)/V148</f>
        <v/>
      </c>
      <c r="Y148" s="113">
        <f>U148/Q148</f>
        <v/>
      </c>
      <c r="Z148" s="113">
        <f>V148/R148</f>
        <v/>
      </c>
      <c r="AA148" s="33">
        <f>(Y148-Y144)/Y144</f>
        <v/>
      </c>
      <c r="AB148" s="33">
        <f>(Y148-Z148)/Z148</f>
        <v/>
      </c>
      <c r="AC148" s="529">
        <f>E148/U148</f>
        <v/>
      </c>
      <c r="AD148" s="529">
        <f>F148/V148</f>
        <v/>
      </c>
      <c r="AE148" s="33">
        <f>(AC148-AC144)/AC144</f>
        <v/>
      </c>
      <c r="AF148" s="33">
        <f>(AC148-AD148)/AD148</f>
        <v/>
      </c>
      <c r="AG148" s="537">
        <f>481+0</f>
        <v/>
      </c>
      <c r="AH148" s="537">
        <f>2246+174</f>
        <v/>
      </c>
      <c r="AI148" s="33">
        <f>(AG148-AG144)/AG144</f>
        <v/>
      </c>
      <c r="AJ148" s="33">
        <f>(AG148-AH148)/AH148</f>
        <v/>
      </c>
      <c r="AK148" s="537">
        <f>6979+0</f>
        <v/>
      </c>
      <c r="AL148" s="537">
        <f>28702+1899</f>
        <v/>
      </c>
      <c r="AM148" s="150">
        <f>(AK148-AK144)/AK144</f>
        <v/>
      </c>
      <c r="AN148" s="431">
        <f>(AK148-AL148)/AL148</f>
        <v/>
      </c>
      <c r="AO148" s="282">
        <f>AG148/AK148</f>
        <v/>
      </c>
      <c r="AP148" s="282">
        <f>AH148/AL148</f>
        <v/>
      </c>
      <c r="AQ148" s="33">
        <f>(AO148-AO144)/AO144</f>
        <v/>
      </c>
      <c r="AR148" s="33">
        <f>(AO148-AP148)/AP148</f>
        <v/>
      </c>
    </row>
    <row customHeight="1" ht="15.75" r="149" s="452" spans="1:45">
      <c r="A149" s="260" t="s">
        <v>49</v>
      </c>
      <c r="B149" s="260" t="s">
        <v>121</v>
      </c>
      <c r="C149" s="261">
        <f>C145+7</f>
        <v/>
      </c>
      <c r="D149" s="260" t="s">
        <v>37</v>
      </c>
      <c r="E149" s="535" t="n">
        <v>666</v>
      </c>
      <c r="F149" s="535" t="n"/>
      <c r="G149" s="33">
        <f>(E149-E145)/E145</f>
        <v/>
      </c>
      <c r="H149" s="33">
        <f>(E149-F149)/F149</f>
        <v/>
      </c>
      <c r="I149" s="535" t="n">
        <v>447.61</v>
      </c>
      <c r="J149" s="536" t="n">
        <v>0</v>
      </c>
      <c r="K149" s="33">
        <f>(I149-I145)/I145</f>
        <v/>
      </c>
      <c r="L149" s="33">
        <f>(I149-J149)/J149</f>
        <v/>
      </c>
      <c r="M149" s="536">
        <f>E149/I149</f>
        <v/>
      </c>
      <c r="N149" s="536" t="n"/>
      <c r="O149" s="33">
        <f>(M149-M145)/M145</f>
        <v/>
      </c>
      <c r="P149" s="33">
        <f>(M149-N149)/N149</f>
        <v/>
      </c>
      <c r="Q149" s="537" t="n">
        <v>1533</v>
      </c>
      <c r="R149" s="537" t="n"/>
      <c r="S149" s="33">
        <f>(Q149-Q145)/Q145</f>
        <v/>
      </c>
      <c r="T149" s="33">
        <f>(Q149-R149)/R149</f>
        <v/>
      </c>
      <c r="U149" s="537" t="n">
        <v>6</v>
      </c>
      <c r="V149" s="537" t="n"/>
      <c r="W149" s="33">
        <f>(U149-U145)/U145</f>
        <v/>
      </c>
      <c r="X149" s="33">
        <f>(U149-V149)/V149</f>
        <v/>
      </c>
      <c r="Y149" s="113">
        <f>U149/Q149</f>
        <v/>
      </c>
      <c r="Z149" s="113" t="n"/>
      <c r="AA149" s="33">
        <f>(Y149-Y145)/Y145</f>
        <v/>
      </c>
      <c r="AB149" s="33">
        <f>(Y149-Z149)/Z149</f>
        <v/>
      </c>
      <c r="AC149" s="529">
        <f>E149/U149</f>
        <v/>
      </c>
      <c r="AD149" s="529" t="n"/>
      <c r="AE149" s="33">
        <f>(AC149-AC145)/AC145</f>
        <v/>
      </c>
      <c r="AF149" s="33">
        <f>(AC149-AD149)/AD149</f>
        <v/>
      </c>
      <c r="AG149" s="537" t="n">
        <v>1431</v>
      </c>
      <c r="AH149" s="537" t="n"/>
      <c r="AI149" s="33">
        <f>(AG149-AG145)/AG145</f>
        <v/>
      </c>
      <c r="AJ149" s="33">
        <f>(AG149-AH149)/AH149</f>
        <v/>
      </c>
      <c r="AK149" s="537" t="n">
        <v>78323</v>
      </c>
      <c r="AL149" s="537" t="n"/>
      <c r="AM149" s="150">
        <f>(AK149-AK145)/AK145</f>
        <v/>
      </c>
      <c r="AN149" s="431">
        <f>(AK149-AL149)/AL149</f>
        <v/>
      </c>
      <c r="AO149" s="282">
        <f>AG149/AK149</f>
        <v/>
      </c>
      <c r="AP149" s="282" t="n"/>
      <c r="AQ149" s="33">
        <f>(AO149-AO145)/AO145</f>
        <v/>
      </c>
      <c r="AR149" s="33">
        <f>(AO149-AP149)/AP149</f>
        <v/>
      </c>
    </row>
    <row customHeight="1" ht="15.75" r="150" s="452" spans="1:45">
      <c r="A150" s="29" t="s">
        <v>49</v>
      </c>
      <c r="B150" s="29" t="s">
        <v>122</v>
      </c>
      <c r="C150" s="30">
        <f>C146+7</f>
        <v/>
      </c>
      <c r="D150" s="31" t="s">
        <v>60</v>
      </c>
      <c r="E150" s="531">
        <f>SUM(E151:E153)</f>
        <v/>
      </c>
      <c r="F150" s="531">
        <f>SUM(F151:F153)</f>
        <v/>
      </c>
      <c r="G150" s="33">
        <f>(E150-E146)/E146</f>
        <v/>
      </c>
      <c r="H150" s="33">
        <f>(E150-F150)/F150</f>
        <v/>
      </c>
      <c r="I150" s="531">
        <f>SUM(I151:I153)</f>
        <v/>
      </c>
      <c r="J150" s="531">
        <f>SUM(J151:J153)</f>
        <v/>
      </c>
      <c r="K150" s="33">
        <f>(I150-I146)/I146</f>
        <v/>
      </c>
      <c r="L150" s="33">
        <f>(I150-J150)/J150</f>
        <v/>
      </c>
      <c r="M150" s="532">
        <f>E150/I150</f>
        <v/>
      </c>
      <c r="N150" s="532">
        <f>F150/J150</f>
        <v/>
      </c>
      <c r="O150" s="33">
        <f>(M150-M146)/M146</f>
        <v/>
      </c>
      <c r="P150" s="33">
        <f>(M150-N150)/N150</f>
        <v/>
      </c>
      <c r="Q150" s="533">
        <f>SUM(Q151:Q153)</f>
        <v/>
      </c>
      <c r="R150" s="533">
        <f>SUM(R151:R153)</f>
        <v/>
      </c>
      <c r="S150" s="33">
        <f>(Q150-Q146)/Q146</f>
        <v/>
      </c>
      <c r="T150" s="33">
        <f>(Q150-R150)/R150</f>
        <v/>
      </c>
      <c r="U150" s="533">
        <f>SUM(U151:U153)</f>
        <v/>
      </c>
      <c r="V150" s="533">
        <f>SUM(V151:V153)</f>
        <v/>
      </c>
      <c r="W150" s="33">
        <f>(U150-U146)/U146</f>
        <v/>
      </c>
      <c r="X150" s="33">
        <f>(U150-V150)/V150</f>
        <v/>
      </c>
      <c r="Y150" s="88">
        <f>U150/Q150</f>
        <v/>
      </c>
      <c r="Z150" s="88">
        <f>V150/R150</f>
        <v/>
      </c>
      <c r="AA150" s="33">
        <f>(Y150-Y146)/Y146</f>
        <v/>
      </c>
      <c r="AB150" s="33">
        <f>(Y150-Z150)/Z150</f>
        <v/>
      </c>
      <c r="AC150" s="540">
        <f>E150/U150</f>
        <v/>
      </c>
      <c r="AD150" s="534">
        <f>F150/V150</f>
        <v/>
      </c>
      <c r="AE150" s="33">
        <f>(AC150-AC146)/AC146</f>
        <v/>
      </c>
      <c r="AF150" s="33">
        <f>(AC150-AD150)/AD150</f>
        <v/>
      </c>
      <c r="AG150" s="533">
        <f>SUM(AG151:AG153)</f>
        <v/>
      </c>
      <c r="AH150" s="533">
        <f>SUM(AH151:AH153)</f>
        <v/>
      </c>
      <c r="AI150" s="33">
        <f>(AG150-AG146)/AG146</f>
        <v/>
      </c>
      <c r="AJ150" s="33">
        <f>(AG150-AH150)/AH150</f>
        <v/>
      </c>
      <c r="AK150" s="533">
        <f>SUM(AK151:AK153)</f>
        <v/>
      </c>
      <c r="AL150" s="533">
        <f>SUM(AL151:AL153)</f>
        <v/>
      </c>
      <c r="AM150" s="150">
        <f>(AK150-AK146)/AK146</f>
        <v/>
      </c>
      <c r="AN150" s="431">
        <f>(AK150-AL150)/AL150</f>
        <v/>
      </c>
      <c r="AO150" s="33">
        <f>AG150/AK150</f>
        <v/>
      </c>
      <c r="AP150" s="33">
        <f>AH150/AL150</f>
        <v/>
      </c>
      <c r="AQ150" s="33">
        <f>(AO150-AO146)/AO146</f>
        <v/>
      </c>
      <c r="AR150" s="33">
        <f>(AO150-AP150)/AP150</f>
        <v/>
      </c>
    </row>
    <row customHeight="1" ht="15.75" r="151" s="452" spans="1:45">
      <c r="A151" s="260" t="s">
        <v>49</v>
      </c>
      <c r="B151" s="260" t="s">
        <v>122</v>
      </c>
      <c r="C151" s="261">
        <f>C147+7</f>
        <v/>
      </c>
      <c r="D151" s="260" t="s">
        <v>35</v>
      </c>
      <c r="E151" s="535" t="n">
        <v>11476</v>
      </c>
      <c r="F151" s="535" t="n">
        <v>78443</v>
      </c>
      <c r="G151" s="33">
        <f>(E151-E147)/E147</f>
        <v/>
      </c>
      <c r="H151" s="33">
        <f>(E151-F151)/F151</f>
        <v/>
      </c>
      <c r="I151" s="535">
        <f>165.59+674.61</f>
        <v/>
      </c>
      <c r="J151" s="536">
        <f>696.59+44.6</f>
        <v/>
      </c>
      <c r="K151" s="33">
        <f>(I151-I147)/I147</f>
        <v/>
      </c>
      <c r="L151" s="33">
        <f>(I151-J151)/J151</f>
        <v/>
      </c>
      <c r="M151" s="536">
        <f>E151/I151</f>
        <v/>
      </c>
      <c r="N151" s="536">
        <f>F151/J151</f>
        <v/>
      </c>
      <c r="O151" s="33">
        <f>(M151-M147)/M147</f>
        <v/>
      </c>
      <c r="P151" s="33">
        <f>(M151-N151)/N151</f>
        <v/>
      </c>
      <c r="Q151" s="537" t="n">
        <v>4543</v>
      </c>
      <c r="R151" s="537" t="n">
        <v>7146</v>
      </c>
      <c r="S151" s="33">
        <f>(Q151-Q147)/Q147</f>
        <v/>
      </c>
      <c r="T151" s="33">
        <f>(Q151-R151)/R151</f>
        <v/>
      </c>
      <c r="U151" s="537" t="n">
        <v>98</v>
      </c>
      <c r="V151" s="537" t="n">
        <v>469</v>
      </c>
      <c r="W151" s="33">
        <f>(U151-U147)/U147</f>
        <v/>
      </c>
      <c r="X151" s="33">
        <f>(U151-V151)/V151</f>
        <v/>
      </c>
      <c r="Y151" s="113">
        <f>U151/Q151</f>
        <v/>
      </c>
      <c r="Z151" s="113">
        <f>V151/R151</f>
        <v/>
      </c>
      <c r="AA151" s="33">
        <f>(Y151-Y147)/Y147</f>
        <v/>
      </c>
      <c r="AB151" s="33">
        <f>(Y151-Z151)/Z151</f>
        <v/>
      </c>
      <c r="AC151" s="529">
        <f>E151/U151</f>
        <v/>
      </c>
      <c r="AD151" s="529">
        <f>F151/V151</f>
        <v/>
      </c>
      <c r="AE151" s="33">
        <f>(AC151-AC147)/AC147</f>
        <v/>
      </c>
      <c r="AF151" s="33">
        <f>(AC151-AD151)/AD151</f>
        <v/>
      </c>
      <c r="AG151" s="537">
        <f>212+3004</f>
        <v/>
      </c>
      <c r="AH151" s="537">
        <f>5079+325</f>
        <v/>
      </c>
      <c r="AI151" s="33">
        <f>(AG151-AG147)/AG147</f>
        <v/>
      </c>
      <c r="AJ151" s="33">
        <f>(AG151-AH151)/AH151</f>
        <v/>
      </c>
      <c r="AK151" s="537">
        <f>485+8288</f>
        <v/>
      </c>
      <c r="AL151" s="537">
        <f>11758+606</f>
        <v/>
      </c>
      <c r="AM151" s="150">
        <f>(AK151-AK147)/AK147</f>
        <v/>
      </c>
      <c r="AN151" s="431">
        <f>(AK151-AL151)/AL151</f>
        <v/>
      </c>
      <c r="AO151" s="282">
        <f>AG151/AK151</f>
        <v/>
      </c>
      <c r="AP151" s="282">
        <f>AH151/AL151</f>
        <v/>
      </c>
      <c r="AQ151" s="33">
        <f>(AO151-AO147)/AO147</f>
        <v/>
      </c>
      <c r="AR151" s="33">
        <f>(AO151-AP151)/AP151</f>
        <v/>
      </c>
    </row>
    <row customHeight="1" ht="15.75" r="152" s="452" spans="1:45">
      <c r="A152" s="260" t="s">
        <v>49</v>
      </c>
      <c r="B152" s="260" t="s">
        <v>122</v>
      </c>
      <c r="C152" s="261">
        <f>C148+7</f>
        <v/>
      </c>
      <c r="D152" s="260" t="s">
        <v>36</v>
      </c>
      <c r="E152" s="535" t="n">
        <v>326</v>
      </c>
      <c r="F152" s="535" t="n">
        <v>1038</v>
      </c>
      <c r="G152" s="33">
        <f>(E152-E148)/E148</f>
        <v/>
      </c>
      <c r="H152" s="33">
        <f>(E152-F152)/F152</f>
        <v/>
      </c>
      <c r="I152" s="535" t="n">
        <v>727.6900000000001</v>
      </c>
      <c r="J152" s="536">
        <f>2289.35+128.15</f>
        <v/>
      </c>
      <c r="K152" s="33">
        <f>(I152-I148)/I148</f>
        <v/>
      </c>
      <c r="L152" s="33">
        <f>(I152-J152)/J152</f>
        <v/>
      </c>
      <c r="M152" s="536">
        <f>E152/I152</f>
        <v/>
      </c>
      <c r="N152" s="536">
        <f>F152/J152</f>
        <v/>
      </c>
      <c r="O152" s="33">
        <f>(M152-M148)/M148</f>
        <v/>
      </c>
      <c r="P152" s="33">
        <f>(M152-N152)/N152</f>
        <v/>
      </c>
      <c r="Q152" s="537" t="n">
        <v>517</v>
      </c>
      <c r="R152" s="537" t="n">
        <v>2588</v>
      </c>
      <c r="S152" s="33">
        <f>(Q152-Q148)/Q148</f>
        <v/>
      </c>
      <c r="T152" s="33">
        <f>(Q152-R152)/R152</f>
        <v/>
      </c>
      <c r="U152" s="537" t="n">
        <v>3</v>
      </c>
      <c r="V152" s="537" t="n">
        <v>9</v>
      </c>
      <c r="W152" s="33">
        <f>(U152-U148)/U148</f>
        <v/>
      </c>
      <c r="X152" s="33">
        <f>(U152-V152)/V152</f>
        <v/>
      </c>
      <c r="Y152" s="113">
        <f>U152/Q152</f>
        <v/>
      </c>
      <c r="Z152" s="113">
        <f>V152/R152</f>
        <v/>
      </c>
      <c r="AA152" s="33">
        <f>(Y152-Y148)/Y148</f>
        <v/>
      </c>
      <c r="AB152" s="33">
        <f>(Y152-Z152)/Z152</f>
        <v/>
      </c>
      <c r="AC152" s="529">
        <f>E152/U152</f>
        <v/>
      </c>
      <c r="AD152" s="529">
        <f>F152/V152</f>
        <v/>
      </c>
      <c r="AE152" s="33">
        <f>(AC152-AC148)/AC148</f>
        <v/>
      </c>
      <c r="AF152" s="33">
        <f>(AC152-AD152)/AD152</f>
        <v/>
      </c>
      <c r="AG152" s="537" t="n">
        <v>480</v>
      </c>
      <c r="AH152" s="537">
        <f>2235+166</f>
        <v/>
      </c>
      <c r="AI152" s="33">
        <f>(AG152-AG148)/AG148</f>
        <v/>
      </c>
      <c r="AJ152" s="33">
        <f>(AG152-AH152)/AH152</f>
        <v/>
      </c>
      <c r="AK152" s="537" t="n">
        <v>7057</v>
      </c>
      <c r="AL152" s="537">
        <f>29162+1918</f>
        <v/>
      </c>
      <c r="AM152" s="150">
        <f>(AK152-AK148)/AK148</f>
        <v/>
      </c>
      <c r="AN152" s="431">
        <f>(AK152-AL152)/AL152</f>
        <v/>
      </c>
      <c r="AO152" s="282">
        <f>AG152/AK152</f>
        <v/>
      </c>
      <c r="AP152" s="282">
        <f>AH152/AL152</f>
        <v/>
      </c>
      <c r="AQ152" s="33">
        <f>(AO152-AO148)/AO148</f>
        <v/>
      </c>
      <c r="AR152" s="33">
        <f>(AO152-AP152)/AP152</f>
        <v/>
      </c>
    </row>
    <row customHeight="1" ht="15.75" r="153" s="452" spans="1:45">
      <c r="A153" s="260" t="s">
        <v>49</v>
      </c>
      <c r="B153" s="260" t="s">
        <v>122</v>
      </c>
      <c r="C153" s="261">
        <f>C149+7</f>
        <v/>
      </c>
      <c r="D153" s="260" t="s">
        <v>37</v>
      </c>
      <c r="E153" s="535" t="n">
        <v>1369</v>
      </c>
      <c r="F153" s="535" t="n"/>
      <c r="G153" s="33">
        <f>(E153-E149)/E149</f>
        <v/>
      </c>
      <c r="H153" s="33">
        <f>(E153-F153)/F153</f>
        <v/>
      </c>
      <c r="I153" s="535" t="n">
        <v>1490.57</v>
      </c>
      <c r="J153" s="536" t="n"/>
      <c r="K153" s="33">
        <f>(I153-I149)/I149</f>
        <v/>
      </c>
      <c r="L153" s="33">
        <f>(I153-J153)/J153</f>
        <v/>
      </c>
      <c r="M153" s="536">
        <f>E153/I153</f>
        <v/>
      </c>
      <c r="N153" s="536" t="n"/>
      <c r="O153" s="33">
        <f>(M153-M149)/M149</f>
        <v/>
      </c>
      <c r="P153" s="33">
        <f>(M153-N153)/N153</f>
        <v/>
      </c>
      <c r="Q153" s="537" t="n">
        <v>4894</v>
      </c>
      <c r="R153" s="537" t="n"/>
      <c r="S153" s="33">
        <f>(Q153-Q149)/Q149</f>
        <v/>
      </c>
      <c r="T153" s="33">
        <f>(Q153-R153)/R153</f>
        <v/>
      </c>
      <c r="U153" s="537" t="n">
        <v>15</v>
      </c>
      <c r="V153" s="537" t="n"/>
      <c r="W153" s="33">
        <f>(U153-U149)/U149</f>
        <v/>
      </c>
      <c r="X153" s="33">
        <f>(U153-V153)/V153</f>
        <v/>
      </c>
      <c r="Y153" s="113">
        <f>U153/Q153</f>
        <v/>
      </c>
      <c r="Z153" s="113" t="n"/>
      <c r="AA153" s="33">
        <f>(Y153-Y149)/Y149</f>
        <v/>
      </c>
      <c r="AB153" s="33">
        <f>(Y153-Z153)/Z153</f>
        <v/>
      </c>
      <c r="AC153" s="529">
        <f>E153/U153</f>
        <v/>
      </c>
      <c r="AD153" s="529" t="n"/>
      <c r="AE153" s="33">
        <f>(AC153-AC149)/AC149</f>
        <v/>
      </c>
      <c r="AF153" s="33">
        <f>(AC153-AD153)/AD153</f>
        <v/>
      </c>
      <c r="AG153" s="537" t="n">
        <v>5090</v>
      </c>
      <c r="AH153" s="537" t="n"/>
      <c r="AI153" s="33">
        <f>(AG153-AG149)/AG149</f>
        <v/>
      </c>
      <c r="AJ153" s="33">
        <f>(AG153-AH153)/AH153</f>
        <v/>
      </c>
      <c r="AK153" s="537" t="n">
        <v>273869</v>
      </c>
      <c r="AL153" s="537" t="n"/>
      <c r="AM153" s="150">
        <f>(AK153-AK149)/AK149</f>
        <v/>
      </c>
      <c r="AN153" s="431">
        <f>(AK153-AL153)/AL153</f>
        <v/>
      </c>
      <c r="AO153" s="282">
        <f>AG153/AK153</f>
        <v/>
      </c>
      <c r="AP153" s="282" t="n"/>
      <c r="AQ153" s="33">
        <f>(AO153-AO149)/AO149</f>
        <v/>
      </c>
      <c r="AR153" s="33">
        <f>(AO153-AP153)/AP153</f>
        <v/>
      </c>
    </row>
    <row customHeight="1" ht="15.75" r="154" s="452" spans="1:45">
      <c r="A154" s="29" t="s">
        <v>49</v>
      </c>
      <c r="B154" s="29" t="s">
        <v>123</v>
      </c>
      <c r="C154" s="30">
        <f>C150+7</f>
        <v/>
      </c>
      <c r="D154" s="31" t="s">
        <v>60</v>
      </c>
      <c r="E154" s="531">
        <f>SUM(E155:E157)</f>
        <v/>
      </c>
      <c r="F154" s="531">
        <f>SUM(F155:F157)</f>
        <v/>
      </c>
      <c r="G154" s="33">
        <f>(E154-E150)/E150</f>
        <v/>
      </c>
      <c r="H154" s="33">
        <f>(E154-F154)/F154</f>
        <v/>
      </c>
      <c r="I154" s="531">
        <f>SUM(I155:I157)</f>
        <v/>
      </c>
      <c r="J154" s="531">
        <f>SUM(J155:J157)</f>
        <v/>
      </c>
      <c r="K154" s="33">
        <f>(I154-I150)/I150</f>
        <v/>
      </c>
      <c r="L154" s="33">
        <f>(I154-J154)/J154</f>
        <v/>
      </c>
      <c r="M154" s="532">
        <f>E154/I154</f>
        <v/>
      </c>
      <c r="N154" s="532">
        <f>F154/J154</f>
        <v/>
      </c>
      <c r="O154" s="33">
        <f>(M154-M150)/M150</f>
        <v/>
      </c>
      <c r="P154" s="33">
        <f>(M154-N154)/N154</f>
        <v/>
      </c>
      <c r="Q154" s="533">
        <f>SUM(Q155:Q157)</f>
        <v/>
      </c>
      <c r="R154" s="533">
        <f>SUM(R155:R157)</f>
        <v/>
      </c>
      <c r="S154" s="33">
        <f>(Q154-Q150)/Q150</f>
        <v/>
      </c>
      <c r="T154" s="33">
        <f>(Q154-R154)/R154</f>
        <v/>
      </c>
      <c r="U154" s="533">
        <f>SUM(U155:U157)</f>
        <v/>
      </c>
      <c r="V154" s="533">
        <f>SUM(V155:V157)</f>
        <v/>
      </c>
      <c r="W154" s="33">
        <f>(U154-U150)/U150</f>
        <v/>
      </c>
      <c r="X154" s="33">
        <f>(U154-V154)/V154</f>
        <v/>
      </c>
      <c r="Y154" s="88">
        <f>U154/Q154</f>
        <v/>
      </c>
      <c r="Z154" s="88">
        <f>V154/R154</f>
        <v/>
      </c>
      <c r="AA154" s="33">
        <f>(Y154-Y150)/Y150</f>
        <v/>
      </c>
      <c r="AB154" s="33">
        <f>(Y154-Z154)/Z154</f>
        <v/>
      </c>
      <c r="AC154" s="540">
        <f>E154/U154</f>
        <v/>
      </c>
      <c r="AD154" s="534">
        <f>F154/V154</f>
        <v/>
      </c>
      <c r="AE154" s="33">
        <f>(AC154-AC150)/AC150</f>
        <v/>
      </c>
      <c r="AF154" s="33">
        <f>(AC154-AD154)/AD154</f>
        <v/>
      </c>
      <c r="AG154" s="533">
        <f>SUM(AG155:AG157)</f>
        <v/>
      </c>
      <c r="AH154" s="533">
        <f>SUM(AH155:AH157)</f>
        <v/>
      </c>
      <c r="AI154" s="33">
        <f>(AG154-AG150)/AG150</f>
        <v/>
      </c>
      <c r="AJ154" s="33">
        <f>(AG154-AH154)/AH154</f>
        <v/>
      </c>
      <c r="AK154" s="533">
        <f>SUM(AK155:AK157)</f>
        <v/>
      </c>
      <c r="AL154" s="533">
        <f>SUM(AL155:AL157)</f>
        <v/>
      </c>
      <c r="AM154" s="150">
        <f>(AK154-AK150)/AK150</f>
        <v/>
      </c>
      <c r="AN154" s="431">
        <f>(AK154-AL154)/AL154</f>
        <v/>
      </c>
      <c r="AO154" s="33">
        <f>AG154/AK154</f>
        <v/>
      </c>
      <c r="AP154" s="33">
        <f>AH154/AL154</f>
        <v/>
      </c>
      <c r="AQ154" s="33">
        <f>(AO154-AO150)/AO150</f>
        <v/>
      </c>
      <c r="AR154" s="33">
        <f>(AO154-AP154)/AP154</f>
        <v/>
      </c>
    </row>
    <row customHeight="1" ht="15.75" r="155" s="452" spans="1:45">
      <c r="A155" s="260" t="s">
        <v>49</v>
      </c>
      <c r="B155" s="260" t="s">
        <v>123</v>
      </c>
      <c r="C155" s="261">
        <f>C151+7</f>
        <v/>
      </c>
      <c r="D155" s="260" t="s">
        <v>35</v>
      </c>
      <c r="E155" s="535" t="n">
        <v>41958</v>
      </c>
      <c r="F155" s="535" t="n">
        <v>3118</v>
      </c>
      <c r="G155" s="33">
        <f>(E155-E151)/E151</f>
        <v/>
      </c>
      <c r="H155" s="33">
        <f>(E155-F155)/F155</f>
        <v/>
      </c>
      <c r="I155" s="535">
        <f>981.33+242.56</f>
        <v/>
      </c>
      <c r="J155" s="536">
        <f>520.97+21.57</f>
        <v/>
      </c>
      <c r="K155" s="33">
        <f>(I155-I151)/I151</f>
        <v/>
      </c>
      <c r="L155" s="33">
        <f>(I155-J155)/J155</f>
        <v/>
      </c>
      <c r="M155" s="536">
        <f>E155/I155</f>
        <v/>
      </c>
      <c r="N155" s="536">
        <f>F155/J155</f>
        <v/>
      </c>
      <c r="O155" s="33">
        <f>(M155-M151)/M151</f>
        <v/>
      </c>
      <c r="P155" s="33">
        <f>(M155-N155)/N155</f>
        <v/>
      </c>
      <c r="Q155" s="537" t="n">
        <v>6991</v>
      </c>
      <c r="R155" s="537" t="n">
        <v>3865</v>
      </c>
      <c r="S155" s="33">
        <f>(Q155-Q151)/Q151</f>
        <v/>
      </c>
      <c r="T155" s="33">
        <f>(Q155-R155)/R155</f>
        <v/>
      </c>
      <c r="U155" s="537" t="n">
        <v>304</v>
      </c>
      <c r="V155" s="537" t="n">
        <v>36</v>
      </c>
      <c r="W155" s="33">
        <f>(U155-U151)/U151</f>
        <v/>
      </c>
      <c r="X155" s="33">
        <f>(U155-V155)/V155</f>
        <v/>
      </c>
      <c r="Y155" s="113">
        <f>U155/Q155</f>
        <v/>
      </c>
      <c r="Z155" s="113">
        <f>V155/R155</f>
        <v/>
      </c>
      <c r="AA155" s="33">
        <f>(Y155-Y151)/Y151</f>
        <v/>
      </c>
      <c r="AB155" s="33">
        <f>(Y155-Z155)/Z155</f>
        <v/>
      </c>
      <c r="AC155" s="529">
        <f>E155/U155</f>
        <v/>
      </c>
      <c r="AD155" s="529">
        <f>F155/V155</f>
        <v/>
      </c>
      <c r="AE155" s="33">
        <f>(AC155-AC151)/AC151</f>
        <v/>
      </c>
      <c r="AF155" s="33">
        <f>(AC155-AD155)/AD155</f>
        <v/>
      </c>
      <c r="AG155" s="537">
        <f>4548+270</f>
        <v/>
      </c>
      <c r="AH155" s="537">
        <f>2861+148</f>
        <v/>
      </c>
      <c r="AI155" s="33">
        <f>(AG155-AG151)/AG151</f>
        <v/>
      </c>
      <c r="AJ155" s="33">
        <f>(AG155-AH155)/AH155</f>
        <v/>
      </c>
      <c r="AK155" s="537">
        <f>11785+582</f>
        <v/>
      </c>
      <c r="AL155" s="537">
        <f>7880+342</f>
        <v/>
      </c>
      <c r="AM155" s="150">
        <f>(AK155-AK151)/AK151</f>
        <v/>
      </c>
      <c r="AN155" s="431">
        <f>(AK155-AL155)/AL155</f>
        <v/>
      </c>
      <c r="AO155" s="282">
        <f>AG155/AK155</f>
        <v/>
      </c>
      <c r="AP155" s="282">
        <f>AH155/AL155</f>
        <v/>
      </c>
      <c r="AQ155" s="33">
        <f>(AO155-AO151)/AO151</f>
        <v/>
      </c>
      <c r="AR155" s="33">
        <f>(AO155-AP155)/AP155</f>
        <v/>
      </c>
    </row>
    <row customHeight="1" ht="15.75" r="156" s="452" spans="1:45">
      <c r="A156" s="260" t="s">
        <v>49</v>
      </c>
      <c r="B156" s="260" t="s">
        <v>123</v>
      </c>
      <c r="C156" s="261">
        <f>C152+7</f>
        <v/>
      </c>
      <c r="D156" s="260" t="s">
        <v>36</v>
      </c>
      <c r="E156" s="535" t="n">
        <v>91</v>
      </c>
      <c r="F156" s="535" t="n">
        <v>505</v>
      </c>
      <c r="G156" s="33">
        <f>(E156-E152)/E152</f>
        <v/>
      </c>
      <c r="H156" s="33">
        <f>(E156-F156)/F156</f>
        <v/>
      </c>
      <c r="I156" s="535" t="n">
        <v>703.4400000000001</v>
      </c>
      <c r="J156" s="536">
        <f>2249.55+141.59</f>
        <v/>
      </c>
      <c r="K156" s="33">
        <f>(I156-I152)/I152</f>
        <v/>
      </c>
      <c r="L156" s="33">
        <f>(I156-J156)/J156</f>
        <v/>
      </c>
      <c r="M156" s="536">
        <f>E156/I156</f>
        <v/>
      </c>
      <c r="N156" s="536">
        <f>F156/J156</f>
        <v/>
      </c>
      <c r="O156" s="33">
        <f>(M156-M152)/M152</f>
        <v/>
      </c>
      <c r="P156" s="33">
        <f>(M156-N156)/N156</f>
        <v/>
      </c>
      <c r="Q156" s="537" t="n">
        <v>549</v>
      </c>
      <c r="R156" s="537" t="n">
        <v>2294</v>
      </c>
      <c r="S156" s="33">
        <f>(Q156-Q152)/Q152</f>
        <v/>
      </c>
      <c r="T156" s="33">
        <f>(Q156-R156)/R156</f>
        <v/>
      </c>
      <c r="U156" s="537" t="n">
        <v>1</v>
      </c>
      <c r="V156" s="537" t="n">
        <v>7</v>
      </c>
      <c r="W156" s="33">
        <f>(U156-U152)/U152</f>
        <v/>
      </c>
      <c r="X156" s="33">
        <f>(U156-V156)/V156</f>
        <v/>
      </c>
      <c r="Y156" s="113">
        <f>U156/Q156</f>
        <v/>
      </c>
      <c r="Z156" s="113">
        <f>V156/R156</f>
        <v/>
      </c>
      <c r="AA156" s="33">
        <f>(Y156-Y152)/Y152</f>
        <v/>
      </c>
      <c r="AB156" s="33">
        <f>(Y156-Z156)/Z156</f>
        <v/>
      </c>
      <c r="AC156" s="529">
        <f>E156/U156</f>
        <v/>
      </c>
      <c r="AD156" s="529">
        <f>F156/V156</f>
        <v/>
      </c>
      <c r="AE156" s="33">
        <f>(AC156-AC152)/AC152</f>
        <v/>
      </c>
      <c r="AF156" s="33">
        <f>(AC156-AD156)/AD156</f>
        <v/>
      </c>
      <c r="AG156" s="537" t="n">
        <v>484</v>
      </c>
      <c r="AH156" s="537">
        <f>1968+173</f>
        <v/>
      </c>
      <c r="AI156" s="33">
        <f>(AG156-AG152)/AG152</f>
        <v/>
      </c>
      <c r="AJ156" s="33">
        <f>(AG156-AH156)/AH156</f>
        <v/>
      </c>
      <c r="AK156" s="537" t="n">
        <v>6707</v>
      </c>
      <c r="AL156" s="537">
        <f>27103+2096</f>
        <v/>
      </c>
      <c r="AM156" s="150">
        <f>(AK156-AK152)/AK152</f>
        <v/>
      </c>
      <c r="AN156" s="431">
        <f>(AK156-AL156)/AL156</f>
        <v/>
      </c>
      <c r="AO156" s="282">
        <f>AG156/AK156</f>
        <v/>
      </c>
      <c r="AP156" s="282">
        <f>AH156/AL156</f>
        <v/>
      </c>
      <c r="AQ156" s="33">
        <f>(AO156-AO152)/AO152</f>
        <v/>
      </c>
      <c r="AR156" s="33">
        <f>(AO156-AP156)/AP156</f>
        <v/>
      </c>
    </row>
    <row customHeight="1" ht="15.75" r="157" s="452" spans="1:45">
      <c r="A157" s="260" t="s">
        <v>49</v>
      </c>
      <c r="B157" s="260" t="s">
        <v>123</v>
      </c>
      <c r="C157" s="261">
        <f>C153+7</f>
        <v/>
      </c>
      <c r="D157" s="260" t="s">
        <v>37</v>
      </c>
      <c r="E157" s="535" t="n">
        <v>3028</v>
      </c>
      <c r="F157" s="535" t="n"/>
      <c r="G157" s="33">
        <f>(E157-E153)/E153</f>
        <v/>
      </c>
      <c r="H157" s="33">
        <f>(E157-F157)/F157</f>
        <v/>
      </c>
      <c r="I157" s="535" t="n">
        <v>2002.07</v>
      </c>
      <c r="J157" s="536" t="n"/>
      <c r="K157" s="33">
        <f>(I157-I153)/I153</f>
        <v/>
      </c>
      <c r="L157" s="33">
        <f>(I157-J157)/J157</f>
        <v/>
      </c>
      <c r="M157" s="536">
        <f>E157/I157</f>
        <v/>
      </c>
      <c r="N157" s="536" t="n"/>
      <c r="O157" s="33">
        <f>(M157-M153)/M153</f>
        <v/>
      </c>
      <c r="P157" s="33">
        <f>(M157-N157)/N157</f>
        <v/>
      </c>
      <c r="Q157" s="537" t="n">
        <v>6571</v>
      </c>
      <c r="R157" s="537" t="n"/>
      <c r="S157" s="33">
        <f>(Q157-Q153)/Q153</f>
        <v/>
      </c>
      <c r="T157" s="33">
        <f>(Q157-R157)/R157</f>
        <v/>
      </c>
      <c r="U157" s="537" t="n">
        <v>27</v>
      </c>
      <c r="V157" s="537" t="n"/>
      <c r="W157" s="33">
        <f>(U157-U153)/U153</f>
        <v/>
      </c>
      <c r="X157" s="33">
        <f>(U157-V157)/V157</f>
        <v/>
      </c>
      <c r="Y157" s="113">
        <f>U157/Q157</f>
        <v/>
      </c>
      <c r="Z157" s="113" t="n"/>
      <c r="AA157" s="33">
        <f>(Y157-Y153)/Y153</f>
        <v/>
      </c>
      <c r="AB157" s="33">
        <f>(Y157-Z157)/Z157</f>
        <v/>
      </c>
      <c r="AC157" s="529">
        <f>E157/U157</f>
        <v/>
      </c>
      <c r="AD157" s="529" t="n"/>
      <c r="AE157" s="33">
        <f>(AC157-AC153)/AC153</f>
        <v/>
      </c>
      <c r="AF157" s="33">
        <f>(AC157-AD157)/AD157</f>
        <v/>
      </c>
      <c r="AG157" s="537" t="n">
        <v>6646</v>
      </c>
      <c r="AH157" s="537" t="n"/>
      <c r="AI157" s="33">
        <f>(AG157-AG153)/AG153</f>
        <v/>
      </c>
      <c r="AJ157" s="33">
        <f>(AG157-AH157)/AH157</f>
        <v/>
      </c>
      <c r="AK157" s="537" t="n">
        <v>328795</v>
      </c>
      <c r="AL157" s="537" t="n"/>
      <c r="AM157" s="150">
        <f>(AK157-AK153)/AK153</f>
        <v/>
      </c>
      <c r="AN157" s="431">
        <f>(AK157-AL157)/AL157</f>
        <v/>
      </c>
      <c r="AO157" s="282">
        <f>AG157/AK157</f>
        <v/>
      </c>
      <c r="AP157" s="282" t="n"/>
      <c r="AQ157" s="33">
        <f>(AO157-AO153)/AO153</f>
        <v/>
      </c>
      <c r="AR157" s="33">
        <f>(AO157-AP157)/AP157</f>
        <v/>
      </c>
    </row>
    <row customHeight="1" ht="15.75" r="158" s="452" spans="1:45">
      <c r="A158" s="29" t="s">
        <v>49</v>
      </c>
      <c r="B158" s="29" t="s">
        <v>124</v>
      </c>
      <c r="C158" s="30">
        <f>C154+7</f>
        <v/>
      </c>
      <c r="D158" s="31" t="s">
        <v>60</v>
      </c>
      <c r="E158" s="531">
        <f>SUM(E159:E161)</f>
        <v/>
      </c>
      <c r="F158" s="531">
        <f>SUM(F159:F161)</f>
        <v/>
      </c>
      <c r="G158" s="33">
        <f>(E158-E154)/E154</f>
        <v/>
      </c>
      <c r="H158" s="33">
        <f>(E158-F158)/F158</f>
        <v/>
      </c>
      <c r="I158" s="531">
        <f>SUM(I159:I161)</f>
        <v/>
      </c>
      <c r="J158" s="531">
        <f>SUM(J159:J161)</f>
        <v/>
      </c>
      <c r="K158" s="33">
        <f>(I158-I154)/I154</f>
        <v/>
      </c>
      <c r="L158" s="33">
        <f>(I158-J158)/J158</f>
        <v/>
      </c>
      <c r="M158" s="532">
        <f>E158/I158</f>
        <v/>
      </c>
      <c r="N158" s="532">
        <f>F158/J158</f>
        <v/>
      </c>
      <c r="O158" s="33">
        <f>(M158-M154)/M154</f>
        <v/>
      </c>
      <c r="P158" s="33">
        <f>(M158-N158)/N158</f>
        <v/>
      </c>
      <c r="Q158" s="533">
        <f>SUM(Q159:Q161)</f>
        <v/>
      </c>
      <c r="R158" s="533">
        <f>SUM(R159:R161)</f>
        <v/>
      </c>
      <c r="S158" s="33">
        <f>(Q158-Q154)/Q154</f>
        <v/>
      </c>
      <c r="T158" s="33">
        <f>(Q158-R158)/R158</f>
        <v/>
      </c>
      <c r="U158" s="533">
        <f>SUM(U159:U161)</f>
        <v/>
      </c>
      <c r="V158" s="533">
        <f>SUM(V159:V161)</f>
        <v/>
      </c>
      <c r="W158" s="33">
        <f>(U158-U154)/U154</f>
        <v/>
      </c>
      <c r="X158" s="33">
        <f>(U158-V158)/V158</f>
        <v/>
      </c>
      <c r="Y158" s="88">
        <f>U158/Q158</f>
        <v/>
      </c>
      <c r="Z158" s="88">
        <f>V158/R158</f>
        <v/>
      </c>
      <c r="AA158" s="33">
        <f>(Y158-Y154)/Y154</f>
        <v/>
      </c>
      <c r="AB158" s="33">
        <f>(Y158-Z158)/Z158</f>
        <v/>
      </c>
      <c r="AC158" s="540">
        <f>E158/U158</f>
        <v/>
      </c>
      <c r="AD158" s="534">
        <f>F158/V158</f>
        <v/>
      </c>
      <c r="AE158" s="33">
        <f>(AC158-AC154)/AC154</f>
        <v/>
      </c>
      <c r="AF158" s="33">
        <f>(AC158-AD158)/AD158</f>
        <v/>
      </c>
      <c r="AG158" s="533">
        <f>SUM(AG159:AG161)</f>
        <v/>
      </c>
      <c r="AH158" s="533">
        <f>SUM(AH159:AH161)</f>
        <v/>
      </c>
      <c r="AI158" s="33">
        <f>(AG158-AG154)/AG154</f>
        <v/>
      </c>
      <c r="AJ158" s="33">
        <f>(AG158-AH158)/AH158</f>
        <v/>
      </c>
      <c r="AK158" s="533">
        <f>SUM(AK159:AK161)</f>
        <v/>
      </c>
      <c r="AL158" s="533">
        <f>SUM(AL159:AL161)</f>
        <v/>
      </c>
      <c r="AM158" s="150">
        <f>(AK158-AK154)/AK154</f>
        <v/>
      </c>
      <c r="AN158" s="431">
        <f>(AK158-AL158)/AL158</f>
        <v/>
      </c>
      <c r="AO158" s="33">
        <f>AG158/AK158</f>
        <v/>
      </c>
      <c r="AP158" s="33">
        <f>AH158/AL158</f>
        <v/>
      </c>
      <c r="AQ158" s="33">
        <f>(AO158-AO154)/AO154</f>
        <v/>
      </c>
      <c r="AR158" s="33">
        <f>(AO158-AP158)/AP158</f>
        <v/>
      </c>
    </row>
    <row customHeight="1" ht="15.75" r="159" s="452" spans="1:45">
      <c r="A159" s="260" t="s">
        <v>49</v>
      </c>
      <c r="B159" s="260" t="s">
        <v>124</v>
      </c>
      <c r="C159" s="261">
        <f>C155+7</f>
        <v/>
      </c>
      <c r="D159" s="260" t="s">
        <v>35</v>
      </c>
      <c r="E159" s="535" t="n">
        <v>5086</v>
      </c>
      <c r="F159" s="535" t="n">
        <v>5236</v>
      </c>
      <c r="G159" s="33">
        <f>(E159-E155)/E155</f>
        <v/>
      </c>
      <c r="H159" s="33">
        <f>(E159-F159)/F159</f>
        <v/>
      </c>
      <c r="I159" s="535">
        <f>154.8+593.43</f>
        <v/>
      </c>
      <c r="J159" s="536">
        <f>793.05+20.56</f>
        <v/>
      </c>
      <c r="K159" s="33">
        <f>(I159-I155)/I155</f>
        <v/>
      </c>
      <c r="L159" s="33">
        <f>(I159-J159)/J159</f>
        <v/>
      </c>
      <c r="M159" s="536">
        <f>E159/I159</f>
        <v/>
      </c>
      <c r="N159" s="536">
        <f>F159/J159</f>
        <v/>
      </c>
      <c r="O159" s="33">
        <f>(M159-M155)/M155</f>
        <v/>
      </c>
      <c r="P159" s="33">
        <f>(M159-N159)/N159</f>
        <v/>
      </c>
      <c r="Q159" s="537" t="n">
        <v>4127</v>
      </c>
      <c r="R159" s="537">
        <f>3642</f>
        <v/>
      </c>
      <c r="S159" s="33">
        <f>(Q159-Q155)/Q155</f>
        <v/>
      </c>
      <c r="T159" s="33">
        <f>(Q159-R159)/R159</f>
        <v/>
      </c>
      <c r="U159" s="537" t="n">
        <v>45</v>
      </c>
      <c r="V159" s="537" t="n">
        <v>56</v>
      </c>
      <c r="W159" s="33">
        <f>(U159-U155)/U155</f>
        <v/>
      </c>
      <c r="X159" s="33">
        <f>(U159-V159)/V159</f>
        <v/>
      </c>
      <c r="Y159" s="113">
        <f>U159/Q159</f>
        <v/>
      </c>
      <c r="Z159" s="113">
        <f>V159/R159</f>
        <v/>
      </c>
      <c r="AA159" s="33">
        <f>(Y159-Y155)/Y155</f>
        <v/>
      </c>
      <c r="AB159" s="33">
        <f>(Y159-Z159)/Z159</f>
        <v/>
      </c>
      <c r="AC159" s="529">
        <f>E159/U159</f>
        <v/>
      </c>
      <c r="AD159" s="529">
        <f>F159/V159</f>
        <v/>
      </c>
      <c r="AE159" s="33">
        <f>(AC159-AC155)/AC155</f>
        <v/>
      </c>
      <c r="AF159" s="33">
        <f>(AC159-AD159)/AD159</f>
        <v/>
      </c>
      <c r="AG159" s="537">
        <f>197+2585</f>
        <v/>
      </c>
      <c r="AH159" s="537">
        <f>2709+127</f>
        <v/>
      </c>
      <c r="AI159" s="33">
        <f>(AG159-AG155)/AG155</f>
        <v/>
      </c>
      <c r="AJ159" s="33">
        <f>(AG159-AH159)/AH159</f>
        <v/>
      </c>
      <c r="AK159" s="537">
        <f>428+9094</f>
        <v/>
      </c>
      <c r="AL159" s="537">
        <f>6983+291</f>
        <v/>
      </c>
      <c r="AM159" s="150">
        <f>(AK159-AK155)/AK155</f>
        <v/>
      </c>
      <c r="AN159" s="431">
        <f>(AK159-AL159)/AL159</f>
        <v/>
      </c>
      <c r="AO159" s="282">
        <f>AG159/AK159</f>
        <v/>
      </c>
      <c r="AP159" s="282">
        <f>AH159/AL159</f>
        <v/>
      </c>
      <c r="AQ159" s="33">
        <f>(AO159-AO155)/AO155</f>
        <v/>
      </c>
      <c r="AR159" s="33">
        <f>(AO159-AP159)/AP159</f>
        <v/>
      </c>
    </row>
    <row customHeight="1" ht="15.75" r="160" s="452" spans="1:45">
      <c r="A160" s="260" t="s">
        <v>49</v>
      </c>
      <c r="B160" s="260" t="s">
        <v>124</v>
      </c>
      <c r="C160" s="261">
        <f>C156+7</f>
        <v/>
      </c>
      <c r="D160" s="260" t="s">
        <v>36</v>
      </c>
      <c r="E160" s="535" t="n">
        <v>68</v>
      </c>
      <c r="F160" s="535" t="n">
        <v>470</v>
      </c>
      <c r="G160" s="33">
        <f>(E160-E156)/E156</f>
        <v/>
      </c>
      <c r="H160" s="33">
        <f>(E160-F160)/F160</f>
        <v/>
      </c>
      <c r="I160" s="535" t="n">
        <v>1132.99</v>
      </c>
      <c r="J160" s="536">
        <f>2107.11+161.9</f>
        <v/>
      </c>
      <c r="K160" s="33">
        <f>(I160-I156)/I156</f>
        <v/>
      </c>
      <c r="L160" s="33">
        <f>(I160-J160)/J160</f>
        <v/>
      </c>
      <c r="M160" s="536">
        <f>E160/I160</f>
        <v/>
      </c>
      <c r="N160" s="536">
        <f>F160/J160</f>
        <v/>
      </c>
      <c r="O160" s="33">
        <f>(M160-M156)/M156</f>
        <v/>
      </c>
      <c r="P160" s="33">
        <f>(M160-N160)/N160</f>
        <v/>
      </c>
      <c r="Q160" s="537" t="n">
        <v>797</v>
      </c>
      <c r="R160" s="537" t="n">
        <v>2212</v>
      </c>
      <c r="S160" s="33">
        <f>(Q160-Q156)/Q156</f>
        <v/>
      </c>
      <c r="T160" s="33">
        <f>(Q160-R160)/R160</f>
        <v/>
      </c>
      <c r="U160" s="537" t="n">
        <v>1</v>
      </c>
      <c r="V160" s="537" t="n">
        <v>7</v>
      </c>
      <c r="W160" s="33">
        <f>(U160-U156)/U156</f>
        <v/>
      </c>
      <c r="X160" s="33">
        <f>(U160-V160)/V160</f>
        <v/>
      </c>
      <c r="Y160" s="113">
        <f>U160/Q160</f>
        <v/>
      </c>
      <c r="Z160" s="113">
        <f>V160/R160</f>
        <v/>
      </c>
      <c r="AA160" s="33">
        <f>(Y160-Y156)/Y156</f>
        <v/>
      </c>
      <c r="AB160" s="33">
        <f>(Y160-Z160)/Z160</f>
        <v/>
      </c>
      <c r="AC160" s="529">
        <f>E160/U160</f>
        <v/>
      </c>
      <c r="AD160" s="529">
        <f>F160/V160</f>
        <v/>
      </c>
      <c r="AE160" s="33">
        <f>(AC160-AC156)/AC156</f>
        <v/>
      </c>
      <c r="AF160" s="33">
        <f>(AC160-AD160)/AD160</f>
        <v/>
      </c>
      <c r="AG160" s="537" t="n">
        <v>758</v>
      </c>
      <c r="AH160" s="537">
        <f>1867+192</f>
        <v/>
      </c>
      <c r="AI160" s="33">
        <f>(AG160-AG156)/AG156</f>
        <v/>
      </c>
      <c r="AJ160" s="33">
        <f>(AG160-AH160)/AH160</f>
        <v/>
      </c>
      <c r="AK160" s="537" t="n">
        <v>10944</v>
      </c>
      <c r="AL160" s="537">
        <f>24550+2124</f>
        <v/>
      </c>
      <c r="AM160" s="150">
        <f>(AK160-AK156)/AK156</f>
        <v/>
      </c>
      <c r="AN160" s="431">
        <f>(AK160-AL160)/AL160</f>
        <v/>
      </c>
      <c r="AO160" s="282">
        <f>AG160/AK160</f>
        <v/>
      </c>
      <c r="AP160" s="282">
        <f>AH160/AL160</f>
        <v/>
      </c>
      <c r="AQ160" s="33">
        <f>(AO160-AO156)/AO156</f>
        <v/>
      </c>
      <c r="AR160" s="33">
        <f>(AO160-AP160)/AP160</f>
        <v/>
      </c>
    </row>
    <row customHeight="1" ht="15.75" r="161" s="452" spans="1:45">
      <c r="A161" s="260" t="s">
        <v>49</v>
      </c>
      <c r="B161" s="260" t="s">
        <v>124</v>
      </c>
      <c r="C161" s="261">
        <f>C157+7</f>
        <v/>
      </c>
      <c r="D161" s="260" t="s">
        <v>37</v>
      </c>
      <c r="E161" s="535" t="n">
        <v>1569</v>
      </c>
      <c r="F161" s="535" t="n"/>
      <c r="G161" s="33">
        <f>(E161-E157)/E157</f>
        <v/>
      </c>
      <c r="H161" s="33">
        <f>(E161-F161)/F161</f>
        <v/>
      </c>
      <c r="I161" s="535" t="n">
        <v>1944.91</v>
      </c>
      <c r="J161" s="536" t="n"/>
      <c r="K161" s="33">
        <f>(I161-I157)/I157</f>
        <v/>
      </c>
      <c r="L161" s="33">
        <f>(I161-J161)/J161</f>
        <v/>
      </c>
      <c r="M161" s="536">
        <f>E161/I161</f>
        <v/>
      </c>
      <c r="N161" s="536" t="n"/>
      <c r="O161" s="33">
        <f>(M161-M157)/M157</f>
        <v/>
      </c>
      <c r="P161" s="33">
        <f>(M161-N161)/N161</f>
        <v/>
      </c>
      <c r="Q161" s="537" t="n">
        <v>6262</v>
      </c>
      <c r="R161" s="537" t="n"/>
      <c r="S161" s="33">
        <f>(Q161-Q157)/Q157</f>
        <v/>
      </c>
      <c r="T161" s="33">
        <f>(Q161-R161)/R161</f>
        <v/>
      </c>
      <c r="U161" s="537" t="n">
        <v>24</v>
      </c>
      <c r="V161" s="537" t="n"/>
      <c r="W161" s="33">
        <f>(U161-U157)/U157</f>
        <v/>
      </c>
      <c r="X161" s="33">
        <f>(U161-V161)/V161</f>
        <v/>
      </c>
      <c r="Y161" s="113">
        <f>U161/Q161</f>
        <v/>
      </c>
      <c r="Z161" s="113" t="n"/>
      <c r="AA161" s="33">
        <f>(Y161-Y157)/Y157</f>
        <v/>
      </c>
      <c r="AB161" s="33">
        <f>(Y161-Z161)/Z161</f>
        <v/>
      </c>
      <c r="AC161" s="529">
        <f>E161/U161</f>
        <v/>
      </c>
      <c r="AD161" s="529" t="n"/>
      <c r="AE161" s="33">
        <f>(AC161-AC157)/AC157</f>
        <v/>
      </c>
      <c r="AF161" s="33">
        <f>(AC161-AD161)/AD161</f>
        <v/>
      </c>
      <c r="AG161" s="537" t="n">
        <v>6361</v>
      </c>
      <c r="AH161" s="537" t="n"/>
      <c r="AI161" s="33">
        <f>(AG161-AG157)/AG157</f>
        <v/>
      </c>
      <c r="AJ161" s="33">
        <f>(AG161-AH161)/AH161</f>
        <v/>
      </c>
      <c r="AK161" s="537" t="n">
        <v>304065</v>
      </c>
      <c r="AL161" s="537" t="n"/>
      <c r="AM161" s="150">
        <f>(AK161-AK157)/AK157</f>
        <v/>
      </c>
      <c r="AN161" s="431">
        <f>(AK161-AL161)/AL161</f>
        <v/>
      </c>
      <c r="AO161" s="282">
        <f>AG161/AK161</f>
        <v/>
      </c>
      <c r="AP161" s="282" t="n"/>
      <c r="AQ161" s="33">
        <f>(AO161-AO157)/AO157</f>
        <v/>
      </c>
      <c r="AR161" s="33">
        <f>(AO161-AP161)/AP161</f>
        <v/>
      </c>
    </row>
    <row customFormat="1" customHeight="1" ht="15.75" r="162" s="108" spans="1:45">
      <c r="A162" s="272" t="s">
        <v>50</v>
      </c>
      <c r="B162" s="272" t="s">
        <v>125</v>
      </c>
      <c r="C162" s="273">
        <f>C158+7</f>
        <v/>
      </c>
      <c r="D162" s="274" t="s">
        <v>60</v>
      </c>
      <c r="E162" s="541">
        <f>SUM(E163:E165)</f>
        <v/>
      </c>
      <c r="F162" s="541">
        <f>SUM(F163:F165)</f>
        <v/>
      </c>
      <c r="G162" s="116">
        <f>(E162-E158)/E158</f>
        <v/>
      </c>
      <c r="H162" s="116">
        <f>(E162-F162)/F162</f>
        <v/>
      </c>
      <c r="I162" s="541">
        <f>SUM(I163:I165)</f>
        <v/>
      </c>
      <c r="J162" s="541">
        <f>SUM(J163:J165)</f>
        <v/>
      </c>
      <c r="K162" s="116">
        <f>(I162-I158)/I158</f>
        <v/>
      </c>
      <c r="L162" s="116">
        <f>(I162-J162)/J162</f>
        <v/>
      </c>
      <c r="M162" s="542">
        <f>E162/I162</f>
        <v/>
      </c>
      <c r="N162" s="542">
        <f>F162/J162</f>
        <v/>
      </c>
      <c r="O162" s="116">
        <f>(M162-M158)/M158</f>
        <v/>
      </c>
      <c r="P162" s="116">
        <f>(M162-N162)/N162</f>
        <v/>
      </c>
      <c r="Q162" s="543">
        <f>SUM(Q163:Q165)</f>
        <v/>
      </c>
      <c r="R162" s="543">
        <f>SUM(R163:R165)</f>
        <v/>
      </c>
      <c r="S162" s="116">
        <f>(Q162-Q158)/Q158</f>
        <v/>
      </c>
      <c r="T162" s="116">
        <f>(Q162-R162)/R162</f>
        <v/>
      </c>
      <c r="U162" s="543">
        <f>SUM(U163:U165)</f>
        <v/>
      </c>
      <c r="V162" s="543">
        <f>SUM(V163:V165)</f>
        <v/>
      </c>
      <c r="W162" s="116">
        <f>(U162-U158)/U158</f>
        <v/>
      </c>
      <c r="X162" s="116">
        <f>(U162-V162)/V162</f>
        <v/>
      </c>
      <c r="Y162" s="119">
        <f>U162/Q162</f>
        <v/>
      </c>
      <c r="Z162" s="119">
        <f>V162/R162</f>
        <v/>
      </c>
      <c r="AA162" s="116">
        <f>(Y162-Y158)/Y158</f>
        <v/>
      </c>
      <c r="AB162" s="116">
        <f>(Y162-Z162)/Z162</f>
        <v/>
      </c>
      <c r="AC162" s="544">
        <f>E162/U162</f>
        <v/>
      </c>
      <c r="AD162" s="545">
        <f>F162/V162</f>
        <v/>
      </c>
      <c r="AE162" s="116">
        <f>(AC162-AC158)/AC158</f>
        <v/>
      </c>
      <c r="AF162" s="116">
        <f>(AC162-AD162)/AD162</f>
        <v/>
      </c>
      <c r="AG162" s="543">
        <f>SUM(AG163:AG165)</f>
        <v/>
      </c>
      <c r="AH162" s="543">
        <f>SUM(AH163:AH165)</f>
        <v/>
      </c>
      <c r="AI162" s="116">
        <f>(AG162-AG158)/AG158</f>
        <v/>
      </c>
      <c r="AJ162" s="116">
        <f>(AG162-AH162)/AH162</f>
        <v/>
      </c>
      <c r="AK162" s="543">
        <f>SUM(AK163:AK165)</f>
        <v/>
      </c>
      <c r="AL162" s="543">
        <f>SUM(AL163:AL165)</f>
        <v/>
      </c>
      <c r="AM162" s="276">
        <f>(AK162-AK158)/AK158</f>
        <v/>
      </c>
      <c r="AN162" s="277">
        <f>(AK162-AL162)/AL162</f>
        <v/>
      </c>
      <c r="AO162" s="116">
        <f>AG162/AK162</f>
        <v/>
      </c>
      <c r="AP162" s="116">
        <f>AH162/AL162</f>
        <v/>
      </c>
      <c r="AQ162" s="116">
        <f>(AO162-AO158)/AO158</f>
        <v/>
      </c>
      <c r="AR162" s="116">
        <f>(AO162-AP162)/AP162</f>
        <v/>
      </c>
      <c r="AS162" s="108" t="n"/>
    </row>
    <row customHeight="1" ht="15.75" r="163" s="452" spans="1:45">
      <c r="A163" s="260" t="s">
        <v>50</v>
      </c>
      <c r="B163" s="260" t="s">
        <v>125</v>
      </c>
      <c r="C163" s="261">
        <f>C159+7</f>
        <v/>
      </c>
      <c r="D163" s="260" t="s">
        <v>35</v>
      </c>
      <c r="E163" s="535" t="n">
        <v>13421</v>
      </c>
      <c r="F163" s="535" t="n">
        <v>7686</v>
      </c>
      <c r="G163" s="33">
        <f>(E163-E159)/E159</f>
        <v/>
      </c>
      <c r="H163" s="33">
        <f>(E163-F163)/F163</f>
        <v/>
      </c>
      <c r="I163" s="535">
        <f>615.6+174.5</f>
        <v/>
      </c>
      <c r="J163" s="536">
        <f>967.88+23.74</f>
        <v/>
      </c>
      <c r="K163" s="33">
        <f>(I163-I159)/I159</f>
        <v/>
      </c>
      <c r="L163" s="33">
        <f>(I163-J163)/J163</f>
        <v/>
      </c>
      <c r="M163" s="536">
        <f>E163/I163</f>
        <v/>
      </c>
      <c r="N163" s="536">
        <f>F163/J163</f>
        <v/>
      </c>
      <c r="O163" s="33">
        <f>(M163-M159)/M159</f>
        <v/>
      </c>
      <c r="P163" s="33">
        <f>(M163-N163)/N163</f>
        <v/>
      </c>
      <c r="Q163" s="537" t="n">
        <v>4837</v>
      </c>
      <c r="R163" s="537" t="n">
        <v>4410</v>
      </c>
      <c r="S163" s="33">
        <f>(Q163-Q159)/Q159</f>
        <v/>
      </c>
      <c r="T163" s="33">
        <f>(Q163-R163)/R163</f>
        <v/>
      </c>
      <c r="U163" s="537" t="n">
        <v>96</v>
      </c>
      <c r="V163" s="537" t="n">
        <v>62</v>
      </c>
      <c r="W163" s="33">
        <f>(U163-U159)/U159</f>
        <v/>
      </c>
      <c r="X163" s="33">
        <f>(U163-V163)/V163</f>
        <v/>
      </c>
      <c r="Y163" s="113">
        <f>U163/Q163</f>
        <v/>
      </c>
      <c r="Z163" s="113">
        <f>V163/R163</f>
        <v/>
      </c>
      <c r="AA163" s="33">
        <f>(Y163-Y159)/Y159</f>
        <v/>
      </c>
      <c r="AB163" s="33">
        <f>(Y163-Z163)/Z163</f>
        <v/>
      </c>
      <c r="AC163" s="529">
        <f>E163/U163</f>
        <v/>
      </c>
      <c r="AD163" s="529">
        <f>F163/V163</f>
        <v/>
      </c>
      <c r="AE163" s="33">
        <f>(AC163-AC159)/AC159</f>
        <v/>
      </c>
      <c r="AF163" s="33">
        <f>(AC163-AD163)/AD163</f>
        <v/>
      </c>
      <c r="AG163" s="537">
        <f>2976+213</f>
        <v/>
      </c>
      <c r="AH163" s="537">
        <f>3126+151</f>
        <v/>
      </c>
      <c r="AI163" s="33">
        <f>(AG163-AG159)/AG159</f>
        <v/>
      </c>
      <c r="AJ163" s="33">
        <f>(AG163-AH163)/AH163</f>
        <v/>
      </c>
      <c r="AK163" s="537">
        <f>10821+452</f>
        <v/>
      </c>
      <c r="AL163" s="537">
        <f>7914+369</f>
        <v/>
      </c>
      <c r="AM163" s="150">
        <f>(AK163-AK159)/AK159</f>
        <v/>
      </c>
      <c r="AN163" s="431">
        <f>(AK163-AL163)/AL163</f>
        <v/>
      </c>
      <c r="AO163" s="282">
        <f>AG163/AK163</f>
        <v/>
      </c>
      <c r="AP163" s="282">
        <f>AH163/AL163</f>
        <v/>
      </c>
      <c r="AQ163" s="33">
        <f>(AO163-AO159)/AO159</f>
        <v/>
      </c>
      <c r="AR163" s="33">
        <f>(AO163-AP163)/AP163</f>
        <v/>
      </c>
    </row>
    <row customHeight="1" ht="15.75" r="164" s="452" spans="1:45">
      <c r="A164" s="260" t="s">
        <v>50</v>
      </c>
      <c r="B164" s="260" t="s">
        <v>125</v>
      </c>
      <c r="C164" s="261">
        <f>C160+7</f>
        <v/>
      </c>
      <c r="D164" s="260" t="s">
        <v>36</v>
      </c>
      <c r="E164" s="535" t="n">
        <v>113</v>
      </c>
      <c r="F164" s="535" t="n">
        <v>431</v>
      </c>
      <c r="G164" s="33">
        <f>(E164-E160)/E160</f>
        <v/>
      </c>
      <c r="H164" s="33">
        <f>(E164-F164)/F164</f>
        <v/>
      </c>
      <c r="I164" s="535">
        <f>511.13</f>
        <v/>
      </c>
      <c r="J164" s="536">
        <f>2649.43+132.68</f>
        <v/>
      </c>
      <c r="K164" s="33">
        <f>(I164-I160)/I160</f>
        <v/>
      </c>
      <c r="L164" s="33">
        <f>(I164-J164)/J164</f>
        <v/>
      </c>
      <c r="M164" s="536">
        <f>E164/I164</f>
        <v/>
      </c>
      <c r="N164" s="536">
        <f>F164/J164</f>
        <v/>
      </c>
      <c r="O164" s="33">
        <f>(M164-M160)/M160</f>
        <v/>
      </c>
      <c r="P164" s="33">
        <f>(M164-N164)/N164</f>
        <v/>
      </c>
      <c r="Q164" s="537" t="n">
        <v>455</v>
      </c>
      <c r="R164" s="537" t="n">
        <v>2790</v>
      </c>
      <c r="S164" s="33">
        <f>(Q164-Q160)/Q160</f>
        <v/>
      </c>
      <c r="T164" s="33">
        <f>(Q164-R164)/R164</f>
        <v/>
      </c>
      <c r="U164" s="537" t="n">
        <v>2</v>
      </c>
      <c r="V164" s="537" t="n">
        <v>8</v>
      </c>
      <c r="W164" s="33">
        <f>(U164-U160)/U160</f>
        <v/>
      </c>
      <c r="X164" s="33">
        <f>(U164-V164)/V164</f>
        <v/>
      </c>
      <c r="Y164" s="113">
        <f>U164/Q164</f>
        <v/>
      </c>
      <c r="Z164" s="113">
        <f>V164/R164</f>
        <v/>
      </c>
      <c r="AA164" s="33">
        <f>(Y164-Y160)/Y160</f>
        <v/>
      </c>
      <c r="AB164" s="33">
        <f>(Y164-Z164)/Z164</f>
        <v/>
      </c>
      <c r="AC164" s="529">
        <f>E164/U164</f>
        <v/>
      </c>
      <c r="AD164" s="529">
        <f>F164/V164</f>
        <v/>
      </c>
      <c r="AE164" s="33">
        <f>(AC164-AC160)/AC160</f>
        <v/>
      </c>
      <c r="AF164" s="33">
        <f>(AC164-AD164)/AD164</f>
        <v/>
      </c>
      <c r="AG164" s="537" t="n">
        <v>375</v>
      </c>
      <c r="AH164" s="537">
        <f>2394+175</f>
        <v/>
      </c>
      <c r="AI164" s="33">
        <f>(AG164-AG160)/AG160</f>
        <v/>
      </c>
      <c r="AJ164" s="33">
        <f>(AG164-AH164)/AH164</f>
        <v/>
      </c>
      <c r="AK164" s="537" t="n">
        <v>6144</v>
      </c>
      <c r="AL164" s="537">
        <f>29566+1771</f>
        <v/>
      </c>
      <c r="AM164" s="150">
        <f>(AK164-AK160)/AK160</f>
        <v/>
      </c>
      <c r="AN164" s="431">
        <f>(AK164-AL164)/AL164</f>
        <v/>
      </c>
      <c r="AO164" s="282">
        <f>AG164/AK164</f>
        <v/>
      </c>
      <c r="AP164" s="282">
        <f>AH164/AL164</f>
        <v/>
      </c>
      <c r="AQ164" s="33">
        <f>(AO164-AO160)/AO160</f>
        <v/>
      </c>
      <c r="AR164" s="33">
        <f>(AO164-AP164)/AP164</f>
        <v/>
      </c>
    </row>
    <row customHeight="1" ht="15.75" r="165" s="452" spans="1:45">
      <c r="A165" s="260" t="s">
        <v>50</v>
      </c>
      <c r="B165" s="260" t="s">
        <v>125</v>
      </c>
      <c r="C165" s="261">
        <f>C161+7</f>
        <v/>
      </c>
      <c r="D165" s="260" t="s">
        <v>37</v>
      </c>
      <c r="E165" s="535" t="n">
        <v>2435</v>
      </c>
      <c r="F165" s="535" t="n"/>
      <c r="G165" s="33">
        <f>(E165-E161)/E161</f>
        <v/>
      </c>
      <c r="H165" s="33">
        <f>(E165-F165)/F165</f>
        <v/>
      </c>
      <c r="I165" s="535" t="n">
        <v>1941.79</v>
      </c>
      <c r="J165" s="536" t="n"/>
      <c r="K165" s="33">
        <f>(I165-I161)/I161</f>
        <v/>
      </c>
      <c r="L165" s="33">
        <f>(I165-J165)/J165</f>
        <v/>
      </c>
      <c r="M165" s="536">
        <f>E165/I165</f>
        <v/>
      </c>
      <c r="N165" s="536" t="n"/>
      <c r="O165" s="33">
        <f>(M165-M161)/M161</f>
        <v/>
      </c>
      <c r="P165" s="33">
        <f>(M165-N165)/N165</f>
        <v/>
      </c>
      <c r="Q165" s="537" t="n">
        <v>6787</v>
      </c>
      <c r="R165" s="537" t="n"/>
      <c r="S165" s="33">
        <f>(Q165-Q161)/Q161</f>
        <v/>
      </c>
      <c r="T165" s="33">
        <f>(Q165-R165)/R165</f>
        <v/>
      </c>
      <c r="U165" s="537" t="n">
        <v>25</v>
      </c>
      <c r="V165" s="537" t="n"/>
      <c r="W165" s="33">
        <f>(U165-U161)/U161</f>
        <v/>
      </c>
      <c r="X165" s="33">
        <f>(U165-V165)/V165</f>
        <v/>
      </c>
      <c r="Y165" s="113">
        <f>U165/Q165</f>
        <v/>
      </c>
      <c r="Z165" s="113" t="n"/>
      <c r="AA165" s="33">
        <f>(Y165-Y161)/Y161</f>
        <v/>
      </c>
      <c r="AB165" s="33">
        <f>(Y165-Z165)/Z165</f>
        <v/>
      </c>
      <c r="AC165" s="529">
        <f>E165/U165</f>
        <v/>
      </c>
      <c r="AD165" s="529" t="n"/>
      <c r="AE165" s="33">
        <f>(AC165-AC161)/AC161</f>
        <v/>
      </c>
      <c r="AF165" s="33">
        <f>(AC165-AD165)/AD165</f>
        <v/>
      </c>
      <c r="AG165" s="537" t="n">
        <v>6867</v>
      </c>
      <c r="AH165" s="537" t="n"/>
      <c r="AI165" s="33">
        <f>(AG165-AG161)/AG161</f>
        <v/>
      </c>
      <c r="AJ165" s="33">
        <f>(AG165-AH165)/AH165</f>
        <v/>
      </c>
      <c r="AK165" s="537" t="n">
        <v>328508</v>
      </c>
      <c r="AL165" s="537" t="n"/>
      <c r="AM165" s="150">
        <f>(AK165-AK161)/AK161</f>
        <v/>
      </c>
      <c r="AN165" s="431">
        <f>(AK165-AL165)/AL165</f>
        <v/>
      </c>
      <c r="AO165" s="282">
        <f>AG165/AK165</f>
        <v/>
      </c>
      <c r="AP165" s="282" t="n"/>
      <c r="AQ165" s="33">
        <f>(AO165-AO161)/AO161</f>
        <v/>
      </c>
      <c r="AR165" s="33">
        <f>(AO165-AP165)/AP165</f>
        <v/>
      </c>
    </row>
    <row customHeight="1" ht="15.75" r="166" s="452" spans="1:45">
      <c r="A166" s="29" t="s">
        <v>50</v>
      </c>
      <c r="B166" s="29" t="s">
        <v>126</v>
      </c>
      <c r="C166" s="30">
        <f>C162+7</f>
        <v/>
      </c>
      <c r="D166" s="31" t="s">
        <v>60</v>
      </c>
      <c r="E166" s="531">
        <f>SUM(E167:E169)</f>
        <v/>
      </c>
      <c r="F166" s="531">
        <f>SUM(F167:F169)</f>
        <v/>
      </c>
      <c r="G166" s="33">
        <f>(E166-E162)/E162</f>
        <v/>
      </c>
      <c r="H166" s="33">
        <f>(E166-F166)/F166</f>
        <v/>
      </c>
      <c r="I166" s="531">
        <f>SUM(I167:I169)</f>
        <v/>
      </c>
      <c r="J166" s="531">
        <f>SUM(J167:J169)</f>
        <v/>
      </c>
      <c r="K166" s="33">
        <f>(I166-I162)/I162</f>
        <v/>
      </c>
      <c r="L166" s="33">
        <f>(I166-J166)/J166</f>
        <v/>
      </c>
      <c r="M166" s="532">
        <f>E166/I166</f>
        <v/>
      </c>
      <c r="N166" s="532">
        <f>F166/J166</f>
        <v/>
      </c>
      <c r="O166" s="33">
        <f>(M166-M162)/M162</f>
        <v/>
      </c>
      <c r="P166" s="33">
        <f>(M166-N166)/N166</f>
        <v/>
      </c>
      <c r="Q166" s="533">
        <f>SUM(Q167:Q169)</f>
        <v/>
      </c>
      <c r="R166" s="533">
        <f>SUM(R167:R169)</f>
        <v/>
      </c>
      <c r="S166" s="33">
        <f>(Q166-Q162)/Q162</f>
        <v/>
      </c>
      <c r="T166" s="33">
        <f>(Q166-R166)/R166</f>
        <v/>
      </c>
      <c r="U166" s="533">
        <f>SUM(U167:U169)</f>
        <v/>
      </c>
      <c r="V166" s="533">
        <f>SUM(V167:V169)</f>
        <v/>
      </c>
      <c r="W166" s="33">
        <f>(U166-U162)/U162</f>
        <v/>
      </c>
      <c r="X166" s="33">
        <f>(U166-V166)/V166</f>
        <v/>
      </c>
      <c r="Y166" s="88">
        <f>U166/Q166</f>
        <v/>
      </c>
      <c r="Z166" s="88">
        <f>V166/R166</f>
        <v/>
      </c>
      <c r="AA166" s="33">
        <f>(Y166-Y162)/Y162</f>
        <v/>
      </c>
      <c r="AB166" s="33">
        <f>(Y166-Z166)/Z166</f>
        <v/>
      </c>
      <c r="AC166" s="540">
        <f>E166/U166</f>
        <v/>
      </c>
      <c r="AD166" s="534">
        <f>F166/V166</f>
        <v/>
      </c>
      <c r="AE166" s="33">
        <f>(AC166-AC162)/AC162</f>
        <v/>
      </c>
      <c r="AF166" s="33">
        <f>(AC166-AD166)/AD166</f>
        <v/>
      </c>
      <c r="AG166" s="533">
        <f>SUM(AG167:AG169)</f>
        <v/>
      </c>
      <c r="AH166" s="533">
        <f>SUM(AH167:AH169)</f>
        <v/>
      </c>
      <c r="AI166" s="33">
        <f>(AG166-AG162)/AG162</f>
        <v/>
      </c>
      <c r="AJ166" s="33">
        <f>(AG166-AH166)/AH166</f>
        <v/>
      </c>
      <c r="AK166" s="533">
        <f>SUM(AK167:AK169)</f>
        <v/>
      </c>
      <c r="AL166" s="533">
        <f>SUM(AL167:AL169)</f>
        <v/>
      </c>
      <c r="AM166" s="150">
        <f>(AK166-AK162)/AK162</f>
        <v/>
      </c>
      <c r="AN166" s="431">
        <f>(AK166-AL166)/AL166</f>
        <v/>
      </c>
      <c r="AO166" s="33">
        <f>AG166/AK166</f>
        <v/>
      </c>
      <c r="AP166" s="33">
        <f>AH166/AL166</f>
        <v/>
      </c>
      <c r="AQ166" s="33">
        <f>(AO166-AO162)/AO162</f>
        <v/>
      </c>
      <c r="AR166" s="33">
        <f>(AO166-AP166)/AP166</f>
        <v/>
      </c>
    </row>
    <row customHeight="1" ht="15.75" r="167" s="452" spans="1:45">
      <c r="A167" s="260" t="s">
        <v>50</v>
      </c>
      <c r="B167" s="260" t="s">
        <v>126</v>
      </c>
      <c r="C167" s="261">
        <f>C163+7</f>
        <v/>
      </c>
      <c r="D167" s="260" t="s">
        <v>35</v>
      </c>
      <c r="E167" s="535" t="n">
        <v>9669</v>
      </c>
      <c r="F167" s="535" t="n">
        <v>8793</v>
      </c>
      <c r="G167" s="33">
        <f>(E167-E163)/E163</f>
        <v/>
      </c>
      <c r="H167" s="33">
        <f>(E167-F167)/F167</f>
        <v/>
      </c>
      <c r="I167" s="535">
        <f>872.08+194.54</f>
        <v/>
      </c>
      <c r="J167" s="536">
        <f>411.22+27.17</f>
        <v/>
      </c>
      <c r="K167" s="33">
        <f>(I167-I163)/I163</f>
        <v/>
      </c>
      <c r="L167" s="33">
        <f>(I167-J167)/J167</f>
        <v/>
      </c>
      <c r="M167" s="536">
        <f>E167/I167</f>
        <v/>
      </c>
      <c r="N167" s="536">
        <f>F167/J167</f>
        <v/>
      </c>
      <c r="O167" s="33">
        <f>(M167-M163)/M163</f>
        <v/>
      </c>
      <c r="P167" s="33">
        <f>(M167-N167)/N167</f>
        <v/>
      </c>
      <c r="Q167" s="537" t="n">
        <v>5312</v>
      </c>
      <c r="R167" s="537" t="n">
        <v>4613</v>
      </c>
      <c r="S167" s="33">
        <f>(Q167-Q163)/Q163</f>
        <v/>
      </c>
      <c r="T167" s="33">
        <f>(Q167-R167)/R167</f>
        <v/>
      </c>
      <c r="U167" s="537" t="n">
        <v>90</v>
      </c>
      <c r="V167" s="537" t="n">
        <v>82</v>
      </c>
      <c r="W167" s="33">
        <f>(U167-U163)/U163</f>
        <v/>
      </c>
      <c r="X167" s="33">
        <f>(U167-V167)/V167</f>
        <v/>
      </c>
      <c r="Y167" s="113">
        <f>U167/Q167</f>
        <v/>
      </c>
      <c r="Z167" s="113">
        <f>V167/R167</f>
        <v/>
      </c>
      <c r="AA167" s="33">
        <f>(Y167-Y163)/Y163</f>
        <v/>
      </c>
      <c r="AB167" s="33">
        <f>(Y167-Z167)/Z167</f>
        <v/>
      </c>
      <c r="AC167" s="529">
        <f>E167/U167</f>
        <v/>
      </c>
      <c r="AD167" s="529">
        <f>F167/V167</f>
        <v/>
      </c>
      <c r="AE167" s="33">
        <f>(AC167-AC163)/AC163</f>
        <v/>
      </c>
      <c r="AF167" s="33">
        <f>(AC167-AD167)/AD167</f>
        <v/>
      </c>
      <c r="AG167" s="537">
        <f>3434+255</f>
        <v/>
      </c>
      <c r="AH167" s="537">
        <f>3203+164</f>
        <v/>
      </c>
      <c r="AI167" s="33">
        <f>(AG167-AG163)/AG163</f>
        <v/>
      </c>
      <c r="AJ167" s="33">
        <f>(AG167-AH167)/AH167</f>
        <v/>
      </c>
      <c r="AK167" s="537">
        <f>11767+600</f>
        <v/>
      </c>
      <c r="AL167" s="537">
        <f>8782+349</f>
        <v/>
      </c>
      <c r="AM167" s="150">
        <f>(AK167-AK163)/AK163</f>
        <v/>
      </c>
      <c r="AN167" s="431">
        <f>(AK167-AL167)/AL167</f>
        <v/>
      </c>
      <c r="AO167" s="282">
        <f>AG167/AK167</f>
        <v/>
      </c>
      <c r="AP167" s="282">
        <f>AH167/AL167</f>
        <v/>
      </c>
      <c r="AQ167" s="33">
        <f>(AO167-AO163)/AO163</f>
        <v/>
      </c>
      <c r="AR167" s="33">
        <f>(AO167-AP167)/AP167</f>
        <v/>
      </c>
    </row>
    <row customHeight="1" ht="15.75" r="168" s="452" spans="1:45">
      <c r="A168" s="260" t="s">
        <v>50</v>
      </c>
      <c r="B168" s="260" t="s">
        <v>126</v>
      </c>
      <c r="C168" s="261">
        <f>C164+7</f>
        <v/>
      </c>
      <c r="D168" s="260" t="s">
        <v>36</v>
      </c>
      <c r="E168" s="535" t="n">
        <v>125</v>
      </c>
      <c r="F168" s="535" t="n">
        <v>388</v>
      </c>
      <c r="G168" s="33">
        <f>(E168-E164)/E164</f>
        <v/>
      </c>
      <c r="H168" s="33">
        <f>(E168-F168)/F168</f>
        <v/>
      </c>
      <c r="I168" s="535" t="n">
        <v>184.33</v>
      </c>
      <c r="J168" s="536">
        <f>2957.4+138.09</f>
        <v/>
      </c>
      <c r="K168" s="33">
        <f>(I168-I164)/I164</f>
        <v/>
      </c>
      <c r="L168" s="33">
        <f>(I168-J168)/J168</f>
        <v/>
      </c>
      <c r="M168" s="536">
        <f>E168/I168</f>
        <v/>
      </c>
      <c r="N168" s="536">
        <f>F168/J168</f>
        <v/>
      </c>
      <c r="O168" s="33">
        <f>(M168-M164)/M164</f>
        <v/>
      </c>
      <c r="P168" s="33">
        <f>(M168-N168)/N168</f>
        <v/>
      </c>
      <c r="Q168" s="537" t="n">
        <v>245</v>
      </c>
      <c r="R168" s="537" t="n">
        <v>3070</v>
      </c>
      <c r="S168" s="33">
        <f>(Q168-Q164)/Q164</f>
        <v/>
      </c>
      <c r="T168" s="33">
        <f>(Q168-R168)/R168</f>
        <v/>
      </c>
      <c r="U168" s="537" t="n">
        <v>2</v>
      </c>
      <c r="V168" s="537" t="n">
        <v>5</v>
      </c>
      <c r="W168" s="33">
        <f>(U168-U164)/U164</f>
        <v/>
      </c>
      <c r="X168" s="33">
        <f>(U168-V168)/V168</f>
        <v/>
      </c>
      <c r="Y168" s="113">
        <f>U168/Q168</f>
        <v/>
      </c>
      <c r="Z168" s="113">
        <f>V168/R168</f>
        <v/>
      </c>
      <c r="AA168" s="33">
        <f>(Y168-Y164)/Y164</f>
        <v/>
      </c>
      <c r="AB168" s="33">
        <f>(Y168-Z168)/Z168</f>
        <v/>
      </c>
      <c r="AC168" s="529">
        <f>E168/U168</f>
        <v/>
      </c>
      <c r="AD168" s="529">
        <f>F168/V168</f>
        <v/>
      </c>
      <c r="AE168" s="33">
        <f>(AC168-AC164)/AC164</f>
        <v/>
      </c>
      <c r="AF168" s="33">
        <f>(AC168-AD168)/AD168</f>
        <v/>
      </c>
      <c r="AG168" s="537" t="n">
        <v>175</v>
      </c>
      <c r="AH168" s="537">
        <f>2622+188</f>
        <v/>
      </c>
      <c r="AI168" s="33">
        <f>(AG168-AG164)/AG164</f>
        <v/>
      </c>
      <c r="AJ168" s="33">
        <f>(AG168-AH168)/AH168</f>
        <v/>
      </c>
      <c r="AK168" s="537" t="n">
        <v>2102</v>
      </c>
      <c r="AL168" s="537">
        <f>33918+2088</f>
        <v/>
      </c>
      <c r="AM168" s="150">
        <f>(AK168-AK164)/AK164</f>
        <v/>
      </c>
      <c r="AN168" s="431">
        <f>(AK168-AL168)/AL168</f>
        <v/>
      </c>
      <c r="AO168" s="282">
        <f>AG168/AK168</f>
        <v/>
      </c>
      <c r="AP168" s="282">
        <f>AH168/AL168</f>
        <v/>
      </c>
      <c r="AQ168" s="33">
        <f>(AO168-AO164)/AO164</f>
        <v/>
      </c>
      <c r="AR168" s="33">
        <f>(AO168-AP168)/AP168</f>
        <v/>
      </c>
    </row>
    <row customHeight="1" ht="15.75" r="169" s="452" spans="1:45">
      <c r="A169" s="260" t="s">
        <v>50</v>
      </c>
      <c r="B169" s="260" t="s">
        <v>126</v>
      </c>
      <c r="C169" s="261">
        <f>C165+7</f>
        <v/>
      </c>
      <c r="D169" s="260" t="s">
        <v>37</v>
      </c>
      <c r="E169" s="535" t="n">
        <v>2080</v>
      </c>
      <c r="F169" s="535" t="n"/>
      <c r="G169" s="33">
        <f>(E169-E165)/E165</f>
        <v/>
      </c>
      <c r="H169" s="33">
        <f>(E169-F169)/F169</f>
        <v/>
      </c>
      <c r="I169" s="535" t="n">
        <v>1747.88</v>
      </c>
      <c r="J169" s="536" t="n"/>
      <c r="K169" s="33">
        <f>(I169-I165)/I165</f>
        <v/>
      </c>
      <c r="L169" s="33">
        <f>(I169-J169)/J169</f>
        <v/>
      </c>
      <c r="M169" s="536">
        <f>E169/I169</f>
        <v/>
      </c>
      <c r="N169" s="536" t="n"/>
      <c r="O169" s="33">
        <f>(M169-M165)/M165</f>
        <v/>
      </c>
      <c r="P169" s="33">
        <f>(M169-N169)/N169</f>
        <v/>
      </c>
      <c r="Q169" s="537" t="n">
        <v>6578</v>
      </c>
      <c r="R169" s="537" t="n"/>
      <c r="S169" s="33">
        <f>(Q169-Q165)/Q165</f>
        <v/>
      </c>
      <c r="T169" s="33">
        <f>(Q169-R169)/R169</f>
        <v/>
      </c>
      <c r="U169" s="537" t="n">
        <v>22</v>
      </c>
      <c r="V169" s="537" t="n"/>
      <c r="W169" s="33">
        <f>(U169-U165)/U165</f>
        <v/>
      </c>
      <c r="X169" s="33">
        <f>(U169-V169)/V169</f>
        <v/>
      </c>
      <c r="Y169" s="113">
        <f>U169/Q169</f>
        <v/>
      </c>
      <c r="Z169" s="113" t="n"/>
      <c r="AA169" s="33">
        <f>(Y169-Y165)/Y165</f>
        <v/>
      </c>
      <c r="AB169" s="33">
        <f>(Y169-Z169)/Z169</f>
        <v/>
      </c>
      <c r="AC169" s="529">
        <f>E169/U169</f>
        <v/>
      </c>
      <c r="AD169" s="529" t="n"/>
      <c r="AE169" s="33">
        <f>(AC169-AC165)/AC165</f>
        <v/>
      </c>
      <c r="AF169" s="33">
        <f>(AC169-AD169)/AD169</f>
        <v/>
      </c>
      <c r="AG169" s="537" t="n">
        <v>6501</v>
      </c>
      <c r="AH169" s="537" t="n"/>
      <c r="AI169" s="33">
        <f>(AG169-AG165)/AG165</f>
        <v/>
      </c>
      <c r="AJ169" s="33">
        <f>(AG169-AH169)/AH169</f>
        <v/>
      </c>
      <c r="AK169" s="537" t="n">
        <v>297219</v>
      </c>
      <c r="AL169" s="537" t="n"/>
      <c r="AM169" s="150">
        <f>(AK169-AK165)/AK165</f>
        <v/>
      </c>
      <c r="AN169" s="431">
        <f>(AK169-AL169)/AL169</f>
        <v/>
      </c>
      <c r="AO169" s="282">
        <f>AG169/AK169</f>
        <v/>
      </c>
      <c r="AP169" s="282" t="n"/>
      <c r="AQ169" s="33">
        <f>(AO169-AO165)/AO165</f>
        <v/>
      </c>
      <c r="AR169" s="33">
        <f>(AO169-AP169)/AP169</f>
        <v/>
      </c>
    </row>
    <row customHeight="1" ht="15.75" r="170" s="452" spans="1:45">
      <c r="A170" s="29" t="s">
        <v>50</v>
      </c>
      <c r="B170" s="29" t="s">
        <v>127</v>
      </c>
      <c r="C170" s="30">
        <f>C166+7</f>
        <v/>
      </c>
      <c r="D170" s="31" t="s">
        <v>60</v>
      </c>
      <c r="E170" s="531">
        <f>SUM(E171:E173)</f>
        <v/>
      </c>
      <c r="F170" s="531">
        <f>SUM(F171:F173)</f>
        <v/>
      </c>
      <c r="G170" s="33">
        <f>(E170-E166)/E166</f>
        <v/>
      </c>
      <c r="H170" s="33">
        <f>(E170-F170)/F170</f>
        <v/>
      </c>
      <c r="I170" s="531">
        <f>SUM(I171:I173)</f>
        <v/>
      </c>
      <c r="J170" s="531">
        <f>SUM(J171:J173)</f>
        <v/>
      </c>
      <c r="K170" s="33">
        <f>(I170-I166)/I166</f>
        <v/>
      </c>
      <c r="L170" s="33">
        <f>(I170-J170)/J170</f>
        <v/>
      </c>
      <c r="M170" s="532">
        <f>E170/I170</f>
        <v/>
      </c>
      <c r="N170" s="532">
        <f>F170/J170</f>
        <v/>
      </c>
      <c r="O170" s="33">
        <f>(M170-M166)/M166</f>
        <v/>
      </c>
      <c r="P170" s="33">
        <f>(M170-N170)/N170</f>
        <v/>
      </c>
      <c r="Q170" s="533">
        <f>SUM(Q171:Q173)</f>
        <v/>
      </c>
      <c r="R170" s="533">
        <f>SUM(R171:R173)</f>
        <v/>
      </c>
      <c r="S170" s="33">
        <f>(Q170-Q166)/Q166</f>
        <v/>
      </c>
      <c r="T170" s="33">
        <f>(Q170-R170)/R170</f>
        <v/>
      </c>
      <c r="U170" s="533">
        <f>SUM(U171:U173)</f>
        <v/>
      </c>
      <c r="V170" s="533">
        <f>SUM(V171:V173)</f>
        <v/>
      </c>
      <c r="W170" s="33">
        <f>(U170-U166)/U166</f>
        <v/>
      </c>
      <c r="X170" s="33">
        <f>(U170-V170)/V170</f>
        <v/>
      </c>
      <c r="Y170" s="88">
        <f>U170/Q170</f>
        <v/>
      </c>
      <c r="Z170" s="88">
        <f>V170/R170</f>
        <v/>
      </c>
      <c r="AA170" s="33">
        <f>(Y170-Y166)/Y166</f>
        <v/>
      </c>
      <c r="AB170" s="33">
        <f>(Y170-Z170)/Z170</f>
        <v/>
      </c>
      <c r="AC170" s="540">
        <f>E170/U170</f>
        <v/>
      </c>
      <c r="AD170" s="534">
        <f>F170/V170</f>
        <v/>
      </c>
      <c r="AE170" s="33">
        <f>(AC170-AC166)/AC166</f>
        <v/>
      </c>
      <c r="AF170" s="33">
        <f>(AC170-AD170)/AD170</f>
        <v/>
      </c>
      <c r="AG170" s="533">
        <f>SUM(AG171:AG173)</f>
        <v/>
      </c>
      <c r="AH170" s="533">
        <f>SUM(AH171:AH173)</f>
        <v/>
      </c>
      <c r="AI170" s="33">
        <f>(AG170-AG166)/AG166</f>
        <v/>
      </c>
      <c r="AJ170" s="33">
        <f>(AG170-AH170)/AH170</f>
        <v/>
      </c>
      <c r="AK170" s="533">
        <f>SUM(AK171:AK173)</f>
        <v/>
      </c>
      <c r="AL170" s="533">
        <f>SUM(AL171:AL173)</f>
        <v/>
      </c>
      <c r="AM170" s="150">
        <f>(AK170-AK166)/AK166</f>
        <v/>
      </c>
      <c r="AN170" s="431">
        <f>(AK170-AL170)/AL170</f>
        <v/>
      </c>
      <c r="AO170" s="33">
        <f>AG170/AK170</f>
        <v/>
      </c>
      <c r="AP170" s="33">
        <f>AH170/AL170</f>
        <v/>
      </c>
      <c r="AQ170" s="33">
        <f>(AO170-AO166)/AO166</f>
        <v/>
      </c>
      <c r="AR170" s="33">
        <f>(AO170-AP170)/AP170</f>
        <v/>
      </c>
    </row>
    <row customHeight="1" ht="15.75" r="171" s="452" spans="1:45">
      <c r="A171" s="260" t="s">
        <v>50</v>
      </c>
      <c r="B171" s="260" t="s">
        <v>127</v>
      </c>
      <c r="C171" s="261">
        <f>C167+7</f>
        <v/>
      </c>
      <c r="D171" s="260" t="s">
        <v>35</v>
      </c>
      <c r="E171" s="535" t="n">
        <v>10689</v>
      </c>
      <c r="F171" s="535" t="n">
        <v>8448</v>
      </c>
      <c r="G171" s="33">
        <f>(E171-E167)/E167</f>
        <v/>
      </c>
      <c r="H171" s="33">
        <f>(E171-F171)/F171</f>
        <v/>
      </c>
      <c r="I171" s="535" t="n">
        <v>1296</v>
      </c>
      <c r="J171" s="536">
        <f>344.88+33.35</f>
        <v/>
      </c>
      <c r="K171" s="33">
        <f>(I171-I167)/I167</f>
        <v/>
      </c>
      <c r="L171" s="33">
        <f>(I171-J171)/J171</f>
        <v/>
      </c>
      <c r="M171" s="536">
        <f>E171/I171</f>
        <v/>
      </c>
      <c r="N171" s="536">
        <f>F171/J171</f>
        <v/>
      </c>
      <c r="O171" s="33">
        <f>(M171-M167)/M167</f>
        <v/>
      </c>
      <c r="P171" s="33">
        <f>(M171-N171)/N171</f>
        <v/>
      </c>
      <c r="Q171" s="537" t="n">
        <v>5685</v>
      </c>
      <c r="R171" s="537" t="n">
        <v>4284</v>
      </c>
      <c r="S171" s="33">
        <f>(Q171-Q167)/Q167</f>
        <v/>
      </c>
      <c r="T171" s="33">
        <f>(Q171-R171)/R171</f>
        <v/>
      </c>
      <c r="U171" s="537" t="n">
        <v>108</v>
      </c>
      <c r="V171" s="537" t="n">
        <v>77</v>
      </c>
      <c r="W171" s="33">
        <f>(U171-U167)/U167</f>
        <v/>
      </c>
      <c r="X171" s="33">
        <f>(U171-V171)/V171</f>
        <v/>
      </c>
      <c r="Y171" s="113">
        <f>U171/Q171</f>
        <v/>
      </c>
      <c r="Z171" s="113">
        <f>V171/R171</f>
        <v/>
      </c>
      <c r="AA171" s="33">
        <f>(Y171-Y167)/Y167</f>
        <v/>
      </c>
      <c r="AB171" s="33">
        <f>(Y171-Z171)/Z171</f>
        <v/>
      </c>
      <c r="AC171" s="529">
        <f>E171/U171</f>
        <v/>
      </c>
      <c r="AD171" s="529">
        <f>F171/V171</f>
        <v/>
      </c>
      <c r="AE171" s="33">
        <f>(AC171-AC167)/AC167</f>
        <v/>
      </c>
      <c r="AF171" s="33">
        <f>(AC171-AD171)/AD171</f>
        <v/>
      </c>
      <c r="AG171" s="537" t="n">
        <v>3982</v>
      </c>
      <c r="AH171" s="537">
        <f>2919+160</f>
        <v/>
      </c>
      <c r="AI171" s="33">
        <f>(AG171-AG167)/AG167</f>
        <v/>
      </c>
      <c r="AJ171" s="33">
        <f>(AG171-AH171)/AH171</f>
        <v/>
      </c>
      <c r="AK171" s="537" t="n">
        <v>12528</v>
      </c>
      <c r="AL171" s="537">
        <f>7587+396</f>
        <v/>
      </c>
      <c r="AM171" s="150">
        <f>(AK171-AK167)/AK167</f>
        <v/>
      </c>
      <c r="AN171" s="431">
        <f>(AK171-AL171)/AL171</f>
        <v/>
      </c>
      <c r="AO171" s="282">
        <f>AG171/AK171</f>
        <v/>
      </c>
      <c r="AP171" s="282">
        <f>AH171/AL171</f>
        <v/>
      </c>
      <c r="AQ171" s="33">
        <f>(AO171-AO167)/AO167</f>
        <v/>
      </c>
      <c r="AR171" s="33">
        <f>(AO171-AP171)/AP171</f>
        <v/>
      </c>
    </row>
    <row customHeight="1" ht="15.75" r="172" s="452" spans="1:45">
      <c r="A172" s="260" t="s">
        <v>50</v>
      </c>
      <c r="B172" s="260" t="s">
        <v>127</v>
      </c>
      <c r="C172" s="261">
        <f>C168+7</f>
        <v/>
      </c>
      <c r="D172" s="260" t="s">
        <v>36</v>
      </c>
      <c r="E172" s="535" t="n">
        <v>0</v>
      </c>
      <c r="F172" s="535" t="n">
        <v>446</v>
      </c>
      <c r="G172" s="33">
        <f>(E172-E168)/E168</f>
        <v/>
      </c>
      <c r="H172" s="33">
        <f>(E172-F172)/F172</f>
        <v/>
      </c>
      <c r="I172" s="535" t="n">
        <v>119</v>
      </c>
      <c r="J172" s="536">
        <f>2983.25+143.3</f>
        <v/>
      </c>
      <c r="K172" s="33">
        <f>(I172-I168)/I168</f>
        <v/>
      </c>
      <c r="L172" s="33">
        <f>(I172-J172)/J172</f>
        <v/>
      </c>
      <c r="M172" s="536">
        <f>E172/I172</f>
        <v/>
      </c>
      <c r="N172" s="536">
        <f>F172/J172</f>
        <v/>
      </c>
      <c r="O172" s="33">
        <f>(M172-M168)/M168</f>
        <v/>
      </c>
      <c r="P172" s="33">
        <f>(M172-N172)/N172</f>
        <v/>
      </c>
      <c r="Q172" s="537" t="n">
        <v>208</v>
      </c>
      <c r="R172" s="537" t="n">
        <v>3333</v>
      </c>
      <c r="S172" s="33">
        <f>(Q172-Q168)/Q168</f>
        <v/>
      </c>
      <c r="T172" s="33">
        <f>(Q172-R172)/R172</f>
        <v/>
      </c>
      <c r="U172" s="537" t="n">
        <v>0</v>
      </c>
      <c r="V172" s="537" t="n">
        <v>6</v>
      </c>
      <c r="W172" s="33">
        <f>(U172-U168)/U168</f>
        <v/>
      </c>
      <c r="X172" s="33">
        <f>(U172-V172)/V172</f>
        <v/>
      </c>
      <c r="Y172" s="113">
        <f>U172/Q172</f>
        <v/>
      </c>
      <c r="Z172" s="113">
        <f>V172/R172</f>
        <v/>
      </c>
      <c r="AA172" s="33">
        <f>(Y172-Y168)/Y168</f>
        <v/>
      </c>
      <c r="AB172" s="33">
        <f>(Y172-Z172)/Z172</f>
        <v/>
      </c>
      <c r="AC172" s="529">
        <f>E172/U172</f>
        <v/>
      </c>
      <c r="AD172" s="529">
        <f>F172/V172</f>
        <v/>
      </c>
      <c r="AE172" s="33">
        <f>(AC172-AC168)/AC168</f>
        <v/>
      </c>
      <c r="AF172" s="33">
        <f>(AC172-AD172)/AD172</f>
        <v/>
      </c>
      <c r="AG172" s="537" t="n">
        <v>138</v>
      </c>
      <c r="AH172" s="537">
        <f>2880+178</f>
        <v/>
      </c>
      <c r="AI172" s="33">
        <f>(AG172-AG168)/AG168</f>
        <v/>
      </c>
      <c r="AJ172" s="33">
        <f>(AG172-AH172)/AH172</f>
        <v/>
      </c>
      <c r="AK172" s="537" t="n">
        <v>1860</v>
      </c>
      <c r="AL172" s="537">
        <f>34890+2116</f>
        <v/>
      </c>
      <c r="AM172" s="150">
        <f>(AK172-AK168)/AK168</f>
        <v/>
      </c>
      <c r="AN172" s="431">
        <f>(AK172-AL172)/AL172</f>
        <v/>
      </c>
      <c r="AO172" s="282">
        <f>AG172/AK172</f>
        <v/>
      </c>
      <c r="AP172" s="282">
        <f>AH172/AL172</f>
        <v/>
      </c>
      <c r="AQ172" s="33">
        <f>(AO172-AO168)/AO168</f>
        <v/>
      </c>
      <c r="AR172" s="33">
        <f>(AO172-AP172)/AP172</f>
        <v/>
      </c>
    </row>
    <row customHeight="1" ht="15.75" r="173" s="452" spans="1:45">
      <c r="A173" s="260" t="s">
        <v>50</v>
      </c>
      <c r="B173" s="260" t="s">
        <v>127</v>
      </c>
      <c r="C173" s="261">
        <f>C169+7</f>
        <v/>
      </c>
      <c r="D173" s="260" t="s">
        <v>37</v>
      </c>
      <c r="E173" s="535" t="n">
        <v>2537</v>
      </c>
      <c r="F173" s="535" t="n"/>
      <c r="G173" s="33">
        <f>(E173-E169)/E169</f>
        <v/>
      </c>
      <c r="H173" s="33">
        <f>(E173-F173)/F173</f>
        <v/>
      </c>
      <c r="I173" s="535" t="n">
        <v>1726</v>
      </c>
      <c r="J173" s="536" t="n"/>
      <c r="K173" s="33">
        <f>(I173-I169)/I169</f>
        <v/>
      </c>
      <c r="L173" s="33">
        <f>(I173-J173)/J173</f>
        <v/>
      </c>
      <c r="M173" s="536">
        <f>E173/I173</f>
        <v/>
      </c>
      <c r="N173" s="536" t="n"/>
      <c r="O173" s="33">
        <f>(M173-M169)/M169</f>
        <v/>
      </c>
      <c r="P173" s="33">
        <f>(M173-N173)/N173</f>
        <v/>
      </c>
      <c r="Q173" s="537" t="n">
        <v>6815</v>
      </c>
      <c r="R173" s="537" t="n"/>
      <c r="S173" s="33">
        <f>(Q173-Q169)/Q169</f>
        <v/>
      </c>
      <c r="T173" s="33">
        <f>(Q173-R173)/R173</f>
        <v/>
      </c>
      <c r="U173" s="537" t="n">
        <v>30</v>
      </c>
      <c r="V173" s="537" t="n"/>
      <c r="W173" s="33">
        <f>(U173-U169)/U169</f>
        <v/>
      </c>
      <c r="X173" s="33">
        <f>(U173-V173)/V173</f>
        <v/>
      </c>
      <c r="Y173" s="113">
        <f>U173/Q173</f>
        <v/>
      </c>
      <c r="Z173" s="113" t="n"/>
      <c r="AA173" s="33">
        <f>(Y173-Y169)/Y169</f>
        <v/>
      </c>
      <c r="AB173" s="33">
        <f>(Y173-Z173)/Z173</f>
        <v/>
      </c>
      <c r="AC173" s="529">
        <f>E173/U173</f>
        <v/>
      </c>
      <c r="AD173" s="529" t="n"/>
      <c r="AE173" s="33">
        <f>(AC173-AC169)/AC169</f>
        <v/>
      </c>
      <c r="AF173" s="33">
        <f>(AC173-AD173)/AD173</f>
        <v/>
      </c>
      <c r="AG173" s="537" t="n">
        <v>6613</v>
      </c>
      <c r="AH173" s="537" t="n"/>
      <c r="AI173" s="33">
        <f>(AG173-AG169)/AG169</f>
        <v/>
      </c>
      <c r="AJ173" s="33">
        <f>(AG173-AH173)/AH173</f>
        <v/>
      </c>
      <c r="AK173" s="537" t="n">
        <v>297350</v>
      </c>
      <c r="AL173" s="537" t="n"/>
      <c r="AM173" s="150">
        <f>(AK173-AK169)/AK169</f>
        <v/>
      </c>
      <c r="AN173" s="431">
        <f>(AK173-AL173)/AL173</f>
        <v/>
      </c>
      <c r="AO173" s="282">
        <f>AG173/AK173</f>
        <v/>
      </c>
      <c r="AP173" s="282" t="n"/>
      <c r="AQ173" s="33">
        <f>(AO173-AO169)/AO169</f>
        <v/>
      </c>
      <c r="AR173" s="33">
        <f>(AO173-AP173)/AP173</f>
        <v/>
      </c>
    </row>
    <row customHeight="1" ht="15.75" r="174" s="452" spans="1:45">
      <c r="A174" s="29" t="s">
        <v>50</v>
      </c>
      <c r="B174" s="29" t="s">
        <v>128</v>
      </c>
      <c r="C174" s="30">
        <f>C170+7</f>
        <v/>
      </c>
      <c r="D174" s="31" t="s">
        <v>60</v>
      </c>
      <c r="E174" s="531">
        <f>SUM(E175:E177)</f>
        <v/>
      </c>
      <c r="F174" s="531">
        <f>SUM(F175:F177)</f>
        <v/>
      </c>
      <c r="G174" s="33">
        <f>(E174-E170)/E170</f>
        <v/>
      </c>
      <c r="H174" s="33">
        <f>(E174-F174)/F174</f>
        <v/>
      </c>
      <c r="I174" s="531">
        <f>SUM(I175:I177)</f>
        <v/>
      </c>
      <c r="J174" s="531">
        <f>SUM(J175:J177)</f>
        <v/>
      </c>
      <c r="K174" s="33">
        <f>(I174-I170)/I170</f>
        <v/>
      </c>
      <c r="L174" s="33">
        <f>(I174-J174)/J174</f>
        <v/>
      </c>
      <c r="M174" s="532">
        <f>E174/I174</f>
        <v/>
      </c>
      <c r="N174" s="532">
        <f>F174/J174</f>
        <v/>
      </c>
      <c r="O174" s="33">
        <f>(M174-M170)/M170</f>
        <v/>
      </c>
      <c r="P174" s="33">
        <f>(M174-N174)/N174</f>
        <v/>
      </c>
      <c r="Q174" s="533">
        <f>SUM(Q175:Q177)</f>
        <v/>
      </c>
      <c r="R174" s="533">
        <f>SUM(R175:R177)</f>
        <v/>
      </c>
      <c r="S174" s="33">
        <f>(Q174-Q170)/Q170</f>
        <v/>
      </c>
      <c r="T174" s="33">
        <f>(Q174-R174)/R174</f>
        <v/>
      </c>
      <c r="U174" s="533">
        <f>SUM(U175:U177)</f>
        <v/>
      </c>
      <c r="V174" s="533">
        <f>SUM(V175:V177)</f>
        <v/>
      </c>
      <c r="W174" s="33">
        <f>(U174-U170)/U170</f>
        <v/>
      </c>
      <c r="X174" s="33">
        <f>(U174-V174)/V174</f>
        <v/>
      </c>
      <c r="Y174" s="88">
        <f>U174/Q174</f>
        <v/>
      </c>
      <c r="Z174" s="88">
        <f>V174/R174</f>
        <v/>
      </c>
      <c r="AA174" s="33">
        <f>(Y174-Y170)/Y170</f>
        <v/>
      </c>
      <c r="AB174" s="33">
        <f>(Y174-Z174)/Z174</f>
        <v/>
      </c>
      <c r="AC174" s="540">
        <f>E174/U174</f>
        <v/>
      </c>
      <c r="AD174" s="534">
        <f>F174/V174</f>
        <v/>
      </c>
      <c r="AE174" s="33">
        <f>(AC174-AC170)/AC170</f>
        <v/>
      </c>
      <c r="AF174" s="33">
        <f>(AC174-AD174)/AD174</f>
        <v/>
      </c>
      <c r="AG174" s="533">
        <f>SUM(AG175:AG177)</f>
        <v/>
      </c>
      <c r="AH174" s="533">
        <f>SUM(AH175:AH177)</f>
        <v/>
      </c>
      <c r="AI174" s="33">
        <f>(AG174-AG170)/AG170</f>
        <v/>
      </c>
      <c r="AJ174" s="33">
        <f>(AG174-AH174)/AH174</f>
        <v/>
      </c>
      <c r="AK174" s="533">
        <f>SUM(AK175:AK177)</f>
        <v/>
      </c>
      <c r="AL174" s="533">
        <f>SUM(AL175:AL177)</f>
        <v/>
      </c>
      <c r="AM174" s="150">
        <f>(AK174-AK170)/AK170</f>
        <v/>
      </c>
      <c r="AN174" s="431">
        <f>(AK174-AL174)/AL174</f>
        <v/>
      </c>
      <c r="AO174" s="33">
        <f>AG174/AK174</f>
        <v/>
      </c>
      <c r="AP174" s="33">
        <f>AH174/AL174</f>
        <v/>
      </c>
      <c r="AQ174" s="33">
        <f>(AO174-AO170)/AO170</f>
        <v/>
      </c>
      <c r="AR174" s="33">
        <f>(AO174-AP174)/AP174</f>
        <v/>
      </c>
    </row>
    <row customHeight="1" ht="15.75" r="175" s="452" spans="1:45">
      <c r="A175" s="260" t="s">
        <v>50</v>
      </c>
      <c r="B175" s="260" t="s">
        <v>128</v>
      </c>
      <c r="C175" s="261">
        <f>C171+7</f>
        <v/>
      </c>
      <c r="D175" s="260" t="s">
        <v>35</v>
      </c>
      <c r="E175" s="535" t="n">
        <v>10226</v>
      </c>
      <c r="F175" s="535" t="n">
        <v>7040</v>
      </c>
      <c r="G175" s="33">
        <f>(E175-E171)/E171</f>
        <v/>
      </c>
      <c r="H175" s="33">
        <f>(E175-F175)/F175</f>
        <v/>
      </c>
      <c r="I175" s="535">
        <f>1085.56+153.03</f>
        <v/>
      </c>
      <c r="J175" s="536">
        <f>439.88+31.53</f>
        <v/>
      </c>
      <c r="K175" s="33">
        <f>(I175-I171)/I171</f>
        <v/>
      </c>
      <c r="L175" s="33">
        <f>(I175-J175)/J175</f>
        <v/>
      </c>
      <c r="M175" s="536">
        <f>E175/I175</f>
        <v/>
      </c>
      <c r="N175" s="536">
        <f>F175/J175</f>
        <v/>
      </c>
      <c r="O175" s="33">
        <f>(M175-M171)/M171</f>
        <v/>
      </c>
      <c r="P175" s="33">
        <f>(M175-N175)/N175</f>
        <v/>
      </c>
      <c r="Q175" s="537" t="n">
        <v>5900</v>
      </c>
      <c r="R175" s="537">
        <f>4243</f>
        <v/>
      </c>
      <c r="S175" s="33">
        <f>(Q175-Q171)/Q171</f>
        <v/>
      </c>
      <c r="T175" s="33">
        <f>(Q175-R175)/R175</f>
        <v/>
      </c>
      <c r="U175" s="537" t="n">
        <v>203</v>
      </c>
      <c r="V175" s="537" t="n">
        <v>64</v>
      </c>
      <c r="W175" s="33">
        <f>(U175-U171)/U171</f>
        <v/>
      </c>
      <c r="X175" s="33">
        <f>(U175-V175)/V175</f>
        <v/>
      </c>
      <c r="Y175" s="113">
        <f>U175/Q175</f>
        <v/>
      </c>
      <c r="Z175" s="113">
        <f>V175/R175</f>
        <v/>
      </c>
      <c r="AA175" s="33">
        <f>(Y175-Y171)/Y171</f>
        <v/>
      </c>
      <c r="AB175" s="33">
        <f>(Y175-Z175)/Z175</f>
        <v/>
      </c>
      <c r="AC175" s="529">
        <f>E175/U175</f>
        <v/>
      </c>
      <c r="AD175" s="529">
        <f>F175/V175</f>
        <v/>
      </c>
      <c r="AE175" s="33">
        <f>(AC175-AC171)/AC171</f>
        <v/>
      </c>
      <c r="AF175" s="33">
        <f>(AC175-AD175)/AD175</f>
        <v/>
      </c>
      <c r="AG175" s="537">
        <f>3922+194</f>
        <v/>
      </c>
      <c r="AH175" s="537">
        <f>3024+162</f>
        <v/>
      </c>
      <c r="AI175" s="33">
        <f>(AG175-AG171)/AG171</f>
        <v/>
      </c>
      <c r="AJ175" s="33">
        <f>(AG175-AH175)/AH175</f>
        <v/>
      </c>
      <c r="AK175" s="537">
        <f>12301+478</f>
        <v/>
      </c>
      <c r="AL175" s="537">
        <f>7466+379</f>
        <v/>
      </c>
      <c r="AM175" s="150">
        <f>(AK175-AK171)/AK171</f>
        <v/>
      </c>
      <c r="AN175" s="431">
        <f>(AK175-AL175)/AL175</f>
        <v/>
      </c>
      <c r="AO175" s="282">
        <f>AG175/AK175</f>
        <v/>
      </c>
      <c r="AP175" s="282">
        <f>AH175/AL175</f>
        <v/>
      </c>
      <c r="AQ175" s="33">
        <f>(AO175-AO171)/AO171</f>
        <v/>
      </c>
      <c r="AR175" s="33">
        <f>(AO175-AP175)/AP175</f>
        <v/>
      </c>
    </row>
    <row customHeight="1" ht="15.75" r="176" s="452" spans="1:45">
      <c r="A176" s="260" t="s">
        <v>50</v>
      </c>
      <c r="B176" s="260" t="s">
        <v>128</v>
      </c>
      <c r="C176" s="261">
        <f>C172+7</f>
        <v/>
      </c>
      <c r="D176" s="260" t="s">
        <v>36</v>
      </c>
      <c r="E176" s="535" t="n">
        <v>203</v>
      </c>
      <c r="F176" s="535" t="n">
        <v>1144</v>
      </c>
      <c r="G176" s="33">
        <f>(E176-E172)/E172</f>
        <v/>
      </c>
      <c r="H176" s="33">
        <f>(E176-F176)/F176</f>
        <v/>
      </c>
      <c r="I176" s="535" t="n">
        <v>198.75</v>
      </c>
      <c r="J176" s="536">
        <f>2455.54+144.94</f>
        <v/>
      </c>
      <c r="K176" s="33">
        <f>(I176-I172)/I172</f>
        <v/>
      </c>
      <c r="L176" s="33">
        <f>(I176-J176)/J176</f>
        <v/>
      </c>
      <c r="M176" s="536">
        <f>E176/I176</f>
        <v/>
      </c>
      <c r="N176" s="536">
        <f>F176/J176</f>
        <v/>
      </c>
      <c r="O176" s="33">
        <f>(M176-M172)/M172</f>
        <v/>
      </c>
      <c r="P176" s="33">
        <f>(M176-N176)/N176</f>
        <v/>
      </c>
      <c r="Q176" s="537" t="n">
        <v>237</v>
      </c>
      <c r="R176" s="537" t="n">
        <v>2859</v>
      </c>
      <c r="S176" s="33">
        <f>(Q176-Q172)/Q172</f>
        <v/>
      </c>
      <c r="T176" s="33">
        <f>(Q176-R176)/R176</f>
        <v/>
      </c>
      <c r="U176" s="537" t="n">
        <v>2</v>
      </c>
      <c r="V176" s="537" t="n">
        <v>11</v>
      </c>
      <c r="W176" s="33">
        <f>(U176-U172)/U172</f>
        <v/>
      </c>
      <c r="X176" s="33">
        <f>(U176-V176)/V176</f>
        <v/>
      </c>
      <c r="Y176" s="113">
        <f>U176/Q176</f>
        <v/>
      </c>
      <c r="Z176" s="113">
        <f>V176/R176</f>
        <v/>
      </c>
      <c r="AA176" s="33">
        <f>(Y176-Y172)/Y172</f>
        <v/>
      </c>
      <c r="AB176" s="33">
        <f>(Y176-Z176)/Z176</f>
        <v/>
      </c>
      <c r="AC176" s="529">
        <f>E176/U176</f>
        <v/>
      </c>
      <c r="AD176" s="529">
        <f>F176/V176</f>
        <v/>
      </c>
      <c r="AE176" s="33">
        <f>(AC176-AC172)/AC172</f>
        <v/>
      </c>
      <c r="AF176" s="33">
        <f>(AC176-AD176)/AD176</f>
        <v/>
      </c>
      <c r="AG176" s="537" t="n">
        <v>183</v>
      </c>
      <c r="AH176" s="537">
        <f>2358+191</f>
        <v/>
      </c>
      <c r="AI176" s="33">
        <f>(AG176-AG172)/AG172</f>
        <v/>
      </c>
      <c r="AJ176" s="33">
        <f>(AG176-AH176)/AH176</f>
        <v/>
      </c>
      <c r="AK176" s="537" t="n">
        <v>2364</v>
      </c>
      <c r="AL176" s="537">
        <f>28292+2191</f>
        <v/>
      </c>
      <c r="AM176" s="150">
        <f>(AK176-AK172)/AK172</f>
        <v/>
      </c>
      <c r="AN176" s="431">
        <f>(AK176-AL176)/AL176</f>
        <v/>
      </c>
      <c r="AO176" s="282">
        <f>AG176/AK176</f>
        <v/>
      </c>
      <c r="AP176" s="282">
        <f>AH176/AL176</f>
        <v/>
      </c>
      <c r="AQ176" s="33">
        <f>(AO176-AO172)/AO172</f>
        <v/>
      </c>
      <c r="AR176" s="33">
        <f>(AO176-AP176)/AP176</f>
        <v/>
      </c>
    </row>
    <row customHeight="1" ht="15.75" r="177" s="452" spans="1:45">
      <c r="A177" s="260" t="s">
        <v>50</v>
      </c>
      <c r="B177" s="260" t="s">
        <v>128</v>
      </c>
      <c r="C177" s="261">
        <f>C173+7</f>
        <v/>
      </c>
      <c r="D177" s="260" t="s">
        <v>37</v>
      </c>
      <c r="E177" s="535" t="n">
        <v>2578</v>
      </c>
      <c r="F177" s="535" t="n"/>
      <c r="G177" s="33">
        <f>(E177-E173)/E173</f>
        <v/>
      </c>
      <c r="H177" s="33">
        <f>(E177-F177)/F177</f>
        <v/>
      </c>
      <c r="I177" s="535" t="n">
        <v>1584.9</v>
      </c>
      <c r="J177" s="536" t="n"/>
      <c r="K177" s="33">
        <f>(I177-I173)/I173</f>
        <v/>
      </c>
      <c r="L177" s="33">
        <f>(I177-J177)/J177</f>
        <v/>
      </c>
      <c r="M177" s="536">
        <f>E177/I177</f>
        <v/>
      </c>
      <c r="N177" s="536" t="n"/>
      <c r="O177" s="33">
        <f>(M177-M173)/M173</f>
        <v/>
      </c>
      <c r="P177" s="33">
        <f>(M177-N177)/N177</f>
        <v/>
      </c>
      <c r="Q177" s="537" t="n">
        <v>5817</v>
      </c>
      <c r="R177" s="537" t="n"/>
      <c r="S177" s="33">
        <f>(Q177-Q173)/Q173</f>
        <v/>
      </c>
      <c r="T177" s="33">
        <f>(Q177-R177)/R177</f>
        <v/>
      </c>
      <c r="U177" s="537" t="n">
        <v>28</v>
      </c>
      <c r="V177" s="537" t="n"/>
      <c r="W177" s="33">
        <f>(U177-U173)/U173</f>
        <v/>
      </c>
      <c r="X177" s="33">
        <f>(U177-V177)/V177</f>
        <v/>
      </c>
      <c r="Y177" s="113">
        <f>U177/Q177</f>
        <v/>
      </c>
      <c r="Z177" s="113" t="n"/>
      <c r="AA177" s="33">
        <f>(Y177-Y173)/Y173</f>
        <v/>
      </c>
      <c r="AB177" s="33">
        <f>(Y177-Z177)/Z177</f>
        <v/>
      </c>
      <c r="AC177" s="529">
        <f>E177/U177</f>
        <v/>
      </c>
      <c r="AD177" s="529" t="n"/>
      <c r="AE177" s="33">
        <f>(AC177-AC173)/AC173</f>
        <v/>
      </c>
      <c r="AF177" s="33">
        <f>(AC177-AD177)/AD177</f>
        <v/>
      </c>
      <c r="AG177" s="537" t="n">
        <v>5639</v>
      </c>
      <c r="AH177" s="537" t="n"/>
      <c r="AI177" s="33">
        <f>(AG177-AG173)/AG173</f>
        <v/>
      </c>
      <c r="AJ177" s="33">
        <f>(AG177-AH177)/AH177</f>
        <v/>
      </c>
      <c r="AK177" s="537" t="n">
        <v>255070</v>
      </c>
      <c r="AL177" s="537" t="n"/>
      <c r="AM177" s="150">
        <f>(AK177-AK173)/AK173</f>
        <v/>
      </c>
      <c r="AN177" s="431">
        <f>(AK177-AL177)/AL177</f>
        <v/>
      </c>
      <c r="AO177" s="282">
        <f>AG177/AK177</f>
        <v/>
      </c>
      <c r="AP177" s="282" t="n"/>
      <c r="AQ177" s="33">
        <f>(AO177-AO173)/AO173</f>
        <v/>
      </c>
      <c r="AR177" s="33">
        <f>(AO177-AP177)/AP177</f>
        <v/>
      </c>
    </row>
    <row customFormat="1" customHeight="1" ht="15.75" r="178" s="108" spans="1:45">
      <c r="A178" s="272" t="s">
        <v>51</v>
      </c>
      <c r="B178" s="272" t="s">
        <v>129</v>
      </c>
      <c r="C178" s="273">
        <f>C174+7</f>
        <v/>
      </c>
      <c r="D178" s="274" t="s">
        <v>60</v>
      </c>
      <c r="E178" s="541">
        <f>SUM(E179:E181)</f>
        <v/>
      </c>
      <c r="F178" s="541">
        <f>SUM(F179:F181)</f>
        <v/>
      </c>
      <c r="G178" s="116">
        <f>(E178-E174)/E174</f>
        <v/>
      </c>
      <c r="H178" s="116">
        <f>(E178-F178)/F178</f>
        <v/>
      </c>
      <c r="I178" s="541">
        <f>SUM(I179:I181)</f>
        <v/>
      </c>
      <c r="J178" s="541">
        <f>SUM(J179:J181)</f>
        <v/>
      </c>
      <c r="K178" s="116">
        <f>(I178-I174)/I174</f>
        <v/>
      </c>
      <c r="L178" s="116">
        <f>(I178-J178)/J178</f>
        <v/>
      </c>
      <c r="M178" s="542">
        <f>E178/I178</f>
        <v/>
      </c>
      <c r="N178" s="542">
        <f>F178/J178</f>
        <v/>
      </c>
      <c r="O178" s="116">
        <f>(M178-M174)/M174</f>
        <v/>
      </c>
      <c r="P178" s="116">
        <f>(M178-N178)/N178</f>
        <v/>
      </c>
      <c r="Q178" s="543">
        <f>SUM(Q179:Q181)</f>
        <v/>
      </c>
      <c r="R178" s="543">
        <f>SUM(R179:R181)</f>
        <v/>
      </c>
      <c r="S178" s="116">
        <f>(Q178-Q174)/Q174</f>
        <v/>
      </c>
      <c r="T178" s="116">
        <f>(Q178-R178)/R178</f>
        <v/>
      </c>
      <c r="U178" s="543">
        <f>SUM(U179:U181)</f>
        <v/>
      </c>
      <c r="V178" s="543">
        <f>SUM(V179:V181)</f>
        <v/>
      </c>
      <c r="W178" s="116">
        <f>(U178-U174)/U174</f>
        <v/>
      </c>
      <c r="X178" s="116">
        <f>(U178-V178)/V178</f>
        <v/>
      </c>
      <c r="Y178" s="119">
        <f>U178/Q178</f>
        <v/>
      </c>
      <c r="Z178" s="119">
        <f>V178/R178</f>
        <v/>
      </c>
      <c r="AA178" s="116">
        <f>(Y178-Y174)/Y174</f>
        <v/>
      </c>
      <c r="AB178" s="116">
        <f>(Y178-Z178)/Z178</f>
        <v/>
      </c>
      <c r="AC178" s="544">
        <f>E178/U178</f>
        <v/>
      </c>
      <c r="AD178" s="545">
        <f>F178/V178</f>
        <v/>
      </c>
      <c r="AE178" s="116">
        <f>(AC178-AC174)/AC174</f>
        <v/>
      </c>
      <c r="AF178" s="116">
        <f>(AC178-AD178)/AD178</f>
        <v/>
      </c>
      <c r="AG178" s="543">
        <f>SUM(AG179:AG181)</f>
        <v/>
      </c>
      <c r="AH178" s="543">
        <f>SUM(AH179:AH181)</f>
        <v/>
      </c>
      <c r="AI178" s="116">
        <f>(AG178-AG174)/AG174</f>
        <v/>
      </c>
      <c r="AJ178" s="116">
        <f>(AG178-AH178)/AH178</f>
        <v/>
      </c>
      <c r="AK178" s="543">
        <f>SUM(AK179:AK181)</f>
        <v/>
      </c>
      <c r="AL178" s="543">
        <f>SUM(AL179:AL181)</f>
        <v/>
      </c>
      <c r="AM178" s="276">
        <f>(AK178-AK174)/AK174</f>
        <v/>
      </c>
      <c r="AN178" s="277">
        <f>(AK178-AL178)/AL178</f>
        <v/>
      </c>
      <c r="AO178" s="116">
        <f>AG178/AK178</f>
        <v/>
      </c>
      <c r="AP178" s="116">
        <f>AH178/AL178</f>
        <v/>
      </c>
      <c r="AQ178" s="116">
        <f>(AO178-AO174)/AO174</f>
        <v/>
      </c>
      <c r="AR178" s="116">
        <f>(AO178-AP178)/AP178</f>
        <v/>
      </c>
      <c r="AS178" s="108" t="n"/>
    </row>
    <row customHeight="1" ht="15.75" r="179" s="452" spans="1:45">
      <c r="A179" s="260" t="s">
        <v>51</v>
      </c>
      <c r="B179" s="260" t="s">
        <v>129</v>
      </c>
      <c r="C179" s="261">
        <f>C175+7</f>
        <v/>
      </c>
      <c r="D179" s="260" t="s">
        <v>35</v>
      </c>
      <c r="E179" s="535" t="n">
        <v>18820</v>
      </c>
      <c r="F179" s="535" t="n">
        <v>8858</v>
      </c>
      <c r="G179" s="33">
        <f>(E179-E175)/E175</f>
        <v/>
      </c>
      <c r="H179" s="33">
        <f>(E179-F179)/F179</f>
        <v/>
      </c>
      <c r="I179" s="535">
        <f>1314.48+253.73</f>
        <v/>
      </c>
      <c r="J179" s="536">
        <f>945.26+30.92</f>
        <v/>
      </c>
      <c r="K179" s="33">
        <f>(I179-I175)/I175</f>
        <v/>
      </c>
      <c r="L179" s="33">
        <f>(I179-J179)/J179</f>
        <v/>
      </c>
      <c r="M179" s="536">
        <f>E179/I179</f>
        <v/>
      </c>
      <c r="N179" s="536">
        <f>F179/J179</f>
        <v/>
      </c>
      <c r="O179" s="33">
        <f>(M179-M175)/M175</f>
        <v/>
      </c>
      <c r="P179" s="33">
        <f>(M179-N179)/N179</f>
        <v/>
      </c>
      <c r="Q179" s="537" t="n">
        <v>8020</v>
      </c>
      <c r="R179" s="537" t="n">
        <v>5539</v>
      </c>
      <c r="S179" s="33">
        <f>(Q179-Q175)/Q175</f>
        <v/>
      </c>
      <c r="T179" s="33">
        <f>(Q179-R179)/R179</f>
        <v/>
      </c>
      <c r="U179" s="537" t="n">
        <v>155</v>
      </c>
      <c r="V179" s="537" t="n">
        <v>78</v>
      </c>
      <c r="W179" s="33">
        <f>(U179-U175)/U175</f>
        <v/>
      </c>
      <c r="X179" s="33">
        <f>(U179-V179)/V179</f>
        <v/>
      </c>
      <c r="Y179" s="113">
        <f>U179/Q179</f>
        <v/>
      </c>
      <c r="Z179" s="113">
        <f>V179/R179</f>
        <v/>
      </c>
      <c r="AA179" s="33">
        <f>(Y179-Y175)/Y175</f>
        <v/>
      </c>
      <c r="AB179" s="33">
        <f>(Y179-Z179)/Z179</f>
        <v/>
      </c>
      <c r="AC179" s="529">
        <f>E179/U179</f>
        <v/>
      </c>
      <c r="AD179" s="529">
        <f>F179/V179</f>
        <v/>
      </c>
      <c r="AE179" s="33">
        <f>(AC179-AC175)/AC175</f>
        <v/>
      </c>
      <c r="AF179" s="33">
        <f>(AC179-AD179)/AD179</f>
        <v/>
      </c>
      <c r="AG179" s="537">
        <f>5167+341</f>
        <v/>
      </c>
      <c r="AH179" s="537">
        <f>3987+200</f>
        <v/>
      </c>
      <c r="AI179" s="33">
        <f>(AG179-AG175)/AG175</f>
        <v/>
      </c>
      <c r="AJ179" s="33">
        <f>(AG179-AH179)/AH179</f>
        <v/>
      </c>
      <c r="AK179" s="537">
        <f>15980+764</f>
        <v/>
      </c>
      <c r="AL179" s="537">
        <f>9258+425</f>
        <v/>
      </c>
      <c r="AM179" s="150">
        <f>(AK179-AK175)/AK175</f>
        <v/>
      </c>
      <c r="AN179" s="431">
        <f>(AK179-AL179)/AL179</f>
        <v/>
      </c>
      <c r="AO179" s="282">
        <f>AG179/AK179</f>
        <v/>
      </c>
      <c r="AP179" s="282">
        <f>AH179/AL179</f>
        <v/>
      </c>
      <c r="AQ179" s="33">
        <f>(AO179-AO175)/AO175</f>
        <v/>
      </c>
      <c r="AR179" s="33">
        <f>(AO179-AP179)/AP179</f>
        <v/>
      </c>
    </row>
    <row customHeight="1" ht="15.75" r="180" s="452" spans="1:45">
      <c r="A180" s="260" t="s">
        <v>51</v>
      </c>
      <c r="B180" s="260" t="s">
        <v>129</v>
      </c>
      <c r="C180" s="261">
        <f>C176+7</f>
        <v/>
      </c>
      <c r="D180" s="260" t="s">
        <v>36</v>
      </c>
      <c r="E180" s="535" t="n">
        <v>158</v>
      </c>
      <c r="F180" s="535" t="n">
        <v>1197</v>
      </c>
      <c r="G180" s="33">
        <f>(E180-E176)/E176</f>
        <v/>
      </c>
      <c r="H180" s="33">
        <f>(E180-F180)/F180</f>
        <v/>
      </c>
      <c r="I180" s="535" t="n">
        <v>458.81</v>
      </c>
      <c r="J180" s="536">
        <f>3962.4+203.22</f>
        <v/>
      </c>
      <c r="K180" s="33">
        <f>(I180-I176)/I176</f>
        <v/>
      </c>
      <c r="L180" s="33">
        <f>(I180-J180)/J180</f>
        <v/>
      </c>
      <c r="M180" s="536">
        <f>E180/I180</f>
        <v/>
      </c>
      <c r="N180" s="536">
        <f>F180/J180</f>
        <v/>
      </c>
      <c r="O180" s="33">
        <f>(M180-M176)/M176</f>
        <v/>
      </c>
      <c r="P180" s="33">
        <f>(M180-N180)/N180</f>
        <v/>
      </c>
      <c r="Q180" s="537" t="n">
        <v>404</v>
      </c>
      <c r="R180" s="537" t="n">
        <v>3336</v>
      </c>
      <c r="S180" s="33">
        <f>(Q180-Q176)/Q176</f>
        <v/>
      </c>
      <c r="T180" s="33">
        <f>(Q180-R180)/R180</f>
        <v/>
      </c>
      <c r="U180" s="537" t="n">
        <v>1</v>
      </c>
      <c r="V180" s="537" t="n">
        <v>12</v>
      </c>
      <c r="W180" s="33">
        <f>(U180-U176)/U176</f>
        <v/>
      </c>
      <c r="X180" s="33">
        <f>(U180-V180)/V180</f>
        <v/>
      </c>
      <c r="Y180" s="113">
        <f>U180/Q180</f>
        <v/>
      </c>
      <c r="Z180" s="113">
        <f>V180/R180</f>
        <v/>
      </c>
      <c r="AA180" s="33">
        <f>(Y180-Y176)/Y176</f>
        <v/>
      </c>
      <c r="AB180" s="33">
        <f>(Y180-Z180)/Z180</f>
        <v/>
      </c>
      <c r="AC180" s="529">
        <f>E180/U180</f>
        <v/>
      </c>
      <c r="AD180" s="529">
        <f>F180/V180</f>
        <v/>
      </c>
      <c r="AE180" s="33">
        <f>(AC180-AC176)/AC176</f>
        <v/>
      </c>
      <c r="AF180" s="33">
        <f>(AC180-AD180)/AD180</f>
        <v/>
      </c>
      <c r="AG180" s="537" t="n">
        <v>384</v>
      </c>
      <c r="AH180" s="537">
        <f>3207+240</f>
        <v/>
      </c>
      <c r="AI180" s="33">
        <f>(AG180-AG176)/AG176</f>
        <v/>
      </c>
      <c r="AJ180" s="33">
        <f>(AG180-AH180)/AH180</f>
        <v/>
      </c>
      <c r="AK180" s="537" t="n">
        <v>4355</v>
      </c>
      <c r="AL180" s="537">
        <f>43146+2357</f>
        <v/>
      </c>
      <c r="AM180" s="150">
        <f>(AK180-AK176)/AK176</f>
        <v/>
      </c>
      <c r="AN180" s="431">
        <f>(AK180-AL180)/AL180</f>
        <v/>
      </c>
      <c r="AO180" s="282">
        <f>AG180/AK180</f>
        <v/>
      </c>
      <c r="AP180" s="282">
        <f>AH180/AL180</f>
        <v/>
      </c>
      <c r="AQ180" s="33">
        <f>(AO180-AO176)/AO176</f>
        <v/>
      </c>
      <c r="AR180" s="33">
        <f>(AO180-AP180)/AP180</f>
        <v/>
      </c>
    </row>
    <row customHeight="1" ht="15.75" r="181" s="452" spans="1:45">
      <c r="A181" s="260" t="s">
        <v>51</v>
      </c>
      <c r="B181" s="260" t="s">
        <v>129</v>
      </c>
      <c r="C181" s="261">
        <f>C177+7</f>
        <v/>
      </c>
      <c r="D181" s="260" t="s">
        <v>37</v>
      </c>
      <c r="E181" s="535" t="n">
        <v>2494</v>
      </c>
      <c r="F181" s="535" t="n"/>
      <c r="G181" s="33">
        <f>(E181-E177)/E177</f>
        <v/>
      </c>
      <c r="H181" s="33">
        <f>(E181-F181)/F181</f>
        <v/>
      </c>
      <c r="I181" s="535" t="n">
        <v>2025.48</v>
      </c>
      <c r="J181" s="536" t="n"/>
      <c r="K181" s="33">
        <f>(I181-I177)/I177</f>
        <v/>
      </c>
      <c r="L181" s="33">
        <f>(I181-J181)/J181</f>
        <v/>
      </c>
      <c r="M181" s="536">
        <f>E181/I181</f>
        <v/>
      </c>
      <c r="N181" s="536" t="n"/>
      <c r="O181" s="33">
        <f>(M181-M177)/M177</f>
        <v/>
      </c>
      <c r="P181" s="33">
        <f>(M181-N181)/N181</f>
        <v/>
      </c>
      <c r="Q181" s="537" t="n">
        <v>8485</v>
      </c>
      <c r="R181" s="537" t="n"/>
      <c r="S181" s="33">
        <f>(Q181-Q177)/Q177</f>
        <v/>
      </c>
      <c r="T181" s="33">
        <f>(Q181-R181)/R181</f>
        <v/>
      </c>
      <c r="U181" s="537" t="n">
        <v>31</v>
      </c>
      <c r="V181" s="537" t="n"/>
      <c r="W181" s="33">
        <f>(U181-U177)/U177</f>
        <v/>
      </c>
      <c r="X181" s="33">
        <f>(U181-V181)/V181</f>
        <v/>
      </c>
      <c r="Y181" s="113">
        <f>U181/Q181</f>
        <v/>
      </c>
      <c r="Z181" s="113" t="n"/>
      <c r="AA181" s="33">
        <f>(Y181-Y177)/Y177</f>
        <v/>
      </c>
      <c r="AB181" s="33">
        <f>(Y181-Z181)/Z181</f>
        <v/>
      </c>
      <c r="AC181" s="529">
        <f>E181/U181</f>
        <v/>
      </c>
      <c r="AD181" s="529" t="n"/>
      <c r="AE181" s="33">
        <f>(AC181-AC177)/AC177</f>
        <v/>
      </c>
      <c r="AF181" s="33">
        <f>(AC181-AD181)/AD181</f>
        <v/>
      </c>
      <c r="AG181" s="537" t="n">
        <v>8530</v>
      </c>
      <c r="AH181" s="537" t="n"/>
      <c r="AI181" s="33">
        <f>(AG181-AG177)/AG177</f>
        <v/>
      </c>
      <c r="AJ181" s="33">
        <f>(AG181-AH181)/AH181</f>
        <v/>
      </c>
      <c r="AK181" s="537" t="n">
        <v>376497</v>
      </c>
      <c r="AL181" s="537" t="n"/>
      <c r="AM181" s="150">
        <f>(AK181-AK177)/AK177</f>
        <v/>
      </c>
      <c r="AN181" s="431">
        <f>(AK181-AL181)/AL181</f>
        <v/>
      </c>
      <c r="AO181" s="282">
        <f>AG181/AK181</f>
        <v/>
      </c>
      <c r="AP181" s="282" t="n"/>
      <c r="AQ181" s="33">
        <f>(AO181-AO177)/AO177</f>
        <v/>
      </c>
      <c r="AR181" s="33">
        <f>(AO181-AP181)/AP181</f>
        <v/>
      </c>
    </row>
    <row customHeight="1" ht="15.75" r="182" s="452" spans="1:45">
      <c r="A182" s="29" t="s">
        <v>51</v>
      </c>
      <c r="B182" s="29" t="s">
        <v>130</v>
      </c>
      <c r="C182" s="30">
        <f>C178+7</f>
        <v/>
      </c>
      <c r="D182" s="31" t="s">
        <v>60</v>
      </c>
      <c r="E182" s="531">
        <f>SUM(E183:E185)</f>
        <v/>
      </c>
      <c r="F182" s="531">
        <f>SUM(F183:F185)</f>
        <v/>
      </c>
      <c r="G182" s="33">
        <f>(E182-E178)/E178</f>
        <v/>
      </c>
      <c r="H182" s="33">
        <f>(E182-F182)/F182</f>
        <v/>
      </c>
      <c r="I182" s="531">
        <f>SUM(I183:I185)</f>
        <v/>
      </c>
      <c r="J182" s="531">
        <f>SUM(J183:J185)</f>
        <v/>
      </c>
      <c r="K182" s="33">
        <f>(I182-I178)/I178</f>
        <v/>
      </c>
      <c r="L182" s="33">
        <f>(I182-J182)/J182</f>
        <v/>
      </c>
      <c r="M182" s="532">
        <f>E182/I182</f>
        <v/>
      </c>
      <c r="N182" s="532">
        <f>F182/J182</f>
        <v/>
      </c>
      <c r="O182" s="33">
        <f>(M182-M178)/M178</f>
        <v/>
      </c>
      <c r="P182" s="33">
        <f>(M182-N182)/N182</f>
        <v/>
      </c>
      <c r="Q182" s="533">
        <f>SUM(Q183:Q185)</f>
        <v/>
      </c>
      <c r="R182" s="533">
        <f>SUM(R183:R185)</f>
        <v/>
      </c>
      <c r="S182" s="33">
        <f>(Q182-Q178)/Q178</f>
        <v/>
      </c>
      <c r="T182" s="33">
        <f>(Q182-R182)/R182</f>
        <v/>
      </c>
      <c r="U182" s="533">
        <f>SUM(U183:U185)</f>
        <v/>
      </c>
      <c r="V182" s="533">
        <f>SUM(V183:V185)</f>
        <v/>
      </c>
      <c r="W182" s="33">
        <f>(U182-U178)/U178</f>
        <v/>
      </c>
      <c r="X182" s="33">
        <f>(U182-V182)/V182</f>
        <v/>
      </c>
      <c r="Y182" s="88">
        <f>U182/Q182</f>
        <v/>
      </c>
      <c r="Z182" s="88">
        <f>V182/R182</f>
        <v/>
      </c>
      <c r="AA182" s="33">
        <f>(Y182-Y178)/Y178</f>
        <v/>
      </c>
      <c r="AB182" s="33">
        <f>(Y182-Z182)/Z182</f>
        <v/>
      </c>
      <c r="AC182" s="540">
        <f>E182/U182</f>
        <v/>
      </c>
      <c r="AD182" s="534">
        <f>F182/V182</f>
        <v/>
      </c>
      <c r="AE182" s="33">
        <f>(AC182-AC178)/AC178</f>
        <v/>
      </c>
      <c r="AF182" s="33">
        <f>(AC182-AD182)/AD182</f>
        <v/>
      </c>
      <c r="AG182" s="533">
        <f>SUM(AG183:AG185)</f>
        <v/>
      </c>
      <c r="AH182" s="533">
        <f>SUM(AH183:AH185)</f>
        <v/>
      </c>
      <c r="AI182" s="33">
        <f>(AG182-AG178)/AG178</f>
        <v/>
      </c>
      <c r="AJ182" s="33">
        <f>(AG182-AH182)/AH182</f>
        <v/>
      </c>
      <c r="AK182" s="533">
        <f>SUM(AK183:AK185)</f>
        <v/>
      </c>
      <c r="AL182" s="533">
        <f>SUM(AL183:AL185)</f>
        <v/>
      </c>
      <c r="AM182" s="150">
        <f>(AK182-AK178)/AK178</f>
        <v/>
      </c>
      <c r="AN182" s="431">
        <f>(AK182-AL182)/AL182</f>
        <v/>
      </c>
      <c r="AO182" s="33">
        <f>AG182/AK182</f>
        <v/>
      </c>
      <c r="AP182" s="33">
        <f>AH182/AL182</f>
        <v/>
      </c>
      <c r="AQ182" s="33">
        <f>(AO182-AO178)/AO178</f>
        <v/>
      </c>
      <c r="AR182" s="33">
        <f>(AO182-AP182)/AP182</f>
        <v/>
      </c>
    </row>
    <row customHeight="1" ht="15.75" r="183" s="452" spans="1:45">
      <c r="A183" s="260" t="s">
        <v>51</v>
      </c>
      <c r="B183" s="260" t="s">
        <v>130</v>
      </c>
      <c r="C183" s="261">
        <f>C179+7</f>
        <v/>
      </c>
      <c r="D183" s="260" t="s">
        <v>35</v>
      </c>
      <c r="E183" s="535" t="n">
        <v>15416</v>
      </c>
      <c r="F183" s="535" t="n">
        <v>8961</v>
      </c>
      <c r="G183" s="33">
        <f>(E183-E179)/E179</f>
        <v/>
      </c>
      <c r="H183" s="33">
        <f>(E183-F183)/F183</f>
        <v/>
      </c>
      <c r="I183" s="535">
        <f>283.23+1250.74</f>
        <v/>
      </c>
      <c r="J183" s="536">
        <f>1250.94+39.19</f>
        <v/>
      </c>
      <c r="K183" s="33">
        <f>(I183-I179)/I179</f>
        <v/>
      </c>
      <c r="L183" s="33">
        <f>(I183-J183)/J183</f>
        <v/>
      </c>
      <c r="M183" s="536">
        <f>E183/I183</f>
        <v/>
      </c>
      <c r="N183" s="536">
        <f>F183/J183</f>
        <v/>
      </c>
      <c r="O183" s="33">
        <f>(M183-M179)/M179</f>
        <v/>
      </c>
      <c r="P183" s="33">
        <f>(M183-N183)/N183</f>
        <v/>
      </c>
      <c r="Q183" s="537" t="n">
        <v>8118</v>
      </c>
      <c r="R183" s="537" t="n">
        <v>6520</v>
      </c>
      <c r="S183" s="33">
        <f>(Q183-Q179)/Q179</f>
        <v/>
      </c>
      <c r="T183" s="33">
        <f>(Q183-R183)/R183</f>
        <v/>
      </c>
      <c r="U183" s="537" t="n">
        <v>121</v>
      </c>
      <c r="V183" s="537" t="n">
        <v>90</v>
      </c>
      <c r="W183" s="33">
        <f>(U183-U179)/U179</f>
        <v/>
      </c>
      <c r="X183" s="33">
        <f>(U183-V183)/V183</f>
        <v/>
      </c>
      <c r="Y183" s="113">
        <f>U183/Q183</f>
        <v/>
      </c>
      <c r="Z183" s="113">
        <f>V183/R183</f>
        <v/>
      </c>
      <c r="AA183" s="33">
        <f>(Y183-Y179)/Y179</f>
        <v/>
      </c>
      <c r="AB183" s="33">
        <f>(Y183-Z183)/Z183</f>
        <v/>
      </c>
      <c r="AC183" s="529">
        <f>E183/U183</f>
        <v/>
      </c>
      <c r="AD183" s="529">
        <f>F183/V183</f>
        <v/>
      </c>
      <c r="AE183" s="33">
        <f>(AC183-AC179)/AC179</f>
        <v/>
      </c>
      <c r="AF183" s="33">
        <f>(AC183-AD183)/AD183</f>
        <v/>
      </c>
      <c r="AG183" s="537">
        <f>331+5374</f>
        <v/>
      </c>
      <c r="AH183" s="537">
        <f>4790+251</f>
        <v/>
      </c>
      <c r="AI183" s="33">
        <f>(AG183-AG179)/AG179</f>
        <v/>
      </c>
      <c r="AJ183" s="33">
        <f>(AG183-AH183)/AH183</f>
        <v/>
      </c>
      <c r="AK183" s="537">
        <f>652+16471</f>
        <v/>
      </c>
      <c r="AL183" s="537">
        <f>10590+539</f>
        <v/>
      </c>
      <c r="AM183" s="150">
        <f>(AK183-AK179)/AK179</f>
        <v/>
      </c>
      <c r="AN183" s="431">
        <f>(AK183-AL183)/AL183</f>
        <v/>
      </c>
      <c r="AO183" s="282">
        <f>AG183/AK183</f>
        <v/>
      </c>
      <c r="AP183" s="282">
        <f>AH183/AL183</f>
        <v/>
      </c>
      <c r="AQ183" s="33">
        <f>(AO183-AO179)/AO179</f>
        <v/>
      </c>
      <c r="AR183" s="33">
        <f>(AO183-AP183)/AP183</f>
        <v/>
      </c>
    </row>
    <row customHeight="1" ht="15.75" r="184" s="452" spans="1:45">
      <c r="A184" s="260" t="s">
        <v>51</v>
      </c>
      <c r="B184" s="260" t="s">
        <v>130</v>
      </c>
      <c r="C184" s="261">
        <f>C180+7</f>
        <v/>
      </c>
      <c r="D184" s="260" t="s">
        <v>36</v>
      </c>
      <c r="E184" s="535" t="n">
        <v>321</v>
      </c>
      <c r="F184" s="535" t="n">
        <v>926</v>
      </c>
      <c r="G184" s="33">
        <f>(E184-E180)/E180</f>
        <v/>
      </c>
      <c r="H184" s="33">
        <f>(E184-F184)/F184</f>
        <v/>
      </c>
      <c r="I184" s="535" t="n">
        <v>676.28</v>
      </c>
      <c r="J184" s="536">
        <f>4990.62+240.38</f>
        <v/>
      </c>
      <c r="K184" s="33">
        <f>(I184-I180)/I180</f>
        <v/>
      </c>
      <c r="L184" s="33">
        <f>(I184-J184)/J184</f>
        <v/>
      </c>
      <c r="M184" s="536">
        <f>E184/I184</f>
        <v/>
      </c>
      <c r="N184" s="536">
        <f>F184/J184</f>
        <v/>
      </c>
      <c r="O184" s="33">
        <f>(M184-M180)/M180</f>
        <v/>
      </c>
      <c r="P184" s="33">
        <f>(M184-N184)/N184</f>
        <v/>
      </c>
      <c r="Q184" s="537" t="n">
        <v>702</v>
      </c>
      <c r="R184" s="537" t="n">
        <v>4434</v>
      </c>
      <c r="S184" s="33">
        <f>(Q184-Q180)/Q180</f>
        <v/>
      </c>
      <c r="T184" s="33">
        <f>(Q184-R184)/R184</f>
        <v/>
      </c>
      <c r="U184" s="537" t="n">
        <v>6</v>
      </c>
      <c r="V184" s="537" t="n">
        <v>7</v>
      </c>
      <c r="W184" s="33">
        <f>(U184-U180)/U180</f>
        <v/>
      </c>
      <c r="X184" s="33">
        <f>(U184-V184)/V184</f>
        <v/>
      </c>
      <c r="Y184" s="113">
        <f>U184/Q184</f>
        <v/>
      </c>
      <c r="Z184" s="113">
        <f>V184/R184</f>
        <v/>
      </c>
      <c r="AA184" s="33">
        <f>(Y184-Y180)/Y180</f>
        <v/>
      </c>
      <c r="AB184" s="33">
        <f>(Y184-Z184)/Z184</f>
        <v/>
      </c>
      <c r="AC184" s="529">
        <f>E184/U184</f>
        <v/>
      </c>
      <c r="AD184" s="529">
        <f>F184/V184</f>
        <v/>
      </c>
      <c r="AE184" s="33">
        <f>(AC184-AC180)/AC180</f>
        <v/>
      </c>
      <c r="AF184" s="33">
        <f>(AC184-AD184)/AD184</f>
        <v/>
      </c>
      <c r="AG184" s="537" t="n">
        <v>679</v>
      </c>
      <c r="AH184" s="537">
        <f>4014+263</f>
        <v/>
      </c>
      <c r="AI184" s="33">
        <f>(AG184-AG180)/AG180</f>
        <v/>
      </c>
      <c r="AJ184" s="33">
        <f>(AG184-AH184)/AH184</f>
        <v/>
      </c>
      <c r="AK184" s="537" t="n">
        <v>7008</v>
      </c>
      <c r="AL184" s="537">
        <f>61005+2521</f>
        <v/>
      </c>
      <c r="AM184" s="150">
        <f>(AK184-AK180)/AK180</f>
        <v/>
      </c>
      <c r="AN184" s="431">
        <f>(AK184-AL184)/AL184</f>
        <v/>
      </c>
      <c r="AO184" s="282">
        <f>AG184/AK184</f>
        <v/>
      </c>
      <c r="AP184" s="282">
        <f>AH184/AL184</f>
        <v/>
      </c>
      <c r="AQ184" s="33">
        <f>(AO184-AO180)/AO180</f>
        <v/>
      </c>
      <c r="AR184" s="33">
        <f>(AO184-AP184)/AP184</f>
        <v/>
      </c>
    </row>
    <row customHeight="1" ht="15.75" r="185" s="452" spans="1:45">
      <c r="A185" s="260" t="s">
        <v>51</v>
      </c>
      <c r="B185" s="260" t="s">
        <v>130</v>
      </c>
      <c r="C185" s="261">
        <f>C181+7</f>
        <v/>
      </c>
      <c r="D185" s="260" t="s">
        <v>37</v>
      </c>
      <c r="E185" s="535" t="n">
        <v>4471</v>
      </c>
      <c r="F185" s="535" t="n"/>
      <c r="G185" s="33">
        <f>(E185-E181)/E181</f>
        <v/>
      </c>
      <c r="H185" s="33">
        <f>(E185-F185)/F185</f>
        <v/>
      </c>
      <c r="I185" s="535" t="n">
        <v>2726.75</v>
      </c>
      <c r="J185" s="536" t="n"/>
      <c r="K185" s="33">
        <f>(I185-I181)/I181</f>
        <v/>
      </c>
      <c r="L185" s="33">
        <f>(I185-J185)/J185</f>
        <v/>
      </c>
      <c r="M185" s="536">
        <f>E185/I185</f>
        <v/>
      </c>
      <c r="N185" s="536" t="n"/>
      <c r="O185" s="33">
        <f>(M185-M181)/M181</f>
        <v/>
      </c>
      <c r="P185" s="33">
        <f>(M185-N185)/N185</f>
        <v/>
      </c>
      <c r="Q185" s="537" t="n">
        <v>9300</v>
      </c>
      <c r="R185" s="537" t="n"/>
      <c r="S185" s="33">
        <f>(Q185-Q181)/Q181</f>
        <v/>
      </c>
      <c r="T185" s="33">
        <f>(Q185-R185)/R185</f>
        <v/>
      </c>
      <c r="U185" s="537" t="n">
        <v>46</v>
      </c>
      <c r="V185" s="537" t="n"/>
      <c r="W185" s="33">
        <f>(U185-U181)/U181</f>
        <v/>
      </c>
      <c r="X185" s="33">
        <f>(U185-V185)/V185</f>
        <v/>
      </c>
      <c r="Y185" s="113">
        <f>U185/Q185</f>
        <v/>
      </c>
      <c r="Z185" s="113" t="n"/>
      <c r="AA185" s="33">
        <f>(Y185-Y181)/Y181</f>
        <v/>
      </c>
      <c r="AB185" s="33">
        <f>(Y185-Z185)/Z185</f>
        <v/>
      </c>
      <c r="AC185" s="529">
        <f>E185/U185</f>
        <v/>
      </c>
      <c r="AD185" s="529" t="n"/>
      <c r="AE185" s="33">
        <f>(AC185-AC181)/AC181</f>
        <v/>
      </c>
      <c r="AF185" s="33">
        <f>(AC185-AD185)/AD185</f>
        <v/>
      </c>
      <c r="AG185" s="537" t="n">
        <v>9289</v>
      </c>
      <c r="AH185" s="537" t="n"/>
      <c r="AI185" s="33">
        <f>(AG185-AG181)/AG181</f>
        <v/>
      </c>
      <c r="AJ185" s="33">
        <f>(AG185-AH185)/AH185</f>
        <v/>
      </c>
      <c r="AK185" s="537" t="n">
        <v>418583</v>
      </c>
      <c r="AL185" s="537" t="n"/>
      <c r="AM185" s="150">
        <f>(AK185-AK181)/AK181</f>
        <v/>
      </c>
      <c r="AN185" s="431">
        <f>(AK185-AL185)/AL185</f>
        <v/>
      </c>
      <c r="AO185" s="282">
        <f>AG185/AK185</f>
        <v/>
      </c>
      <c r="AP185" s="282" t="n"/>
      <c r="AQ185" s="33">
        <f>(AO185-AO181)/AO181</f>
        <v/>
      </c>
      <c r="AR185" s="33">
        <f>(AO185-AP185)/AP185</f>
        <v/>
      </c>
    </row>
    <row customHeight="1" ht="15.75" r="186" s="452" spans="1:45">
      <c r="A186" s="29" t="s">
        <v>51</v>
      </c>
      <c r="B186" s="29" t="s">
        <v>131</v>
      </c>
      <c r="C186" s="30">
        <f>C182+7</f>
        <v/>
      </c>
      <c r="D186" s="31" t="s">
        <v>60</v>
      </c>
      <c r="E186" s="531">
        <f>SUM(E187:E189)</f>
        <v/>
      </c>
      <c r="F186" s="531">
        <f>SUM(F187:F189)</f>
        <v/>
      </c>
      <c r="G186" s="33">
        <f>(E186-E182)/E182</f>
        <v/>
      </c>
      <c r="H186" s="33">
        <f>(E186-F186)/F186</f>
        <v/>
      </c>
      <c r="I186" s="531">
        <f>SUM(I187:I189)</f>
        <v/>
      </c>
      <c r="J186" s="531">
        <f>SUM(J187:J189)</f>
        <v/>
      </c>
      <c r="K186" s="33">
        <f>(I186-I182)/I182</f>
        <v/>
      </c>
      <c r="L186" s="33">
        <f>(I186-J186)/J186</f>
        <v/>
      </c>
      <c r="M186" s="532">
        <f>E186/I186</f>
        <v/>
      </c>
      <c r="N186" s="532">
        <f>F186/J186</f>
        <v/>
      </c>
      <c r="O186" s="33">
        <f>(M186-M182)/M182</f>
        <v/>
      </c>
      <c r="P186" s="33">
        <f>(M186-N186)/N186</f>
        <v/>
      </c>
      <c r="Q186" s="533">
        <f>SUM(Q187:Q189)</f>
        <v/>
      </c>
      <c r="R186" s="533">
        <f>SUM(R187:R189)</f>
        <v/>
      </c>
      <c r="S186" s="33">
        <f>(Q186-Q182)/Q182</f>
        <v/>
      </c>
      <c r="T186" s="33">
        <f>(Q186-R186)/R186</f>
        <v/>
      </c>
      <c r="U186" s="533">
        <f>SUM(U187:U189)</f>
        <v/>
      </c>
      <c r="V186" s="533">
        <f>SUM(V187:V189)</f>
        <v/>
      </c>
      <c r="W186" s="33">
        <f>(U186-U182)/U182</f>
        <v/>
      </c>
      <c r="X186" s="33">
        <f>(U186-V186)/V186</f>
        <v/>
      </c>
      <c r="Y186" s="88">
        <f>U186/Q186</f>
        <v/>
      </c>
      <c r="Z186" s="88">
        <f>V186/R186</f>
        <v/>
      </c>
      <c r="AA186" s="33">
        <f>(Y186-Y182)/Y182</f>
        <v/>
      </c>
      <c r="AB186" s="33">
        <f>(Y186-Z186)/Z186</f>
        <v/>
      </c>
      <c r="AC186" s="540">
        <f>E186/U186</f>
        <v/>
      </c>
      <c r="AD186" s="534">
        <f>F186/V186</f>
        <v/>
      </c>
      <c r="AE186" s="33">
        <f>(AC186-AC182)/AC182</f>
        <v/>
      </c>
      <c r="AF186" s="33">
        <f>(AC186-AD186)/AD186</f>
        <v/>
      </c>
      <c r="AG186" s="533">
        <f>SUM(AG187:AG189)</f>
        <v/>
      </c>
      <c r="AH186" s="533">
        <f>SUM(AH187:AH189)</f>
        <v/>
      </c>
      <c r="AI186" s="33">
        <f>(AG186-AG182)/AG182</f>
        <v/>
      </c>
      <c r="AJ186" s="33">
        <f>(AG186-AH186)/AH186</f>
        <v/>
      </c>
      <c r="AK186" s="533">
        <f>SUM(AK187:AK189)</f>
        <v/>
      </c>
      <c r="AL186" s="533">
        <f>SUM(AL187:AL189)</f>
        <v/>
      </c>
      <c r="AM186" s="150">
        <f>(AK186-AK182)/AK182</f>
        <v/>
      </c>
      <c r="AN186" s="431">
        <f>(AK186-AL186)/AL186</f>
        <v/>
      </c>
      <c r="AO186" s="33">
        <f>AG186/AK186</f>
        <v/>
      </c>
      <c r="AP186" s="33">
        <f>AH186/AL186</f>
        <v/>
      </c>
      <c r="AQ186" s="33">
        <f>(AO186-AO182)/AO182</f>
        <v/>
      </c>
      <c r="AR186" s="33">
        <f>(AO186-AP186)/AP186</f>
        <v/>
      </c>
      <c r="AS186" s="214" t="n"/>
    </row>
    <row customHeight="1" ht="15.75" r="187" s="452" spans="1:45">
      <c r="A187" s="260" t="s">
        <v>51</v>
      </c>
      <c r="B187" s="260" t="s">
        <v>131</v>
      </c>
      <c r="C187" s="261">
        <f>C183+7</f>
        <v/>
      </c>
      <c r="D187" s="260" t="s">
        <v>35</v>
      </c>
      <c r="E187" s="535" t="n">
        <v>20468</v>
      </c>
      <c r="F187" s="535" t="n">
        <v>12693</v>
      </c>
      <c r="G187" s="33">
        <f>(E187-E183)/E183</f>
        <v/>
      </c>
      <c r="H187" s="33">
        <f>(E187-F187)/F187</f>
        <v/>
      </c>
      <c r="I187" s="535" t="n">
        <v>2241.37</v>
      </c>
      <c r="J187" s="536">
        <f>1522.5+52.63</f>
        <v/>
      </c>
      <c r="K187" s="33">
        <f>(I187-I183)/I183</f>
        <v/>
      </c>
      <c r="L187" s="33">
        <f>(I187-J187)/J187</f>
        <v/>
      </c>
      <c r="M187" s="536">
        <f>E187/I187</f>
        <v/>
      </c>
      <c r="N187" s="536">
        <f>F187/J187</f>
        <v/>
      </c>
      <c r="O187" s="33">
        <f>(M187-M183)/M183</f>
        <v/>
      </c>
      <c r="P187" s="33">
        <f>(M187-N187)/N187</f>
        <v/>
      </c>
      <c r="Q187" s="537" t="n">
        <v>10091</v>
      </c>
      <c r="R187" s="537" t="n">
        <v>8629</v>
      </c>
      <c r="S187" s="33">
        <f>(Q187-Q183)/Q183</f>
        <v/>
      </c>
      <c r="T187" s="33">
        <f>(Q187-R187)/R187</f>
        <v/>
      </c>
      <c r="U187" s="537" t="n">
        <v>174</v>
      </c>
      <c r="V187" s="537" t="n">
        <v>111</v>
      </c>
      <c r="W187" s="33">
        <f>(U187-U183)/U183</f>
        <v/>
      </c>
      <c r="X187" s="33">
        <f>(U187-V187)/V187</f>
        <v/>
      </c>
      <c r="Y187" s="113">
        <f>U187/Q187</f>
        <v/>
      </c>
      <c r="Z187" s="113">
        <f>V187/R187</f>
        <v/>
      </c>
      <c r="AA187" s="33">
        <f>(Y187-Y183)/Y183</f>
        <v/>
      </c>
      <c r="AB187" s="33">
        <f>(Y187-Z187)/Z187</f>
        <v/>
      </c>
      <c r="AC187" s="529">
        <f>E187/U187</f>
        <v/>
      </c>
      <c r="AD187" s="529">
        <f>F187/V187</f>
        <v/>
      </c>
      <c r="AE187" s="33">
        <f>(AC187-AC183)/AC183</f>
        <v/>
      </c>
      <c r="AF187" s="33">
        <f>(AC187-AD187)/AD187</f>
        <v/>
      </c>
      <c r="AG187" s="537" t="n">
        <v>7097</v>
      </c>
      <c r="AH187" s="537">
        <f>6433+286</f>
        <v/>
      </c>
      <c r="AI187" s="33">
        <f>(AG187-AG183)/AG183</f>
        <v/>
      </c>
      <c r="AJ187" s="33">
        <f>(AG187-AH187)/AH187</f>
        <v/>
      </c>
      <c r="AK187" s="537" t="n">
        <v>19506</v>
      </c>
      <c r="AL187" s="537">
        <f>20285+638</f>
        <v/>
      </c>
      <c r="AM187" s="150">
        <f>(AK187-AK183)/AK183</f>
        <v/>
      </c>
      <c r="AN187" s="431">
        <f>(AK187-AL187)/AL187</f>
        <v/>
      </c>
      <c r="AO187" s="282">
        <f>AG187/AK187</f>
        <v/>
      </c>
      <c r="AP187" s="282">
        <f>AH187/AL187</f>
        <v/>
      </c>
      <c r="AQ187" s="33">
        <f>(AO187-AO183)/AO183</f>
        <v/>
      </c>
      <c r="AR187" s="33">
        <f>(AO187-AP187)/AP187</f>
        <v/>
      </c>
    </row>
    <row customHeight="1" ht="15.75" r="188" s="452" spans="1:45">
      <c r="A188" s="260" t="s">
        <v>51</v>
      </c>
      <c r="B188" s="260" t="s">
        <v>131</v>
      </c>
      <c r="C188" s="261">
        <f>C184+7</f>
        <v/>
      </c>
      <c r="D188" s="260" t="s">
        <v>36</v>
      </c>
      <c r="E188" s="535" t="n">
        <v>257</v>
      </c>
      <c r="F188" s="535" t="n">
        <v>829</v>
      </c>
      <c r="G188" s="33">
        <f>(E188-E184)/E184</f>
        <v/>
      </c>
      <c r="H188" s="33">
        <f>(E188-F188)/F188</f>
        <v/>
      </c>
      <c r="I188" s="535" t="n">
        <v>1711.36</v>
      </c>
      <c r="J188" s="536">
        <f>6175.75+758.93</f>
        <v/>
      </c>
      <c r="K188" s="33">
        <f>(I188-I184)/I184</f>
        <v/>
      </c>
      <c r="L188" s="33">
        <f>(I188-J188)/J188</f>
        <v/>
      </c>
      <c r="M188" s="536">
        <f>E188/I188</f>
        <v/>
      </c>
      <c r="N188" s="536">
        <f>F188/J188</f>
        <v/>
      </c>
      <c r="O188" s="33">
        <f>(M188-M184)/M184</f>
        <v/>
      </c>
      <c r="P188" s="33">
        <f>(M188-N188)/N188</f>
        <v/>
      </c>
      <c r="Q188" s="537" t="n">
        <v>1409</v>
      </c>
      <c r="R188" s="537" t="n">
        <v>5091</v>
      </c>
      <c r="S188" s="33">
        <f>(Q188-Q184)/Q184</f>
        <v/>
      </c>
      <c r="T188" s="33">
        <f>(Q188-R188)/R188</f>
        <v/>
      </c>
      <c r="U188" s="537" t="n">
        <v>4</v>
      </c>
      <c r="V188" s="537" t="n">
        <v>10</v>
      </c>
      <c r="W188" s="33">
        <f>(U188-U184)/U184</f>
        <v/>
      </c>
      <c r="X188" s="33">
        <f>(U188-V188)/V188</f>
        <v/>
      </c>
      <c r="Y188" s="113">
        <f>U188/Q188</f>
        <v/>
      </c>
      <c r="Z188" s="113">
        <f>V188/R188</f>
        <v/>
      </c>
      <c r="AA188" s="33">
        <f>(Y188-Y184)/Y184</f>
        <v/>
      </c>
      <c r="AB188" s="33">
        <f>(Y188-Z188)/Z188</f>
        <v/>
      </c>
      <c r="AC188" s="529">
        <f>E188/U188</f>
        <v/>
      </c>
      <c r="AD188" s="529">
        <f>F188/V188</f>
        <v/>
      </c>
      <c r="AE188" s="33">
        <f>(AC188-AC184)/AC184</f>
        <v/>
      </c>
      <c r="AF188" s="33">
        <f>(AC188-AD188)/AD188</f>
        <v/>
      </c>
      <c r="AG188" s="537" t="n">
        <v>1356</v>
      </c>
      <c r="AH188" s="537">
        <f>4630+531</f>
        <v/>
      </c>
      <c r="AI188" s="33">
        <f>(AG188-AG184)/AG184</f>
        <v/>
      </c>
      <c r="AJ188" s="33">
        <f>(AG188-AH188)/AH188</f>
        <v/>
      </c>
      <c r="AK188" s="537" t="n">
        <v>14577</v>
      </c>
      <c r="AL188" s="537">
        <f>65741+10170</f>
        <v/>
      </c>
      <c r="AM188" s="150">
        <f>(AK188-AK184)/AK184</f>
        <v/>
      </c>
      <c r="AN188" s="431">
        <f>(AK188-AL188)/AL188</f>
        <v/>
      </c>
      <c r="AO188" s="282">
        <f>AG188/AK188</f>
        <v/>
      </c>
      <c r="AP188" s="282">
        <f>AH188/AL188</f>
        <v/>
      </c>
      <c r="AQ188" s="33">
        <f>(AO188-AO184)/AO184</f>
        <v/>
      </c>
      <c r="AR188" s="33">
        <f>(AO188-AP188)/AP188</f>
        <v/>
      </c>
    </row>
    <row customHeight="1" ht="15.75" r="189" s="452" spans="1:45">
      <c r="A189" s="260" t="s">
        <v>51</v>
      </c>
      <c r="B189" s="260" t="s">
        <v>131</v>
      </c>
      <c r="C189" s="261">
        <f>C185+7</f>
        <v/>
      </c>
      <c r="D189" s="260" t="s">
        <v>37</v>
      </c>
      <c r="E189" s="535" t="n">
        <v>2163</v>
      </c>
      <c r="F189" s="535" t="n"/>
      <c r="G189" s="33">
        <f>(E189-E185)/E185</f>
        <v/>
      </c>
      <c r="H189" s="33">
        <f>(E189-F189)/F189</f>
        <v/>
      </c>
      <c r="I189" s="535" t="n">
        <v>4516.84</v>
      </c>
      <c r="J189" s="536" t="n"/>
      <c r="K189" s="33">
        <f>(I189-I185)/I185</f>
        <v/>
      </c>
      <c r="L189" s="33">
        <f>(I189-J189)/J189</f>
        <v/>
      </c>
      <c r="M189" s="536">
        <f>E189/I189</f>
        <v/>
      </c>
      <c r="N189" s="536" t="n"/>
      <c r="O189" s="33">
        <f>(M189-M185)/M185</f>
        <v/>
      </c>
      <c r="P189" s="33">
        <f>(M189-N189)/N189</f>
        <v/>
      </c>
      <c r="Q189" s="537" t="n">
        <v>5635</v>
      </c>
      <c r="R189" s="537" t="n"/>
      <c r="S189" s="33">
        <f>(Q189-Q185)/Q185</f>
        <v/>
      </c>
      <c r="T189" s="33">
        <f>(Q189-R189)/R189</f>
        <v/>
      </c>
      <c r="U189" s="537" t="n">
        <v>22</v>
      </c>
      <c r="V189" s="537" t="n"/>
      <c r="W189" s="33">
        <f>(U189-U185)/U185</f>
        <v/>
      </c>
      <c r="X189" s="33">
        <f>(U189-V189)/V189</f>
        <v/>
      </c>
      <c r="Y189" s="113">
        <f>U189/Q189</f>
        <v/>
      </c>
      <c r="Z189" s="113" t="n"/>
      <c r="AA189" s="33">
        <f>(Y189-Y185)/Y185</f>
        <v/>
      </c>
      <c r="AB189" s="33">
        <f>(Y189-Z189)/Z189</f>
        <v/>
      </c>
      <c r="AC189" s="529">
        <f>E189/U189</f>
        <v/>
      </c>
      <c r="AD189" s="529" t="n"/>
      <c r="AE189" s="33">
        <f>(AC189-AC185)/AC185</f>
        <v/>
      </c>
      <c r="AF189" s="33">
        <f>(AC189-AD189)/AD189</f>
        <v/>
      </c>
      <c r="AG189" s="537" t="n">
        <v>5512</v>
      </c>
      <c r="AH189" s="537" t="n"/>
      <c r="AI189" s="33">
        <f>(AG189-AG185)/AG185</f>
        <v/>
      </c>
      <c r="AJ189" s="33">
        <f>(AG189-AH189)/AH189</f>
        <v/>
      </c>
      <c r="AK189" s="537" t="n">
        <v>349364</v>
      </c>
      <c r="AL189" s="537" t="n"/>
      <c r="AM189" s="150">
        <f>(AK189-AK185)/AK185</f>
        <v/>
      </c>
      <c r="AN189" s="431">
        <f>(AK189-AL189)/AL189</f>
        <v/>
      </c>
      <c r="AO189" s="282">
        <f>AG189/AK189</f>
        <v/>
      </c>
      <c r="AP189" s="282" t="n"/>
      <c r="AQ189" s="33">
        <f>(AO189-AO185)/AO185</f>
        <v/>
      </c>
      <c r="AR189" s="33">
        <f>(AO189-AP189)/AP189</f>
        <v/>
      </c>
    </row>
    <row customHeight="1" ht="15.75" r="190" s="452" spans="1:45">
      <c r="A190" s="29" t="s">
        <v>51</v>
      </c>
      <c r="B190" s="29" t="s">
        <v>53</v>
      </c>
      <c r="C190" s="30">
        <f>C186+7</f>
        <v/>
      </c>
      <c r="D190" s="31" t="s">
        <v>60</v>
      </c>
      <c r="E190" s="531">
        <f>SUM(E191:E193)</f>
        <v/>
      </c>
      <c r="F190" s="531">
        <f>SUM(F191:F193)</f>
        <v/>
      </c>
      <c r="G190" s="33">
        <f>(E190-E186)/E186</f>
        <v/>
      </c>
      <c r="H190" s="33">
        <f>(E190-F190)/F190</f>
        <v/>
      </c>
      <c r="I190" s="531">
        <f>SUM(I191:I193)</f>
        <v/>
      </c>
      <c r="J190" s="531">
        <f>SUM(J191:J193)</f>
        <v/>
      </c>
      <c r="K190" s="33">
        <f>(I190-I186)/I186</f>
        <v/>
      </c>
      <c r="L190" s="33">
        <f>(I190-J190)/J190</f>
        <v/>
      </c>
      <c r="M190" s="532">
        <f>E190/I190</f>
        <v/>
      </c>
      <c r="N190" s="532">
        <f>F190/J190</f>
        <v/>
      </c>
      <c r="O190" s="33">
        <f>(M190-M186)/M186</f>
        <v/>
      </c>
      <c r="P190" s="33">
        <f>(M190-N190)/N190</f>
        <v/>
      </c>
      <c r="Q190" s="533">
        <f>SUM(Q191:Q193)</f>
        <v/>
      </c>
      <c r="R190" s="533">
        <f>SUM(R191:R193)</f>
        <v/>
      </c>
      <c r="S190" s="33">
        <f>(Q190-Q186)/Q186</f>
        <v/>
      </c>
      <c r="T190" s="33">
        <f>(Q190-R190)/R190</f>
        <v/>
      </c>
      <c r="U190" s="533">
        <f>SUM(U191:U193)</f>
        <v/>
      </c>
      <c r="V190" s="533">
        <f>SUM(V191:V193)</f>
        <v/>
      </c>
      <c r="W190" s="33">
        <f>(U190-U186)/U186</f>
        <v/>
      </c>
      <c r="X190" s="33">
        <f>(U190-V190)/V190</f>
        <v/>
      </c>
      <c r="Y190" s="88">
        <f>U190/Q190</f>
        <v/>
      </c>
      <c r="Z190" s="88">
        <f>V190/R190</f>
        <v/>
      </c>
      <c r="AA190" s="33">
        <f>(Y190-Y186)/Y186</f>
        <v/>
      </c>
      <c r="AB190" s="33">
        <f>(Y190-Z190)/Z190</f>
        <v/>
      </c>
      <c r="AC190" s="540">
        <f>E190/U190</f>
        <v/>
      </c>
      <c r="AD190" s="534">
        <f>F190/V190</f>
        <v/>
      </c>
      <c r="AE190" s="33">
        <f>(AC190-AC186)/AC186</f>
        <v/>
      </c>
      <c r="AF190" s="33">
        <f>(AC190-AD190)/AD190</f>
        <v/>
      </c>
      <c r="AG190" s="533">
        <f>SUM(AG191:AG193)</f>
        <v/>
      </c>
      <c r="AH190" s="533">
        <f>SUM(AH191:AH193)</f>
        <v/>
      </c>
      <c r="AI190" s="33">
        <f>(AG190-AG186)/AG186</f>
        <v/>
      </c>
      <c r="AJ190" s="33">
        <f>(AG190-AH190)/AH190</f>
        <v/>
      </c>
      <c r="AK190" s="533">
        <f>SUM(AK191:AK193)</f>
        <v/>
      </c>
      <c r="AL190" s="533">
        <f>SUM(AL191:AL193)</f>
        <v/>
      </c>
      <c r="AM190" s="150">
        <f>(AK190-AK186)/AK186</f>
        <v/>
      </c>
      <c r="AN190" s="431">
        <f>(AK190-AL190)/AL190</f>
        <v/>
      </c>
      <c r="AO190" s="33">
        <f>AG190/AK190</f>
        <v/>
      </c>
      <c r="AP190" s="33">
        <f>AH190/AL190</f>
        <v/>
      </c>
      <c r="AQ190" s="33">
        <f>(AO190-AO186)/AO186</f>
        <v/>
      </c>
      <c r="AR190" s="33">
        <f>(AO190-AP190)/AP190</f>
        <v/>
      </c>
    </row>
    <row customHeight="1" ht="15.75" r="191" s="452" spans="1:45">
      <c r="A191" s="260" t="s">
        <v>51</v>
      </c>
      <c r="B191" s="260" t="s">
        <v>53</v>
      </c>
      <c r="C191" s="261">
        <f>C187+7</f>
        <v/>
      </c>
      <c r="D191" s="260" t="s">
        <v>35</v>
      </c>
      <c r="E191" s="535" t="n">
        <v>77287</v>
      </c>
      <c r="F191" s="535" t="n">
        <v>55521</v>
      </c>
      <c r="G191" s="33">
        <f>(E191-E187)/E187</f>
        <v/>
      </c>
      <c r="H191" s="33">
        <f>(E191-F191)/F191</f>
        <v/>
      </c>
      <c r="I191" s="535" t="n">
        <v>3739.75</v>
      </c>
      <c r="J191" s="536">
        <f>2218.67+65.28</f>
        <v/>
      </c>
      <c r="K191" s="33">
        <f>(I191-I187)/I187</f>
        <v/>
      </c>
      <c r="L191" s="33">
        <f>(I191-J191)/J191</f>
        <v/>
      </c>
      <c r="M191" s="536">
        <f>E191/I191</f>
        <v/>
      </c>
      <c r="N191" s="536">
        <f>F191/J191</f>
        <v/>
      </c>
      <c r="O191" s="33">
        <f>(M191-M187)/M187</f>
        <v/>
      </c>
      <c r="P191" s="33">
        <f>(M191-N191)/N191</f>
        <v/>
      </c>
      <c r="Q191" s="537" t="n">
        <v>13795</v>
      </c>
      <c r="R191" s="537" t="n">
        <v>12799</v>
      </c>
      <c r="S191" s="33">
        <f>(Q191-Q187)/Q187</f>
        <v/>
      </c>
      <c r="T191" s="33">
        <f>(Q191-R191)/R191</f>
        <v/>
      </c>
      <c r="U191" s="537" t="n">
        <v>540</v>
      </c>
      <c r="V191" s="537" t="n">
        <v>394</v>
      </c>
      <c r="W191" s="33">
        <f>(U191-U187)/U187</f>
        <v/>
      </c>
      <c r="X191" s="33">
        <f>(U191-V191)/V191</f>
        <v/>
      </c>
      <c r="Y191" s="113">
        <f>U191/Q191</f>
        <v/>
      </c>
      <c r="Z191" s="113">
        <f>V191/R191</f>
        <v/>
      </c>
      <c r="AA191" s="33">
        <f>(Y191-Y187)/Y187</f>
        <v/>
      </c>
      <c r="AB191" s="33">
        <f>(Y191-Z191)/Z191</f>
        <v/>
      </c>
      <c r="AC191" s="529">
        <f>E191/U191</f>
        <v/>
      </c>
      <c r="AD191" s="529">
        <f>F191/V191</f>
        <v/>
      </c>
      <c r="AE191" s="33">
        <f>(AC191-AC187)/AC187</f>
        <v/>
      </c>
      <c r="AF191" s="33">
        <f>(AC191-AD191)/AD191</f>
        <v/>
      </c>
      <c r="AG191" s="537" t="n">
        <v>9238</v>
      </c>
      <c r="AH191" s="537">
        <f>9578+396</f>
        <v/>
      </c>
      <c r="AI191" s="33">
        <f>(AG191-AG187)/AG187</f>
        <v/>
      </c>
      <c r="AJ191" s="33">
        <f>(AG191-AH191)/AH191</f>
        <v/>
      </c>
      <c r="AK191" s="537" t="n">
        <v>24277</v>
      </c>
      <c r="AL191" s="537">
        <f>37495+835</f>
        <v/>
      </c>
      <c r="AM191" s="150">
        <f>(AK191-AK187)/AK187</f>
        <v/>
      </c>
      <c r="AN191" s="431">
        <f>(AK191-AL191)/AL191</f>
        <v/>
      </c>
      <c r="AO191" s="282">
        <f>AG191/AK191</f>
        <v/>
      </c>
      <c r="AP191" s="282">
        <f>AH191/AL191</f>
        <v/>
      </c>
      <c r="AQ191" s="33">
        <f>(AO191-AO187)/AO187</f>
        <v/>
      </c>
      <c r="AR191" s="33">
        <f>(AO191-AP191)/AP191</f>
        <v/>
      </c>
    </row>
    <row customHeight="1" ht="15.75" r="192" s="452" spans="1:45">
      <c r="A192" s="260" t="s">
        <v>51</v>
      </c>
      <c r="B192" s="260" t="s">
        <v>53</v>
      </c>
      <c r="C192" s="261">
        <f>C188+7</f>
        <v/>
      </c>
      <c r="D192" s="260" t="s">
        <v>36</v>
      </c>
      <c r="E192" s="535" t="n">
        <v>2298</v>
      </c>
      <c r="F192" s="535" t="n">
        <v>1954</v>
      </c>
      <c r="G192" s="33">
        <f>(E192-E188)/E188</f>
        <v/>
      </c>
      <c r="H192" s="33">
        <f>(E192-F192)/F192</f>
        <v/>
      </c>
      <c r="I192" s="535" t="n">
        <v>5714.11</v>
      </c>
      <c r="J192" s="536">
        <f>9848.26+321.5</f>
        <v/>
      </c>
      <c r="K192" s="33">
        <f>(I192-I188)/I188</f>
        <v/>
      </c>
      <c r="L192" s="33">
        <f>(I192-J192)/J192</f>
        <v/>
      </c>
      <c r="M192" s="536">
        <f>E192/I192</f>
        <v/>
      </c>
      <c r="N192" s="536">
        <f>F192/J192</f>
        <v/>
      </c>
      <c r="O192" s="33">
        <f>(M192-M188)/M188</f>
        <v/>
      </c>
      <c r="P192" s="33">
        <f>(M192-N192)/N192</f>
        <v/>
      </c>
      <c r="Q192" s="537" t="n">
        <v>3323</v>
      </c>
      <c r="R192" s="537" t="n">
        <v>7819</v>
      </c>
      <c r="S192" s="33">
        <f>(Q192-Q188)/Q188</f>
        <v/>
      </c>
      <c r="T192" s="33">
        <f>(Q192-R192)/R192</f>
        <v/>
      </c>
      <c r="U192" s="537" t="n">
        <v>10</v>
      </c>
      <c r="V192" s="537" t="n">
        <v>23</v>
      </c>
      <c r="W192" s="33">
        <f>(U192-U188)/U188</f>
        <v/>
      </c>
      <c r="X192" s="33">
        <f>(U192-V192)/V192</f>
        <v/>
      </c>
      <c r="Y192" s="113">
        <f>U192/Q192</f>
        <v/>
      </c>
      <c r="Z192" s="113">
        <f>V192/R192</f>
        <v/>
      </c>
      <c r="AA192" s="33">
        <f>(Y192-Y188)/Y188</f>
        <v/>
      </c>
      <c r="AB192" s="33">
        <f>(Y192-Z192)/Z192</f>
        <v/>
      </c>
      <c r="AC192" s="529">
        <f>E192/U192</f>
        <v/>
      </c>
      <c r="AD192" s="529">
        <f>F192/V192</f>
        <v/>
      </c>
      <c r="AE192" s="33">
        <f>(AC192-AC188)/AC188</f>
        <v/>
      </c>
      <c r="AF192" s="33">
        <f>(AC192-AD192)/AD192</f>
        <v/>
      </c>
      <c r="AG192" s="537" t="n">
        <v>3237</v>
      </c>
      <c r="AH192" s="537">
        <f>7375+358</f>
        <v/>
      </c>
      <c r="AI192" s="33">
        <f>(AG192-AG188)/AG188</f>
        <v/>
      </c>
      <c r="AJ192" s="33">
        <f>(AG192-AH192)/AH192</f>
        <v/>
      </c>
      <c r="AK192" s="537" t="n">
        <v>43213</v>
      </c>
      <c r="AL192" s="537">
        <f>92551+3880</f>
        <v/>
      </c>
      <c r="AM192" s="150">
        <f>(AK192-AK188)/AK188</f>
        <v/>
      </c>
      <c r="AN192" s="431">
        <f>(AK192-AL192)/AL192</f>
        <v/>
      </c>
      <c r="AO192" s="282">
        <f>AG192/AK192</f>
        <v/>
      </c>
      <c r="AP192" s="282">
        <f>AH192/AL192</f>
        <v/>
      </c>
      <c r="AQ192" s="33">
        <f>(AO192-AO188)/AO188</f>
        <v/>
      </c>
      <c r="AR192" s="33">
        <f>(AO192-AP192)/AP192</f>
        <v/>
      </c>
    </row>
    <row customHeight="1" ht="15.75" r="193" s="452" spans="1:45">
      <c r="A193" s="260" t="s">
        <v>51</v>
      </c>
      <c r="B193" s="260" t="s">
        <v>53</v>
      </c>
      <c r="C193" s="261">
        <f>C189+7</f>
        <v/>
      </c>
      <c r="D193" s="260" t="s">
        <v>37</v>
      </c>
      <c r="E193" s="535" t="n">
        <v>14932</v>
      </c>
      <c r="F193" s="535" t="n"/>
      <c r="G193" s="33">
        <f>(E193-E189)/E189</f>
        <v/>
      </c>
      <c r="H193" s="33">
        <f>(E193-F193)/F193</f>
        <v/>
      </c>
      <c r="I193" s="535">
        <f>21704.51</f>
        <v/>
      </c>
      <c r="J193" s="536" t="n"/>
      <c r="K193" s="33">
        <f>(I193-I189)/I189</f>
        <v/>
      </c>
      <c r="L193" s="33">
        <f>(I193-J193)/J193</f>
        <v/>
      </c>
      <c r="M193" s="536">
        <f>E193/I193</f>
        <v/>
      </c>
      <c r="N193" s="536" t="n"/>
      <c r="O193" s="33">
        <f>(M193-M189)/M189</f>
        <v/>
      </c>
      <c r="P193" s="33">
        <f>(M193-N193)/N193</f>
        <v/>
      </c>
      <c r="Q193" s="537" t="n">
        <v>20859</v>
      </c>
      <c r="R193" s="537" t="n"/>
      <c r="S193" s="33">
        <f>(Q193-Q189)/Q189</f>
        <v/>
      </c>
      <c r="T193" s="33">
        <f>(Q193-R193)/R193</f>
        <v/>
      </c>
      <c r="U193" s="537" t="n">
        <v>140</v>
      </c>
      <c r="V193" s="537" t="n"/>
      <c r="W193" s="33">
        <f>(U193-U189)/U189</f>
        <v/>
      </c>
      <c r="X193" s="33">
        <f>(U193-V193)/V193</f>
        <v/>
      </c>
      <c r="Y193" s="113">
        <f>U193/Q193</f>
        <v/>
      </c>
      <c r="Z193" s="113" t="n"/>
      <c r="AA193" s="33">
        <f>(Y193-Y189)/Y189</f>
        <v/>
      </c>
      <c r="AB193" s="33">
        <f>(Y193-Z193)/Z193</f>
        <v/>
      </c>
      <c r="AC193" s="529">
        <f>E193/U193</f>
        <v/>
      </c>
      <c r="AD193" s="529" t="n"/>
      <c r="AE193" s="33">
        <f>(AC193-AC189)/AC189</f>
        <v/>
      </c>
      <c r="AF193" s="33">
        <f>(AC193-AD193)/AD193</f>
        <v/>
      </c>
      <c r="AG193" s="537" t="n">
        <v>22511</v>
      </c>
      <c r="AH193" s="537" t="n"/>
      <c r="AI193" s="33">
        <f>(AG193-AG189)/AG189</f>
        <v/>
      </c>
      <c r="AJ193" s="33">
        <f>(AG193-AH193)/AH193</f>
        <v/>
      </c>
      <c r="AK193" s="537" t="n">
        <v>1444383</v>
      </c>
      <c r="AL193" s="537" t="n"/>
      <c r="AM193" s="150">
        <f>(AK193-AK189)/AK189</f>
        <v/>
      </c>
      <c r="AN193" s="431">
        <f>(AK193-AL193)/AL193</f>
        <v/>
      </c>
      <c r="AO193" s="282">
        <f>AG193/AK193</f>
        <v/>
      </c>
      <c r="AP193" s="282" t="n"/>
      <c r="AQ193" s="33">
        <f>(AO193-AO189)/AO189</f>
        <v/>
      </c>
      <c r="AR193" s="33">
        <f>(AO193-AP193)/AP193</f>
        <v/>
      </c>
    </row>
    <row customFormat="1" customHeight="1" ht="15.75" r="194" s="108" spans="1:45">
      <c r="A194" s="272" t="s">
        <v>52</v>
      </c>
      <c r="B194" s="272" t="s">
        <v>132</v>
      </c>
      <c r="C194" s="273">
        <f>C190+7</f>
        <v/>
      </c>
      <c r="D194" s="274" t="s">
        <v>60</v>
      </c>
      <c r="E194" s="541">
        <f>SUM(E195:E197)</f>
        <v/>
      </c>
      <c r="F194" s="541">
        <f>SUM(F195:F197)</f>
        <v/>
      </c>
      <c r="G194" s="116">
        <f>(E194-E190)/E190</f>
        <v/>
      </c>
      <c r="H194" s="116">
        <f>(E194-F194)/F194</f>
        <v/>
      </c>
      <c r="I194" s="541">
        <f>SUM(I195:I197)</f>
        <v/>
      </c>
      <c r="J194" s="541">
        <f>SUM(J195:J197)</f>
        <v/>
      </c>
      <c r="K194" s="116">
        <f>(I194-I190)/I190</f>
        <v/>
      </c>
      <c r="L194" s="116">
        <f>(I194-J194)/J194</f>
        <v/>
      </c>
      <c r="M194" s="542">
        <f>E194/I194</f>
        <v/>
      </c>
      <c r="N194" s="542">
        <f>F194/J194</f>
        <v/>
      </c>
      <c r="O194" s="116">
        <f>(M194-M190)/M190</f>
        <v/>
      </c>
      <c r="P194" s="116">
        <f>(M194-N194)/N194</f>
        <v/>
      </c>
      <c r="Q194" s="543">
        <f>SUM(Q195:Q197)</f>
        <v/>
      </c>
      <c r="R194" s="543">
        <f>SUM(R195:R197)</f>
        <v/>
      </c>
      <c r="S194" s="116">
        <f>(Q194-Q190)/Q190</f>
        <v/>
      </c>
      <c r="T194" s="116">
        <f>(Q194-R194)/R194</f>
        <v/>
      </c>
      <c r="U194" s="543">
        <f>SUM(U195:U197)</f>
        <v/>
      </c>
      <c r="V194" s="543">
        <f>SUM(V195:V197)</f>
        <v/>
      </c>
      <c r="W194" s="116">
        <f>(U194-U190)/U190</f>
        <v/>
      </c>
      <c r="X194" s="116">
        <f>(U194-V194)/V194</f>
        <v/>
      </c>
      <c r="Y194" s="119">
        <f>U194/Q194</f>
        <v/>
      </c>
      <c r="Z194" s="119">
        <f>V194/R194</f>
        <v/>
      </c>
      <c r="AA194" s="116">
        <f>(Y194-Y190)/Y190</f>
        <v/>
      </c>
      <c r="AB194" s="116">
        <f>(Y194-Z194)/Z194</f>
        <v/>
      </c>
      <c r="AC194" s="544">
        <f>E194/U194</f>
        <v/>
      </c>
      <c r="AD194" s="545">
        <f>F194/V194</f>
        <v/>
      </c>
      <c r="AE194" s="116">
        <f>(AC194-AC190)/AC190</f>
        <v/>
      </c>
      <c r="AF194" s="116">
        <f>(AC194-AD194)/AD194</f>
        <v/>
      </c>
      <c r="AG194" s="543">
        <f>SUM(AG195:AG197)</f>
        <v/>
      </c>
      <c r="AH194" s="543">
        <f>SUM(AH195:AH197)</f>
        <v/>
      </c>
      <c r="AI194" s="116">
        <f>(AG194-AG190)/AG190</f>
        <v/>
      </c>
      <c r="AJ194" s="116">
        <f>(AG194-AH194)/AH194</f>
        <v/>
      </c>
      <c r="AK194" s="543">
        <f>SUM(AK195:AK197)</f>
        <v/>
      </c>
      <c r="AL194" s="543">
        <f>SUM(AL195:AL197)</f>
        <v/>
      </c>
      <c r="AM194" s="276">
        <f>(AK194-AK190)/AK190</f>
        <v/>
      </c>
      <c r="AN194" s="277">
        <f>(AK194-AL194)/AL194</f>
        <v/>
      </c>
      <c r="AO194" s="116">
        <f>AG194/AK194</f>
        <v/>
      </c>
      <c r="AP194" s="116">
        <f>AH194/AL194</f>
        <v/>
      </c>
      <c r="AQ194" s="116">
        <f>(AO194-AO190)/AO190</f>
        <v/>
      </c>
      <c r="AR194" s="116">
        <f>(AO194-AP194)/AP194</f>
        <v/>
      </c>
      <c r="AS194" s="108" t="n"/>
    </row>
    <row customHeight="1" ht="15.75" r="195" s="452" spans="1:45">
      <c r="A195" s="260" t="s">
        <v>52</v>
      </c>
      <c r="B195" s="260" t="s">
        <v>132</v>
      </c>
      <c r="C195" s="261">
        <f>C191+7</f>
        <v/>
      </c>
      <c r="D195" s="260" t="s">
        <v>35</v>
      </c>
      <c r="E195" s="535" t="n"/>
      <c r="F195" s="535" t="n">
        <v>10522</v>
      </c>
      <c r="G195" s="33">
        <f>(E195-E191)/E191</f>
        <v/>
      </c>
      <c r="H195" s="33">
        <f>(E195-F195)/F195</f>
        <v/>
      </c>
      <c r="I195" s="535" t="n"/>
      <c r="J195" s="536" t="n">
        <v>1291.36</v>
      </c>
      <c r="K195" s="33">
        <f>(I195-I191)/I191</f>
        <v/>
      </c>
      <c r="L195" s="33">
        <f>(I195-J195)/J195</f>
        <v/>
      </c>
      <c r="M195" s="536">
        <f>E195/I195</f>
        <v/>
      </c>
      <c r="N195" s="536">
        <f>F195/J195</f>
        <v/>
      </c>
      <c r="O195" s="33">
        <f>(M195-M191)/M191</f>
        <v/>
      </c>
      <c r="P195" s="33">
        <f>(M195-N195)/N195</f>
        <v/>
      </c>
      <c r="Q195" s="537" t="n"/>
      <c r="R195" s="537" t="n">
        <v>7802</v>
      </c>
      <c r="S195" s="33">
        <f>(Q195-Q191)/Q191</f>
        <v/>
      </c>
      <c r="T195" s="33">
        <f>(Q195-R195)/R195</f>
        <v/>
      </c>
      <c r="U195" s="537" t="n"/>
      <c r="V195" s="537" t="n">
        <v>106</v>
      </c>
      <c r="W195" s="33">
        <f>(U195-U191)/U191</f>
        <v/>
      </c>
      <c r="X195" s="33">
        <f>(U195-V195)/V195</f>
        <v/>
      </c>
      <c r="Y195" s="113">
        <f>U195/Q195</f>
        <v/>
      </c>
      <c r="Z195" s="113">
        <f>V195/R195</f>
        <v/>
      </c>
      <c r="AA195" s="33">
        <f>(Y195-Y191)/Y191</f>
        <v/>
      </c>
      <c r="AB195" s="33">
        <f>(Y195-Z195)/Z195</f>
        <v/>
      </c>
      <c r="AC195" s="529">
        <f>E195/U195</f>
        <v/>
      </c>
      <c r="AD195" s="529">
        <f>F195/V195</f>
        <v/>
      </c>
      <c r="AE195" s="33">
        <f>(AC195-AC191)/AC191</f>
        <v/>
      </c>
      <c r="AF195" s="33">
        <f>(AC195-AD195)/AD195</f>
        <v/>
      </c>
      <c r="AG195" s="537" t="n"/>
      <c r="AH195" s="537" t="n">
        <v>5470</v>
      </c>
      <c r="AI195" s="33">
        <f>(AG195-AG191)/AG191</f>
        <v/>
      </c>
      <c r="AJ195" s="33">
        <f>(AG195-AH195)/AH195</f>
        <v/>
      </c>
      <c r="AK195" s="537" t="n"/>
      <c r="AL195" s="537" t="n">
        <v>21954</v>
      </c>
      <c r="AM195" s="150">
        <f>(AK195-AK191)/AK191</f>
        <v/>
      </c>
      <c r="AN195" s="431">
        <f>(AK195-AL195)/AL195</f>
        <v/>
      </c>
      <c r="AO195" s="282">
        <f>AG195/AK195</f>
        <v/>
      </c>
      <c r="AP195" s="282">
        <f>AH195/AL195</f>
        <v/>
      </c>
      <c r="AQ195" s="33">
        <f>(AO195-AO191)/AO191</f>
        <v/>
      </c>
      <c r="AR195" s="33">
        <f>(AO195-AP195)/AP195</f>
        <v/>
      </c>
    </row>
    <row customHeight="1" ht="15.75" r="196" s="452" spans="1:45">
      <c r="A196" s="260" t="s">
        <v>52</v>
      </c>
      <c r="B196" s="260" t="s">
        <v>132</v>
      </c>
      <c r="C196" s="261">
        <f>C192+7</f>
        <v/>
      </c>
      <c r="D196" s="260" t="s">
        <v>36</v>
      </c>
      <c r="E196" s="535" t="n"/>
      <c r="F196" s="535" t="n">
        <v>1670</v>
      </c>
      <c r="G196" s="33">
        <f>(E196-E192)/E192</f>
        <v/>
      </c>
      <c r="H196" s="33">
        <f>(E196-F196)/F196</f>
        <v/>
      </c>
      <c r="I196" s="535" t="n"/>
      <c r="J196" s="536" t="n">
        <v>6981.33</v>
      </c>
      <c r="K196" s="33">
        <f>(I196-I192)/I192</f>
        <v/>
      </c>
      <c r="L196" s="33">
        <f>(I196-J196)/J196</f>
        <v/>
      </c>
      <c r="M196" s="536">
        <f>E196/I196</f>
        <v/>
      </c>
      <c r="N196" s="536">
        <f>F196/J196</f>
        <v/>
      </c>
      <c r="O196" s="33">
        <f>(M196-M192)/M192</f>
        <v/>
      </c>
      <c r="P196" s="33">
        <f>(M196-N196)/N196</f>
        <v/>
      </c>
      <c r="Q196" s="537" t="n"/>
      <c r="R196" s="537" t="n">
        <v>5541</v>
      </c>
      <c r="S196" s="33">
        <f>(Q196-Q192)/Q192</f>
        <v/>
      </c>
      <c r="T196" s="33">
        <f>(Q196-R196)/R196</f>
        <v/>
      </c>
      <c r="U196" s="537" t="n"/>
      <c r="V196" s="537" t="n">
        <v>27</v>
      </c>
      <c r="W196" s="33">
        <f>(U196-U192)/U192</f>
        <v/>
      </c>
      <c r="X196" s="33">
        <f>(U196-V196)/V196</f>
        <v/>
      </c>
      <c r="Y196" s="113">
        <f>U196/Q196</f>
        <v/>
      </c>
      <c r="Z196" s="113">
        <f>V196/R196</f>
        <v/>
      </c>
      <c r="AA196" s="33">
        <f>(Y196-Y192)/Y192</f>
        <v/>
      </c>
      <c r="AB196" s="33">
        <f>(Y196-Z196)/Z196</f>
        <v/>
      </c>
      <c r="AC196" s="529">
        <f>E196/U196</f>
        <v/>
      </c>
      <c r="AD196" s="529">
        <f>F196/V196</f>
        <v/>
      </c>
      <c r="AE196" s="33">
        <f>(AC196-AC192)/AC192</f>
        <v/>
      </c>
      <c r="AF196" s="33">
        <f>(AC196-AD196)/AD196</f>
        <v/>
      </c>
      <c r="AG196" s="537" t="n"/>
      <c r="AH196" s="537" t="n">
        <v>5030</v>
      </c>
      <c r="AI196" s="33">
        <f>(AG196-AG192)/AG192</f>
        <v/>
      </c>
      <c r="AJ196" s="33">
        <f>(AG196-AH196)/AH196</f>
        <v/>
      </c>
      <c r="AK196" s="537" t="n"/>
      <c r="AL196" s="537" t="n">
        <v>70018</v>
      </c>
      <c r="AM196" s="150">
        <f>(AK196-AK192)/AK192</f>
        <v/>
      </c>
      <c r="AN196" s="431">
        <f>(AK196-AL196)/AL196</f>
        <v/>
      </c>
      <c r="AO196" s="282">
        <f>AG196/AK196</f>
        <v/>
      </c>
      <c r="AP196" s="282">
        <f>AH196/AL196</f>
        <v/>
      </c>
      <c r="AQ196" s="33">
        <f>(AO196-AO192)/AO192</f>
        <v/>
      </c>
      <c r="AR196" s="33">
        <f>(AO196-AP196)/AP196</f>
        <v/>
      </c>
    </row>
    <row customHeight="1" ht="15.75" r="197" s="452" spans="1:45">
      <c r="A197" s="260" t="s">
        <v>52</v>
      </c>
      <c r="B197" s="260" t="s">
        <v>132</v>
      </c>
      <c r="C197" s="261">
        <f>C193+7</f>
        <v/>
      </c>
      <c r="D197" s="260" t="s">
        <v>37</v>
      </c>
      <c r="E197" s="535" t="n"/>
      <c r="F197" s="535" t="n"/>
      <c r="G197" s="33">
        <f>(E197-E193)/E193</f>
        <v/>
      </c>
      <c r="H197" s="33">
        <f>(E197-F197)/F197</f>
        <v/>
      </c>
      <c r="I197" s="535" t="n"/>
      <c r="J197" s="536" t="n"/>
      <c r="K197" s="33">
        <f>(I197-I193)/I193</f>
        <v/>
      </c>
      <c r="L197" s="33">
        <f>(I197-J197)/J197</f>
        <v/>
      </c>
      <c r="M197" s="536" t="n"/>
      <c r="N197" s="536" t="n"/>
      <c r="O197" s="33">
        <f>(M197-M193)/M193</f>
        <v/>
      </c>
      <c r="P197" s="33">
        <f>(M197-N197)/N197</f>
        <v/>
      </c>
      <c r="Q197" s="537" t="n"/>
      <c r="R197" s="537" t="n"/>
      <c r="S197" s="33">
        <f>(Q197-Q193)/Q193</f>
        <v/>
      </c>
      <c r="T197" s="33">
        <f>(Q197-R197)/R197</f>
        <v/>
      </c>
      <c r="U197" s="537" t="n"/>
      <c r="V197" s="537" t="n"/>
      <c r="W197" s="33">
        <f>(U197-U193)/U193</f>
        <v/>
      </c>
      <c r="X197" s="33">
        <f>(U197-V197)/V197</f>
        <v/>
      </c>
      <c r="Y197" s="113" t="n"/>
      <c r="Z197" s="113" t="n"/>
      <c r="AA197" s="33">
        <f>(Y197-Y193)/Y193</f>
        <v/>
      </c>
      <c r="AB197" s="33">
        <f>(Y197-Z197)/Z197</f>
        <v/>
      </c>
      <c r="AC197" s="529" t="n"/>
      <c r="AD197" s="529" t="n"/>
      <c r="AE197" s="33">
        <f>(AC197-AC193)/AC193</f>
        <v/>
      </c>
      <c r="AF197" s="33">
        <f>(AC197-AD197)/AD197</f>
        <v/>
      </c>
      <c r="AG197" s="537" t="n"/>
      <c r="AH197" s="537" t="n"/>
      <c r="AI197" s="33">
        <f>(AG197-AG193)/AG193</f>
        <v/>
      </c>
      <c r="AJ197" s="33">
        <f>(AG197-AH197)/AH197</f>
        <v/>
      </c>
      <c r="AK197" s="537" t="n"/>
      <c r="AL197" s="537" t="n"/>
      <c r="AM197" s="150">
        <f>(AK197-AK193)/AK193</f>
        <v/>
      </c>
      <c r="AN197" s="431">
        <f>(AK197-AL197)/AL197</f>
        <v/>
      </c>
      <c r="AO197" s="282" t="n"/>
      <c r="AP197" s="282" t="n"/>
      <c r="AQ197" s="33">
        <f>(AO197-AO193)/AO193</f>
        <v/>
      </c>
      <c r="AR197" s="33">
        <f>(AO197-AP197)/AP197</f>
        <v/>
      </c>
    </row>
    <row customHeight="1" ht="15.75" r="198" s="452" spans="1:45">
      <c r="A198" s="29" t="s">
        <v>52</v>
      </c>
      <c r="B198" s="29" t="s">
        <v>133</v>
      </c>
      <c r="C198" s="30">
        <f>C194+7</f>
        <v/>
      </c>
      <c r="D198" s="31" t="s">
        <v>60</v>
      </c>
      <c r="E198" s="531">
        <f>SUM(E199:E201)</f>
        <v/>
      </c>
      <c r="F198" s="531">
        <f>SUM(F199:F201)</f>
        <v/>
      </c>
      <c r="G198" s="33">
        <f>(E198-E194)/E194</f>
        <v/>
      </c>
      <c r="H198" s="33">
        <f>(E198-F198)/F198</f>
        <v/>
      </c>
      <c r="I198" s="531">
        <f>SUM(I199:I201)</f>
        <v/>
      </c>
      <c r="J198" s="531">
        <f>SUM(J199:J201)</f>
        <v/>
      </c>
      <c r="K198" s="33">
        <f>(I198-I194)/I194</f>
        <v/>
      </c>
      <c r="L198" s="33">
        <f>(I198-J198)/J198</f>
        <v/>
      </c>
      <c r="M198" s="532">
        <f>E198/I198</f>
        <v/>
      </c>
      <c r="N198" s="532">
        <f>F198/J198</f>
        <v/>
      </c>
      <c r="O198" s="33">
        <f>(M198-M194)/M194</f>
        <v/>
      </c>
      <c r="P198" s="33">
        <f>(M198-N198)/N198</f>
        <v/>
      </c>
      <c r="Q198" s="533">
        <f>SUM(Q199:Q201)</f>
        <v/>
      </c>
      <c r="R198" s="533">
        <f>SUM(R199:R201)</f>
        <v/>
      </c>
      <c r="S198" s="33">
        <f>(Q198-Q194)/Q194</f>
        <v/>
      </c>
      <c r="T198" s="33">
        <f>(Q198-R198)/R198</f>
        <v/>
      </c>
      <c r="U198" s="533">
        <f>SUM(U199:U201)</f>
        <v/>
      </c>
      <c r="V198" s="533">
        <f>SUM(V199:V201)</f>
        <v/>
      </c>
      <c r="W198" s="33">
        <f>(U198-U194)/U194</f>
        <v/>
      </c>
      <c r="X198" s="33">
        <f>(U198-V198)/V198</f>
        <v/>
      </c>
      <c r="Y198" s="88">
        <f>U198/Q198</f>
        <v/>
      </c>
      <c r="Z198" s="88">
        <f>V198/R198</f>
        <v/>
      </c>
      <c r="AA198" s="33">
        <f>(Y198-Y194)/Y194</f>
        <v/>
      </c>
      <c r="AB198" s="33">
        <f>(Y198-Z198)/Z198</f>
        <v/>
      </c>
      <c r="AC198" s="540">
        <f>E198/U198</f>
        <v/>
      </c>
      <c r="AD198" s="534">
        <f>F198/V198</f>
        <v/>
      </c>
      <c r="AE198" s="33">
        <f>(AC198-AC194)/AC194</f>
        <v/>
      </c>
      <c r="AF198" s="33">
        <f>(AC198-AD198)/AD198</f>
        <v/>
      </c>
      <c r="AG198" s="533">
        <f>SUM(AG199:AG201)</f>
        <v/>
      </c>
      <c r="AH198" s="533">
        <f>SUM(AH199:AH201)</f>
        <v/>
      </c>
      <c r="AI198" s="33">
        <f>(AG198-AG194)/AG194</f>
        <v/>
      </c>
      <c r="AJ198" s="33">
        <f>(AG198-AH198)/AH198</f>
        <v/>
      </c>
      <c r="AK198" s="533">
        <f>SUM(AK199:AK201)</f>
        <v/>
      </c>
      <c r="AL198" s="533">
        <f>SUM(AL199:AL201)</f>
        <v/>
      </c>
      <c r="AM198" s="150">
        <f>(AK198-AK194)/AK194</f>
        <v/>
      </c>
      <c r="AN198" s="431">
        <f>(AK198-AL198)/AL198</f>
        <v/>
      </c>
      <c r="AO198" s="33">
        <f>AG198/AK198</f>
        <v/>
      </c>
      <c r="AP198" s="33">
        <f>AH198/AL198</f>
        <v/>
      </c>
      <c r="AQ198" s="33">
        <f>(AO198-AO194)/AO194</f>
        <v/>
      </c>
      <c r="AR198" s="33">
        <f>(AO198-AP198)/AP198</f>
        <v/>
      </c>
    </row>
    <row customHeight="1" ht="15.75" r="199" s="452" spans="1:45">
      <c r="A199" s="260" t="s">
        <v>52</v>
      </c>
      <c r="B199" s="260" t="s">
        <v>133</v>
      </c>
      <c r="C199" s="261">
        <f>C195+7</f>
        <v/>
      </c>
      <c r="D199" s="260" t="s">
        <v>35</v>
      </c>
      <c r="E199" s="535" t="n"/>
      <c r="F199" s="535">
        <f>12446</f>
        <v/>
      </c>
      <c r="G199" s="33">
        <f>(E199-E195)/E195</f>
        <v/>
      </c>
      <c r="H199" s="33">
        <f>(E199-F199)/F199</f>
        <v/>
      </c>
      <c r="I199" s="535" t="n"/>
      <c r="J199" s="536">
        <f>828.86+34.08</f>
        <v/>
      </c>
      <c r="K199" s="33">
        <f>(I199-I195)/I195</f>
        <v/>
      </c>
      <c r="L199" s="33">
        <f>(I199-J199)/J199</f>
        <v/>
      </c>
      <c r="M199" s="536">
        <f>E199/I199</f>
        <v/>
      </c>
      <c r="N199" s="536">
        <f>F199/J199</f>
        <v/>
      </c>
      <c r="O199" s="33">
        <f>(M199-M195)/M195</f>
        <v/>
      </c>
      <c r="P199" s="33">
        <f>(M199-N199)/N199</f>
        <v/>
      </c>
      <c r="Q199" s="537" t="n"/>
      <c r="R199" s="537" t="n">
        <v>6907</v>
      </c>
      <c r="S199" s="33">
        <f>(Q199-Q195)/Q195</f>
        <v/>
      </c>
      <c r="T199" s="33">
        <f>(Q199-R199)/R199</f>
        <v/>
      </c>
      <c r="U199" s="537" t="n"/>
      <c r="V199" s="537" t="n">
        <v>123</v>
      </c>
      <c r="W199" s="33">
        <f>(U199-U195)/U195</f>
        <v/>
      </c>
      <c r="X199" s="33">
        <f>(U199-V199)/V199</f>
        <v/>
      </c>
      <c r="Y199" s="113">
        <f>U199/Q199</f>
        <v/>
      </c>
      <c r="Z199" s="113">
        <f>V199/R199</f>
        <v/>
      </c>
      <c r="AA199" s="33">
        <f>(Y199-Y195)/Y195</f>
        <v/>
      </c>
      <c r="AB199" s="33">
        <f>(Y199-Z199)/Z199</f>
        <v/>
      </c>
      <c r="AC199" s="529">
        <f>E199/U199</f>
        <v/>
      </c>
      <c r="AD199" s="529">
        <f>F199/V199</f>
        <v/>
      </c>
      <c r="AE199" s="33">
        <f>(AC199-AC195)/AC195</f>
        <v/>
      </c>
      <c r="AF199" s="33">
        <f>(AC199-AD199)/AD199</f>
        <v/>
      </c>
      <c r="AG199" s="537" t="n"/>
      <c r="AH199" s="537">
        <f>5014+201</f>
        <v/>
      </c>
      <c r="AI199" s="33">
        <f>(AG199-AG195)/AG195</f>
        <v/>
      </c>
      <c r="AJ199" s="33">
        <f>(AG199-AH199)/AH199</f>
        <v/>
      </c>
      <c r="AK199" s="537" t="n"/>
      <c r="AL199" s="537">
        <f>11434+569</f>
        <v/>
      </c>
      <c r="AM199" s="150">
        <f>(AK199-AK195)/AK195</f>
        <v/>
      </c>
      <c r="AN199" s="431">
        <f>(AK199-AL199)/AL199</f>
        <v/>
      </c>
      <c r="AO199" s="282">
        <f>AG199/AK199</f>
        <v/>
      </c>
      <c r="AP199" s="282">
        <f>AH199/AL199</f>
        <v/>
      </c>
      <c r="AQ199" s="33">
        <f>(AO199-AO195)/AO195</f>
        <v/>
      </c>
      <c r="AR199" s="33">
        <f>(AO199-AP199)/AP199</f>
        <v/>
      </c>
    </row>
    <row customHeight="1" ht="15.75" r="200" s="452" spans="1:45">
      <c r="A200" s="260" t="s">
        <v>52</v>
      </c>
      <c r="B200" s="260" t="s">
        <v>133</v>
      </c>
      <c r="C200" s="261">
        <f>C196+7</f>
        <v/>
      </c>
      <c r="D200" s="260" t="s">
        <v>36</v>
      </c>
      <c r="E200" s="535" t="n"/>
      <c r="F200" s="535">
        <f>404</f>
        <v/>
      </c>
      <c r="G200" s="33">
        <f>(E200-E196)/E196</f>
        <v/>
      </c>
      <c r="H200" s="33">
        <f>(E200-F200)/F200</f>
        <v/>
      </c>
      <c r="I200" s="535" t="n"/>
      <c r="J200" s="536">
        <f>2683.39+187.51</f>
        <v/>
      </c>
      <c r="K200" s="33">
        <f>(I200-I196)/I196</f>
        <v/>
      </c>
      <c r="L200" s="33">
        <f>(I200-J200)/J200</f>
        <v/>
      </c>
      <c r="M200" s="536">
        <f>E200/I200</f>
        <v/>
      </c>
      <c r="N200" s="536">
        <f>F200/J200</f>
        <v/>
      </c>
      <c r="O200" s="33">
        <f>(M200-M196)/M196</f>
        <v/>
      </c>
      <c r="P200" s="33">
        <f>(M200-N200)/N200</f>
        <v/>
      </c>
      <c r="Q200" s="537" t="n"/>
      <c r="R200" s="537" t="n">
        <v>2816</v>
      </c>
      <c r="S200" s="33">
        <f>(Q200-Q196)/Q196</f>
        <v/>
      </c>
      <c r="T200" s="33">
        <f>(Q200-R200)/R200</f>
        <v/>
      </c>
      <c r="U200" s="537" t="n"/>
      <c r="V200" s="537" t="n">
        <v>7</v>
      </c>
      <c r="W200" s="33">
        <f>(U200-U196)/U196</f>
        <v/>
      </c>
      <c r="X200" s="33">
        <f>(U200-V200)/V200</f>
        <v/>
      </c>
      <c r="Y200" s="113">
        <f>U200/Q200</f>
        <v/>
      </c>
      <c r="Z200" s="113">
        <f>V200/R200</f>
        <v/>
      </c>
      <c r="AA200" s="33">
        <f>(Y200-Y196)/Y196</f>
        <v/>
      </c>
      <c r="AB200" s="33">
        <f>(Y200-Z200)/Z200</f>
        <v/>
      </c>
      <c r="AC200" s="529">
        <f>E200/U200</f>
        <v/>
      </c>
      <c r="AD200" s="529">
        <f>F200/V200</f>
        <v/>
      </c>
      <c r="AE200" s="33">
        <f>(AC200-AC196)/AC196</f>
        <v/>
      </c>
      <c r="AF200" s="33">
        <f>(AC200-AD200)/AD200</f>
        <v/>
      </c>
      <c r="AG200" s="537" t="n"/>
      <c r="AH200" s="537">
        <f>2211+223</f>
        <v/>
      </c>
      <c r="AI200" s="33">
        <f>(AG200-AG196)/AG196</f>
        <v/>
      </c>
      <c r="AJ200" s="33">
        <f>(AG200-AH200)/AH200</f>
        <v/>
      </c>
      <c r="AK200" s="537" t="n"/>
      <c r="AL200" s="537">
        <f>32083+1898</f>
        <v/>
      </c>
      <c r="AM200" s="150">
        <f>(AK200-AK196)/AK196</f>
        <v/>
      </c>
      <c r="AN200" s="431">
        <f>(AK200-AL200)/AL200</f>
        <v/>
      </c>
      <c r="AO200" s="282">
        <f>AG200/AK200</f>
        <v/>
      </c>
      <c r="AP200" s="282">
        <f>AH200/AL200</f>
        <v/>
      </c>
      <c r="AQ200" s="33">
        <f>(AO200-AO196)/AO196</f>
        <v/>
      </c>
      <c r="AR200" s="33">
        <f>(AO200-AP200)/AP200</f>
        <v/>
      </c>
    </row>
    <row customHeight="1" ht="15.75" r="201" s="452" spans="1:45">
      <c r="A201" s="260" t="s">
        <v>52</v>
      </c>
      <c r="B201" s="260" t="s">
        <v>133</v>
      </c>
      <c r="C201" s="261">
        <f>C197+7</f>
        <v/>
      </c>
      <c r="D201" s="260" t="s">
        <v>37</v>
      </c>
      <c r="E201" s="535" t="n"/>
      <c r="F201" s="535" t="n"/>
      <c r="G201" s="33">
        <f>(E201-E197)/E197</f>
        <v/>
      </c>
      <c r="H201" s="33">
        <f>(E201-F201)/F201</f>
        <v/>
      </c>
      <c r="I201" s="535" t="n"/>
      <c r="J201" s="536" t="n"/>
      <c r="K201" s="33">
        <f>(I201-I197)/I197</f>
        <v/>
      </c>
      <c r="L201" s="33">
        <f>(I201-J201)/J201</f>
        <v/>
      </c>
      <c r="M201" s="536" t="n"/>
      <c r="N201" s="536" t="n"/>
      <c r="O201" s="33">
        <f>(M201-M197)/M197</f>
        <v/>
      </c>
      <c r="P201" s="33">
        <f>(M201-N201)/N201</f>
        <v/>
      </c>
      <c r="Q201" s="537" t="n"/>
      <c r="R201" s="537" t="n"/>
      <c r="S201" s="33">
        <f>(Q201-Q197)/Q197</f>
        <v/>
      </c>
      <c r="T201" s="33">
        <f>(Q201-R201)/R201</f>
        <v/>
      </c>
      <c r="U201" s="537" t="n"/>
      <c r="V201" s="537" t="n"/>
      <c r="W201" s="33">
        <f>(U201-U197)/U197</f>
        <v/>
      </c>
      <c r="X201" s="33">
        <f>(U201-V201)/V201</f>
        <v/>
      </c>
      <c r="Y201" s="113" t="n"/>
      <c r="Z201" s="113" t="n"/>
      <c r="AA201" s="33">
        <f>(Y201-Y197)/Y197</f>
        <v/>
      </c>
      <c r="AB201" s="33">
        <f>(Y201-Z201)/Z201</f>
        <v/>
      </c>
      <c r="AC201" s="529" t="n"/>
      <c r="AD201" s="529" t="n"/>
      <c r="AE201" s="33">
        <f>(AC201-AC197)/AC197</f>
        <v/>
      </c>
      <c r="AF201" s="33">
        <f>(AC201-AD201)/AD201</f>
        <v/>
      </c>
      <c r="AG201" s="537" t="n"/>
      <c r="AH201" s="537" t="n"/>
      <c r="AI201" s="33">
        <f>(AG201-AG197)/AG197</f>
        <v/>
      </c>
      <c r="AJ201" s="33">
        <f>(AG201-AH201)/AH201</f>
        <v/>
      </c>
      <c r="AK201" s="537" t="n"/>
      <c r="AL201" s="537" t="n"/>
      <c r="AM201" s="150">
        <f>(AK201-AK197)/AK197</f>
        <v/>
      </c>
      <c r="AN201" s="431">
        <f>(AK201-AL201)/AL201</f>
        <v/>
      </c>
      <c r="AO201" s="282" t="n"/>
      <c r="AP201" s="282" t="n"/>
      <c r="AQ201" s="33">
        <f>(AO201-AO197)/AO197</f>
        <v/>
      </c>
      <c r="AR201" s="33">
        <f>(AO201-AP201)/AP201</f>
        <v/>
      </c>
    </row>
    <row customHeight="1" ht="15.75" r="202" s="452" spans="1:45">
      <c r="A202" s="29" t="s">
        <v>52</v>
      </c>
      <c r="B202" s="29" t="s">
        <v>134</v>
      </c>
      <c r="C202" s="30">
        <f>C198+7</f>
        <v/>
      </c>
      <c r="D202" s="31" t="s">
        <v>60</v>
      </c>
      <c r="E202" s="531">
        <f>SUM(E203:E205)</f>
        <v/>
      </c>
      <c r="F202" s="531">
        <f>SUM(F203:F205)</f>
        <v/>
      </c>
      <c r="G202" s="33">
        <f>(E202-E198)/E198</f>
        <v/>
      </c>
      <c r="H202" s="33">
        <f>(E202-F202)/F202</f>
        <v/>
      </c>
      <c r="I202" s="531">
        <f>SUM(I203:I205)</f>
        <v/>
      </c>
      <c r="J202" s="531">
        <f>SUM(J203:J205)</f>
        <v/>
      </c>
      <c r="K202" s="33">
        <f>(I202-I198)/I198</f>
        <v/>
      </c>
      <c r="L202" s="33">
        <f>(I202-J202)/J202</f>
        <v/>
      </c>
      <c r="M202" s="532">
        <f>E202/I202</f>
        <v/>
      </c>
      <c r="N202" s="532">
        <f>F202/J202</f>
        <v/>
      </c>
      <c r="O202" s="33">
        <f>(M202-M198)/M198</f>
        <v/>
      </c>
      <c r="P202" s="33">
        <f>(M202-N202)/N202</f>
        <v/>
      </c>
      <c r="Q202" s="533">
        <f>SUM(Q203:Q205)</f>
        <v/>
      </c>
      <c r="R202" s="533">
        <f>SUM(R203:R205)</f>
        <v/>
      </c>
      <c r="S202" s="33">
        <f>(Q202-Q198)/Q198</f>
        <v/>
      </c>
      <c r="T202" s="33">
        <f>(Q202-R202)/R202</f>
        <v/>
      </c>
      <c r="U202" s="533">
        <f>SUM(U203:U205)</f>
        <v/>
      </c>
      <c r="V202" s="533">
        <f>SUM(V203:V205)</f>
        <v/>
      </c>
      <c r="W202" s="33">
        <f>(U202-U198)/U198</f>
        <v/>
      </c>
      <c r="X202" s="33">
        <f>(U202-V202)/V202</f>
        <v/>
      </c>
      <c r="Y202" s="88">
        <f>U202/Q202</f>
        <v/>
      </c>
      <c r="Z202" s="88">
        <f>V202/R202</f>
        <v/>
      </c>
      <c r="AA202" s="33">
        <f>(Y202-Y198)/Y198</f>
        <v/>
      </c>
      <c r="AB202" s="33">
        <f>(Y202-Z202)/Z202</f>
        <v/>
      </c>
      <c r="AC202" s="540">
        <f>E202/U202</f>
        <v/>
      </c>
      <c r="AD202" s="534">
        <f>F202/V202</f>
        <v/>
      </c>
      <c r="AE202" s="33">
        <f>(AC202-AC198)/AC198</f>
        <v/>
      </c>
      <c r="AF202" s="33">
        <f>(AC202-AD202)/AD202</f>
        <v/>
      </c>
      <c r="AG202" s="533">
        <f>SUM(AG203:AG205)</f>
        <v/>
      </c>
      <c r="AH202" s="533">
        <f>SUM(AH203:AH205)</f>
        <v/>
      </c>
      <c r="AI202" s="33">
        <f>(AG202-AG198)/AG198</f>
        <v/>
      </c>
      <c r="AJ202" s="33">
        <f>(AG202-AH202)/AH202</f>
        <v/>
      </c>
      <c r="AK202" s="533">
        <f>SUM(AK203:AK205)</f>
        <v/>
      </c>
      <c r="AL202" s="533">
        <f>SUM(AL203:AL205)</f>
        <v/>
      </c>
      <c r="AM202" s="150">
        <f>(AK202-AK198)/AK198</f>
        <v/>
      </c>
      <c r="AN202" s="431">
        <f>(AK202-AL202)/AL202</f>
        <v/>
      </c>
      <c r="AO202" s="33">
        <f>AG202/AK202</f>
        <v/>
      </c>
      <c r="AP202" s="33">
        <f>AH202/AL202</f>
        <v/>
      </c>
      <c r="AQ202" s="33">
        <f>(AO202-AO198)/AO198</f>
        <v/>
      </c>
      <c r="AR202" s="33">
        <f>(AO202-AP202)/AP202</f>
        <v/>
      </c>
    </row>
    <row customHeight="1" ht="15.75" r="203" s="452" spans="1:45">
      <c r="A203" s="260" t="s">
        <v>52</v>
      </c>
      <c r="B203" s="260" t="s">
        <v>134</v>
      </c>
      <c r="C203" s="261">
        <f>C199+7</f>
        <v/>
      </c>
      <c r="D203" s="260" t="s">
        <v>35</v>
      </c>
      <c r="E203" s="535" t="n"/>
      <c r="F203" s="535" t="n">
        <v>9860</v>
      </c>
      <c r="G203" s="33">
        <f>(E203-E199)/E199</f>
        <v/>
      </c>
      <c r="H203" s="33">
        <f>(E203-F203)/F203</f>
        <v/>
      </c>
      <c r="I203" s="535" t="n"/>
      <c r="J203" s="536">
        <f>693.41+24.54</f>
        <v/>
      </c>
      <c r="K203" s="33">
        <f>(I203-I199)/I199</f>
        <v/>
      </c>
      <c r="L203" s="33">
        <f>(I203-J203)/J203</f>
        <v/>
      </c>
      <c r="M203" s="536">
        <f>E203/I203</f>
        <v/>
      </c>
      <c r="N203" s="536">
        <f>F203/J203</f>
        <v/>
      </c>
      <c r="O203" s="33">
        <f>(M203-M199)/M199</f>
        <v/>
      </c>
      <c r="P203" s="33">
        <f>(M203-N203)/N203</f>
        <v/>
      </c>
      <c r="Q203" s="537" t="n"/>
      <c r="R203" s="537" t="n">
        <v>6385</v>
      </c>
      <c r="S203" s="33">
        <f>(Q203-Q199)/Q199</f>
        <v/>
      </c>
      <c r="T203" s="33">
        <f>(Q203-R203)/R203</f>
        <v/>
      </c>
      <c r="U203" s="537" t="n"/>
      <c r="V203" s="537" t="n">
        <v>76</v>
      </c>
      <c r="W203" s="33">
        <f>(U203-U199)/U199</f>
        <v/>
      </c>
      <c r="X203" s="33">
        <f>(U203-V203)/V203</f>
        <v/>
      </c>
      <c r="Y203" s="113">
        <f>U203/Q203</f>
        <v/>
      </c>
      <c r="Z203" s="113">
        <f>V203/R203</f>
        <v/>
      </c>
      <c r="AA203" s="33">
        <f>(Y203-Y199)/Y199</f>
        <v/>
      </c>
      <c r="AB203" s="33">
        <f>(Y203-Z203)/Z203</f>
        <v/>
      </c>
      <c r="AC203" s="529">
        <f>E203/U203</f>
        <v/>
      </c>
      <c r="AD203" s="529">
        <f>F203/V203</f>
        <v/>
      </c>
      <c r="AE203" s="33">
        <f>(AC203-AC199)/AC199</f>
        <v/>
      </c>
      <c r="AF203" s="33">
        <f>(AC203-AD203)/AD203</f>
        <v/>
      </c>
      <c r="AG203" s="537" t="n"/>
      <c r="AH203" s="537">
        <f>4604+159</f>
        <v/>
      </c>
      <c r="AI203" s="33">
        <f>(AG203-AG199)/AG199</f>
        <v/>
      </c>
      <c r="AJ203" s="33">
        <f>(AG203-AH203)/AH203</f>
        <v/>
      </c>
      <c r="AK203" s="537" t="n"/>
      <c r="AL203" s="537">
        <f>10667+365</f>
        <v/>
      </c>
      <c r="AM203" s="150">
        <f>(AK203-AK199)/AK199</f>
        <v/>
      </c>
      <c r="AN203" s="431">
        <f>(AK203-AL203)/AL203</f>
        <v/>
      </c>
      <c r="AO203" s="282">
        <f>AG203/AK203</f>
        <v/>
      </c>
      <c r="AP203" s="282">
        <f>AH203/AL203</f>
        <v/>
      </c>
      <c r="AQ203" s="33">
        <f>(AO203-AO199)/AO199</f>
        <v/>
      </c>
      <c r="AR203" s="33">
        <f>(AO203-AP203)/AP203</f>
        <v/>
      </c>
    </row>
    <row customHeight="1" ht="15.75" r="204" s="452" spans="1:45">
      <c r="A204" s="260" t="s">
        <v>52</v>
      </c>
      <c r="B204" s="260" t="s">
        <v>134</v>
      </c>
      <c r="C204" s="261">
        <f>C200+7</f>
        <v/>
      </c>
      <c r="D204" s="260" t="s">
        <v>36</v>
      </c>
      <c r="E204" s="535" t="n"/>
      <c r="F204" s="535" t="n">
        <v>620</v>
      </c>
      <c r="G204" s="33">
        <f>(E204-E200)/E200</f>
        <v/>
      </c>
      <c r="H204" s="33">
        <f>(E204-F204)/F204</f>
        <v/>
      </c>
      <c r="I204" s="535" t="n"/>
      <c r="J204" s="536">
        <f>2764.16+154.07</f>
        <v/>
      </c>
      <c r="K204" s="33">
        <f>(I204-I200)/I200</f>
        <v/>
      </c>
      <c r="L204" s="33">
        <f>(I204-J204)/J204</f>
        <v/>
      </c>
      <c r="M204" s="536">
        <f>E204/I204</f>
        <v/>
      </c>
      <c r="N204" s="536">
        <f>F204/J204</f>
        <v/>
      </c>
      <c r="O204" s="33">
        <f>(M204-M200)/M200</f>
        <v/>
      </c>
      <c r="P204" s="33">
        <f>(M204-N204)/N204</f>
        <v/>
      </c>
      <c r="Q204" s="537" t="n"/>
      <c r="R204" s="537" t="n">
        <v>3001</v>
      </c>
      <c r="S204" s="33">
        <f>(Q204-Q200)/Q200</f>
        <v/>
      </c>
      <c r="T204" s="33">
        <f>(Q204-R204)/R204</f>
        <v/>
      </c>
      <c r="U204" s="537" t="n"/>
      <c r="V204" s="537" t="n">
        <v>9</v>
      </c>
      <c r="W204" s="33">
        <f>(U204-U200)/U200</f>
        <v/>
      </c>
      <c r="X204" s="33">
        <f>(U204-V204)/V204</f>
        <v/>
      </c>
      <c r="Y204" s="113">
        <f>U204/Q204</f>
        <v/>
      </c>
      <c r="Z204" s="113">
        <f>V204/R204</f>
        <v/>
      </c>
      <c r="AA204" s="33">
        <f>(Y204-Y200)/Y200</f>
        <v/>
      </c>
      <c r="AB204" s="33">
        <f>(Y204-Z204)/Z204</f>
        <v/>
      </c>
      <c r="AC204" s="529">
        <f>E204/U204</f>
        <v/>
      </c>
      <c r="AD204" s="529">
        <f>F204/V204</f>
        <v/>
      </c>
      <c r="AE204" s="33">
        <f>(AC204-AC200)/AC200</f>
        <v/>
      </c>
      <c r="AF204" s="33">
        <f>(AC204-AD204)/AD204</f>
        <v/>
      </c>
      <c r="AG204" s="537" t="n"/>
      <c r="AH204" s="537">
        <f>2530+189</f>
        <v/>
      </c>
      <c r="AI204" s="33">
        <f>(AG204-AG200)/AG200</f>
        <v/>
      </c>
      <c r="AJ204" s="33">
        <f>(AG204-AH204)/AH204</f>
        <v/>
      </c>
      <c r="AK204" s="537" t="n"/>
      <c r="AL204" s="537">
        <f>34866+1901</f>
        <v/>
      </c>
      <c r="AM204" s="150">
        <f>(AK204-AK200)/AK200</f>
        <v/>
      </c>
      <c r="AN204" s="431">
        <f>(AK204-AL204)/AL204</f>
        <v/>
      </c>
      <c r="AO204" s="282">
        <f>AG204/AK204</f>
        <v/>
      </c>
      <c r="AP204" s="282">
        <f>AH204/AL204</f>
        <v/>
      </c>
      <c r="AQ204" s="33">
        <f>(AO204-AO200)/AO200</f>
        <v/>
      </c>
      <c r="AR204" s="33">
        <f>(AO204-AP204)/AP204</f>
        <v/>
      </c>
    </row>
    <row customHeight="1" ht="15.75" r="205" s="452" spans="1:45">
      <c r="A205" s="260" t="s">
        <v>52</v>
      </c>
      <c r="B205" s="260" t="s">
        <v>134</v>
      </c>
      <c r="C205" s="261">
        <f>C201+7</f>
        <v/>
      </c>
      <c r="D205" s="260" t="s">
        <v>37</v>
      </c>
      <c r="E205" s="535" t="n"/>
      <c r="F205" s="535" t="n"/>
      <c r="G205" s="33">
        <f>(E205-E201)/E201</f>
        <v/>
      </c>
      <c r="H205" s="33">
        <f>(E205-F205)/F205</f>
        <v/>
      </c>
      <c r="I205" s="535" t="n"/>
      <c r="J205" s="536" t="n"/>
      <c r="K205" s="33">
        <f>(I205-I201)/I201</f>
        <v/>
      </c>
      <c r="L205" s="33">
        <f>(I205-J205)/J205</f>
        <v/>
      </c>
      <c r="M205" s="536" t="n"/>
      <c r="N205" s="536" t="n"/>
      <c r="O205" s="33">
        <f>(M205-M201)/M201</f>
        <v/>
      </c>
      <c r="P205" s="33">
        <f>(M205-N205)/N205</f>
        <v/>
      </c>
      <c r="Q205" s="537" t="n"/>
      <c r="R205" s="537" t="n"/>
      <c r="S205" s="33">
        <f>(Q205-Q201)/Q201</f>
        <v/>
      </c>
      <c r="T205" s="33">
        <f>(Q205-R205)/R205</f>
        <v/>
      </c>
      <c r="U205" s="537" t="n"/>
      <c r="V205" s="537" t="n"/>
      <c r="W205" s="33">
        <f>(U205-U201)/U201</f>
        <v/>
      </c>
      <c r="X205" s="33">
        <f>(U205-V205)/V205</f>
        <v/>
      </c>
      <c r="Y205" s="113" t="n"/>
      <c r="Z205" s="113" t="n"/>
      <c r="AA205" s="33">
        <f>(Y205-Y201)/Y201</f>
        <v/>
      </c>
      <c r="AB205" s="33">
        <f>(Y205-Z205)/Z205</f>
        <v/>
      </c>
      <c r="AC205" s="529" t="n"/>
      <c r="AD205" s="529" t="n"/>
      <c r="AE205" s="33">
        <f>(AC205-AC201)/AC201</f>
        <v/>
      </c>
      <c r="AF205" s="33">
        <f>(AC205-AD205)/AD205</f>
        <v/>
      </c>
      <c r="AG205" s="537" t="n"/>
      <c r="AH205" s="537" t="n"/>
      <c r="AI205" s="33">
        <f>(AG205-AG201)/AG201</f>
        <v/>
      </c>
      <c r="AJ205" s="33">
        <f>(AG205-AH205)/AH205</f>
        <v/>
      </c>
      <c r="AK205" s="537" t="n"/>
      <c r="AL205" s="537" t="n"/>
      <c r="AM205" s="150">
        <f>(AK205-AK201)/AK201</f>
        <v/>
      </c>
      <c r="AN205" s="431">
        <f>(AK205-AL205)/AL205</f>
        <v/>
      </c>
      <c r="AO205" s="282" t="n"/>
      <c r="AP205" s="282" t="n"/>
      <c r="AQ205" s="33">
        <f>(AO205-AO201)/AO201</f>
        <v/>
      </c>
      <c r="AR205" s="33">
        <f>(AO205-AP205)/AP205</f>
        <v/>
      </c>
    </row>
    <row customHeight="1" ht="15.75" r="206" s="452" spans="1:45">
      <c r="A206" s="29" t="s">
        <v>52</v>
      </c>
      <c r="B206" s="29" t="s">
        <v>135</v>
      </c>
      <c r="C206" s="30">
        <f>C202+7</f>
        <v/>
      </c>
      <c r="D206" s="31" t="s">
        <v>60</v>
      </c>
      <c r="E206" s="531">
        <f>SUM(E207:E209)</f>
        <v/>
      </c>
      <c r="F206" s="531">
        <f>SUM(F207:F209)</f>
        <v/>
      </c>
      <c r="G206" s="33">
        <f>(E206-E202)/E202</f>
        <v/>
      </c>
      <c r="H206" s="33">
        <f>(E206-F206)/F206</f>
        <v/>
      </c>
      <c r="I206" s="531">
        <f>SUM(I207:I209)</f>
        <v/>
      </c>
      <c r="J206" s="531">
        <f>SUM(J207:J209)</f>
        <v/>
      </c>
      <c r="K206" s="33">
        <f>(I206-I202)/I202</f>
        <v/>
      </c>
      <c r="L206" s="33">
        <f>(I206-J206)/J206</f>
        <v/>
      </c>
      <c r="M206" s="532">
        <f>E206/I206</f>
        <v/>
      </c>
      <c r="N206" s="532">
        <f>F206/J206</f>
        <v/>
      </c>
      <c r="O206" s="33">
        <f>(M206-M202)/M202</f>
        <v/>
      </c>
      <c r="P206" s="33">
        <f>(M206-N206)/N206</f>
        <v/>
      </c>
      <c r="Q206" s="533">
        <f>SUM(Q207:Q209)</f>
        <v/>
      </c>
      <c r="R206" s="533">
        <f>SUM(R207:R209)</f>
        <v/>
      </c>
      <c r="S206" s="33">
        <f>(Q206-Q202)/Q202</f>
        <v/>
      </c>
      <c r="T206" s="33">
        <f>(Q206-R206)/R206</f>
        <v/>
      </c>
      <c r="U206" s="533">
        <f>SUM(U207:U209)</f>
        <v/>
      </c>
      <c r="V206" s="533">
        <f>SUM(V207:V209)</f>
        <v/>
      </c>
      <c r="W206" s="33">
        <f>(U206-U202)/U202</f>
        <v/>
      </c>
      <c r="X206" s="33">
        <f>(U206-V206)/V206</f>
        <v/>
      </c>
      <c r="Y206" s="88">
        <f>U206/Q206</f>
        <v/>
      </c>
      <c r="Z206" s="88">
        <f>V206/R206</f>
        <v/>
      </c>
      <c r="AA206" s="33">
        <f>(Y206-Y202)/Y202</f>
        <v/>
      </c>
      <c r="AB206" s="33">
        <f>(Y206-Z206)/Z206</f>
        <v/>
      </c>
      <c r="AC206" s="540">
        <f>E206/U206</f>
        <v/>
      </c>
      <c r="AD206" s="534">
        <f>F206/V206</f>
        <v/>
      </c>
      <c r="AE206" s="33">
        <f>(AC206-AC202)/AC202</f>
        <v/>
      </c>
      <c r="AF206" s="33">
        <f>(AC206-AD206)/AD206</f>
        <v/>
      </c>
      <c r="AG206" s="533">
        <f>SUM(AG207:AG209)</f>
        <v/>
      </c>
      <c r="AH206" s="533">
        <f>SUM(AH207:AH209)</f>
        <v/>
      </c>
      <c r="AI206" s="33">
        <f>(AG206-AG202)/AG202</f>
        <v/>
      </c>
      <c r="AJ206" s="33">
        <f>(AG206-AH206)/AH206</f>
        <v/>
      </c>
      <c r="AK206" s="533">
        <f>SUM(AK207:AK209)</f>
        <v/>
      </c>
      <c r="AL206" s="533">
        <f>SUM(AL207:AL209)</f>
        <v/>
      </c>
      <c r="AM206" s="150">
        <f>(AK206-AK202)/AK202</f>
        <v/>
      </c>
      <c r="AN206" s="431">
        <f>(AK206-AL206)/AL206</f>
        <v/>
      </c>
      <c r="AO206" s="33">
        <f>AG206/AK206</f>
        <v/>
      </c>
      <c r="AP206" s="33">
        <f>AH206/AL206</f>
        <v/>
      </c>
      <c r="AQ206" s="33">
        <f>(AO206-AO202)/AO202</f>
        <v/>
      </c>
      <c r="AR206" s="33">
        <f>(AO206-AP206)/AP206</f>
        <v/>
      </c>
    </row>
    <row customHeight="1" ht="15.75" r="207" s="452" spans="1:45">
      <c r="A207" s="260" t="s">
        <v>52</v>
      </c>
      <c r="B207" s="260" t="s">
        <v>135</v>
      </c>
      <c r="C207" s="261">
        <f>C203+7</f>
        <v/>
      </c>
      <c r="D207" s="260" t="s">
        <v>35</v>
      </c>
      <c r="E207" s="535" t="n"/>
      <c r="F207" s="535" t="n">
        <v>10506</v>
      </c>
      <c r="G207" s="33">
        <f>(E207-E203)/E203</f>
        <v/>
      </c>
      <c r="H207" s="33">
        <f>(E207-F207)/F207</f>
        <v/>
      </c>
      <c r="I207" s="535" t="n"/>
      <c r="J207" s="535">
        <f>771.61+23.42</f>
        <v/>
      </c>
      <c r="K207" s="33">
        <f>(I207-I203)/I203</f>
        <v/>
      </c>
      <c r="L207" s="33">
        <f>(I207-J207)/J207</f>
        <v/>
      </c>
      <c r="M207" s="536">
        <f>E207/I207</f>
        <v/>
      </c>
      <c r="N207" s="536">
        <f>F207/J207</f>
        <v/>
      </c>
      <c r="O207" s="33">
        <f>(M207-M203)/M203</f>
        <v/>
      </c>
      <c r="P207" s="33">
        <f>(M207-N207)/N207</f>
        <v/>
      </c>
      <c r="Q207" s="537" t="n"/>
      <c r="R207" s="537" t="n">
        <v>6945</v>
      </c>
      <c r="S207" s="33">
        <f>(Q207-Q203)/Q203</f>
        <v/>
      </c>
      <c r="T207" s="33">
        <f>(Q207-R207)/R207</f>
        <v/>
      </c>
      <c r="U207" s="537" t="n"/>
      <c r="V207" s="537" t="n">
        <v>103</v>
      </c>
      <c r="W207" s="33">
        <f>(U207-U203)/U203</f>
        <v/>
      </c>
      <c r="X207" s="33">
        <f>(U207-V207)/V207</f>
        <v/>
      </c>
      <c r="Y207" s="113">
        <f>U207/Q207</f>
        <v/>
      </c>
      <c r="Z207" s="113">
        <f>V207/R207</f>
        <v/>
      </c>
      <c r="AA207" s="33">
        <f>(Y207-Y203)/Y203</f>
        <v/>
      </c>
      <c r="AB207" s="33">
        <f>(Y207-Z207)/Z207</f>
        <v/>
      </c>
      <c r="AC207" s="529">
        <f>E207/U207</f>
        <v/>
      </c>
      <c r="AD207" s="529">
        <f>F207/V207</f>
        <v/>
      </c>
      <c r="AE207" s="33">
        <f>(AC207-AC203)/AC203</f>
        <v/>
      </c>
      <c r="AF207" s="33">
        <f>(AC207-AD207)/AD207</f>
        <v/>
      </c>
      <c r="AG207" s="537" t="n"/>
      <c r="AH207" s="537">
        <f>5017+162</f>
        <v/>
      </c>
      <c r="AI207" s="33">
        <f>(AG207-AG203)/AG203</f>
        <v/>
      </c>
      <c r="AJ207" s="33">
        <f>(AG207-AH207)/AH207</f>
        <v/>
      </c>
      <c r="AK207" s="537" t="n"/>
      <c r="AL207" s="537">
        <f>11195+421</f>
        <v/>
      </c>
      <c r="AM207" s="150">
        <f>(AK207-AK203)/AK203</f>
        <v/>
      </c>
      <c r="AN207" s="431">
        <f>(AK207-AL207)/AL207</f>
        <v/>
      </c>
      <c r="AO207" s="282">
        <f>AG207/AK207</f>
        <v/>
      </c>
      <c r="AP207" s="282">
        <f>AH207/AL207</f>
        <v/>
      </c>
      <c r="AQ207" s="33">
        <f>(AO207-AO203)/AO203</f>
        <v/>
      </c>
      <c r="AR207" s="33">
        <f>(AO207-AP207)/AP207</f>
        <v/>
      </c>
    </row>
    <row customHeight="1" ht="15.75" r="208" s="452" spans="1:45">
      <c r="A208" s="260" t="s">
        <v>52</v>
      </c>
      <c r="B208" s="260" t="s">
        <v>135</v>
      </c>
      <c r="C208" s="261">
        <f>C204+7</f>
        <v/>
      </c>
      <c r="D208" s="260" t="s">
        <v>36</v>
      </c>
      <c r="E208" s="535" t="n"/>
      <c r="F208" s="535" t="n">
        <v>1828</v>
      </c>
      <c r="G208" s="33">
        <f>(E208-E204)/E204</f>
        <v/>
      </c>
      <c r="H208" s="33">
        <f>(E208-F208)/F208</f>
        <v/>
      </c>
      <c r="I208" s="535" t="n"/>
      <c r="J208" s="535">
        <f>5254.85+152.62</f>
        <v/>
      </c>
      <c r="K208" s="33">
        <f>(I208-I204)/I204</f>
        <v/>
      </c>
      <c r="L208" s="33">
        <f>(I208-J208)/J208</f>
        <v/>
      </c>
      <c r="M208" s="536">
        <f>E208/I208</f>
        <v/>
      </c>
      <c r="N208" s="536">
        <f>F208/J208</f>
        <v/>
      </c>
      <c r="O208" s="33">
        <f>(M208-M204)/M204</f>
        <v/>
      </c>
      <c r="P208" s="33">
        <f>(M208-N208)/N208</f>
        <v/>
      </c>
      <c r="Q208" s="537" t="n"/>
      <c r="R208" s="537" t="n">
        <v>5017</v>
      </c>
      <c r="S208" s="33">
        <f>(Q208-Q204)/Q204</f>
        <v/>
      </c>
      <c r="T208" s="33">
        <f>(Q208-R208)/R208</f>
        <v/>
      </c>
      <c r="U208" s="537" t="n"/>
      <c r="V208" s="537" t="n">
        <v>20</v>
      </c>
      <c r="W208" s="33">
        <f>(U208-U204)/U204</f>
        <v/>
      </c>
      <c r="X208" s="33">
        <f>(U208-V208)/V208</f>
        <v/>
      </c>
      <c r="Y208" s="113">
        <f>U208/Q208</f>
        <v/>
      </c>
      <c r="Z208" s="113">
        <f>V208/R208</f>
        <v/>
      </c>
      <c r="AA208" s="33">
        <f>(Y208-Y204)/Y204</f>
        <v/>
      </c>
      <c r="AB208" s="33">
        <f>(Y208-Z208)/Z208</f>
        <v/>
      </c>
      <c r="AC208" s="529">
        <f>E208/U208</f>
        <v/>
      </c>
      <c r="AD208" s="529">
        <f>F208/V208</f>
        <v/>
      </c>
      <c r="AE208" s="33">
        <f>(AC208-AC204)/AC204</f>
        <v/>
      </c>
      <c r="AF208" s="33">
        <f>(AC208-AD208)/AD208</f>
        <v/>
      </c>
      <c r="AG208" s="537" t="n"/>
      <c r="AH208" s="537">
        <f>4646+185</f>
        <v/>
      </c>
      <c r="AI208" s="33">
        <f>(AG208-AG204)/AG204</f>
        <v/>
      </c>
      <c r="AJ208" s="33">
        <f>(AG208-AH208)/AH208</f>
        <v/>
      </c>
      <c r="AK208" s="537" t="n"/>
      <c r="AL208" s="537">
        <f>57225+2237</f>
        <v/>
      </c>
      <c r="AM208" s="150">
        <f>(AK208-AK204)/AK204</f>
        <v/>
      </c>
      <c r="AN208" s="431">
        <f>(AK208-AL208)/AL208</f>
        <v/>
      </c>
      <c r="AO208" s="282">
        <f>AG208/AK208</f>
        <v/>
      </c>
      <c r="AP208" s="282">
        <f>AH208/AL208</f>
        <v/>
      </c>
      <c r="AQ208" s="33">
        <f>(AO208-AO204)/AO204</f>
        <v/>
      </c>
      <c r="AR208" s="33">
        <f>(AO208-AP208)/AP208</f>
        <v/>
      </c>
    </row>
    <row customFormat="1" customHeight="1" ht="15.75" r="209" s="330" spans="1:45" thickBot="1">
      <c r="A209" s="318" t="s">
        <v>52</v>
      </c>
      <c r="B209" s="318" t="s">
        <v>135</v>
      </c>
      <c r="C209" s="319">
        <f>C205+7</f>
        <v/>
      </c>
      <c r="D209" s="318" t="s">
        <v>37</v>
      </c>
      <c r="E209" s="549" t="n"/>
      <c r="F209" s="549" t="n"/>
      <c r="G209" s="321">
        <f>(E209-E205)/E205</f>
        <v/>
      </c>
      <c r="H209" s="321">
        <f>(E209-F209)/F209</f>
        <v/>
      </c>
      <c r="I209" s="549" t="n"/>
      <c r="J209" s="549" t="n"/>
      <c r="K209" s="321">
        <f>(I209-I205)/I205</f>
        <v/>
      </c>
      <c r="L209" s="321">
        <f>(I209-J209)/J209</f>
        <v/>
      </c>
      <c r="M209" s="550" t="n"/>
      <c r="N209" s="550" t="n"/>
      <c r="O209" s="321">
        <f>(M209-M205)/M205</f>
        <v/>
      </c>
      <c r="P209" s="321">
        <f>(M209-N209)/N209</f>
        <v/>
      </c>
      <c r="Q209" s="551" t="n"/>
      <c r="R209" s="551" t="n"/>
      <c r="S209" s="321">
        <f>(Q209-Q205)/Q205</f>
        <v/>
      </c>
      <c r="T209" s="321">
        <f>(Q209-R209)/R209</f>
        <v/>
      </c>
      <c r="U209" s="551" t="n"/>
      <c r="V209" s="551" t="n"/>
      <c r="W209" s="321">
        <f>(U209-U205)/U205</f>
        <v/>
      </c>
      <c r="X209" s="321">
        <f>(U209-V209)/V209</f>
        <v/>
      </c>
      <c r="Y209" s="324" t="n"/>
      <c r="Z209" s="324" t="n"/>
      <c r="AA209" s="321">
        <f>(Y209-Y205)/Y205</f>
        <v/>
      </c>
      <c r="AB209" s="321">
        <f>(Y209-Z209)/Z209</f>
        <v/>
      </c>
      <c r="AC209" s="552" t="n"/>
      <c r="AD209" s="552" t="n"/>
      <c r="AE209" s="321">
        <f>(AC209-AC205)/AC205</f>
        <v/>
      </c>
      <c r="AF209" s="321">
        <f>(AC209-AD209)/AD209</f>
        <v/>
      </c>
      <c r="AG209" s="551" t="n"/>
      <c r="AH209" s="551" t="n"/>
      <c r="AI209" s="321">
        <f>(AG209-AG205)/AG205</f>
        <v/>
      </c>
      <c r="AJ209" s="321">
        <f>(AG209-AH209)/AH209</f>
        <v/>
      </c>
      <c r="AK209" s="551" t="n"/>
      <c r="AL209" s="551" t="n"/>
      <c r="AM209" s="326">
        <f>(AK209-AK205)/AK205</f>
        <v/>
      </c>
      <c r="AN209" s="327">
        <f>(AK209-AL209)/AL209</f>
        <v/>
      </c>
      <c r="AO209" s="328" t="n"/>
      <c r="AP209" s="328" t="n"/>
      <c r="AQ209" s="321">
        <f>(AO209-AO205)/AO205</f>
        <v/>
      </c>
      <c r="AR209" s="321">
        <f>(AO209-AP209)/AP209</f>
        <v/>
      </c>
      <c r="AS209" s="330" t="n"/>
    </row>
    <row customFormat="1" customHeight="1" ht="21" r="210" s="313" spans="1:45" thickBot="1">
      <c r="A210" s="314" t="s">
        <v>136</v>
      </c>
      <c r="B210" s="315" t="n"/>
      <c r="C210" s="316" t="n"/>
      <c r="D210" s="317" t="s">
        <v>137</v>
      </c>
      <c r="E210" s="553">
        <f>E2+E6+E10+E14+E18+E22+E26+E30+E34+E38+E42+E46+E50+E54+E58+E62+E66+E70+E74+E78+E82+E86+E90+E94+E98+E102+E106+E110+E114+E118+E122+E126+E130+E134+E138+E142+E146+E150+E154+E158+E162+E166+E170+E174+E178+E182+E186+E190+E194+E198+E202+E206</f>
        <v/>
      </c>
      <c r="F210" s="553">
        <f>F2+F6+F10+F14+F18+F22+F26+F30+F34+F38+F42+F46+F50+F54+F58+F62+F66+F70+F74+F78+F82+F86+F90+F94+F98+F102+F106+F110+F114+F118+F122+F126+F130+F134+F138+F142+F146+F150+F154+F158+F162+F166+F170+F174+F178+F182+F186+F190+F194+F198+F202+F206</f>
        <v/>
      </c>
      <c r="G210" s="307" t="n"/>
      <c r="H210" s="307" t="n"/>
      <c r="I210" s="553">
        <f>I2+I6+I10+I14+I18+I22+I26+I30+I34+I38+I42+I46+I50+I54+I58+I62+I66+I70+I74+I78+I82+I86+I90+I94+I98+I102+I106+I110+I114+I118+I122+I126+I130+I134+I138+I142+I146+I150+I154+I158+I162+I166+I170+I174+I178+I182+I186+I190+I194+I198+I202+I206</f>
        <v/>
      </c>
      <c r="J210" s="553">
        <f>J2+J6+J10+J14+J18+J22+J26+J30+J34+J38+J42+J46+J50+J54+J58+J62+J66+J70+J74+J78+J82+J86+J90+J94+J98+J102+J106+J110+J114+J118+J122+J126+J130+J134+J138+J142+J146+J150+J154+J158+J162+J166+J170+J174+J178+J182+J186+J190+J194+J198+J202+J206</f>
        <v/>
      </c>
      <c r="K210" s="307" t="n"/>
      <c r="L210" s="307" t="n"/>
      <c r="M210" s="554">
        <f>E210/I210</f>
        <v/>
      </c>
      <c r="N210" s="554" t="n"/>
      <c r="O210" s="307" t="n"/>
      <c r="P210" s="307" t="n"/>
      <c r="Q210" s="555">
        <f>Q2+Q6+Q10+Q14+Q18+Q22+Q26+Q30+Q34+Q38+Q42+Q46+Q50+Q54+Q58+Q62+Q66+Q70+Q74+Q78+Q82+Q86+Q90+Q94+Q98+Q102+Q106+Q110+Q114+Q118+Q122+Q126+Q130+Q134+Q138+Q142+Q146+Q150+Q154+Q158+Q162+Q166+Q170+Q174+Q178+Q182+Q186+Q190+Q194+Q198+Q202+Q206</f>
        <v/>
      </c>
      <c r="R210" s="555">
        <f>R2+R6+R10+R14+R18+R22+R26+R30+R34+R38+R42+R46+R50+R54+R58+R62+R66+R70+R74+R78+R82+R86+R90+R94+R98+R102+R106+R110+R114+R118+R122+R126+R130+R134+R138+R142+R146+R150+R154+R158+R162+R166+R170+R174+R178+R182+R186+R190+R194+R198+R202+R206</f>
        <v/>
      </c>
      <c r="S210" s="307" t="n"/>
      <c r="T210" s="307" t="n"/>
      <c r="U210" s="555">
        <f>U2+U6+U10+U14+U18+U22+U26+U30+U34+U38+U42+U46+U50+U54+U58+U62+U66+U70+U74+U78+U82+U86+U90+U94+U98+U102+U106+U110+U114+U118+U122+U126+U130+U134+U138+U142+U146+U150+U154+U158+U162+U166+U170+U174+U178+U182+U186+U190+U194+U198+U202+U206</f>
        <v/>
      </c>
      <c r="V210" s="555">
        <f>V2+V6+V10+V14+V18+V22+V26+V30+V34+V38+V42+V46+V50+V54+V58+V62+V66+V70+V74+V78+V82+V86+V90+V94+V98+V102+V106+V110+V114+V118+V122+V126+V130+V134+V138+V142+V146+V150+V154+V158+V162+V166+V170+V174+V178+V182+V186+V190+V194+V198+V202+V206</f>
        <v/>
      </c>
      <c r="W210" s="307" t="n"/>
      <c r="X210" s="307" t="n"/>
      <c r="Y210" s="310">
        <f>U210/Q210</f>
        <v/>
      </c>
      <c r="Z210" s="307" t="n"/>
      <c r="AA210" s="307" t="n"/>
      <c r="AB210" s="307" t="n"/>
      <c r="AC210" s="556">
        <f>E210/U210</f>
        <v/>
      </c>
      <c r="AD210" s="553" t="n"/>
      <c r="AE210" s="307" t="n"/>
      <c r="AF210" s="307" t="n"/>
      <c r="AG210" s="555">
        <f>AG2+AG6+AG10+AG14+AG18+AG22+AG26+AG30+AG34+AG38+AG42+AG46+AG50+AG54+AG58+AG62+AG66+AG70+AG74+AG78+AG82+AG86+AG90+AG94+AG98+AG102+AG106+AG110+AG114+AG118+AG122+AG126+AG130+AG134+AG138+AG142+AG146+AG150+AG154+AG158+AG162+AG166+AG170+AG174+AG178+AG182+AG186+AG190+AG194+AG198+AG202+AG206</f>
        <v/>
      </c>
      <c r="AH210" s="555">
        <f>AH2+AH6+AH10+AH14+AH18+AH22+AH26+AH30+AH34+AH38+AH42+AH46+AH50+AH54+AH58+AH62+AH66+AH70+AH74+AH78+AH82+AH86+AH90+AH94+AH98+AH102+AH106+AH110+AH114+AH118+AH122+AH126+AH130+AH134+AH138+AH142+AH146+AH150+AH154+AH158+AH162+AH166+AH170+AH174+AH178+AH182+AH186+AH190+AH194+AH198+AH202+AH206</f>
        <v/>
      </c>
      <c r="AI210" s="307" t="n"/>
      <c r="AJ210" s="307" t="n"/>
      <c r="AK210" s="555">
        <f>AK2+AK6+AK10+AK14+AK18+AK22+AK26+AK30+AK34+AK38+AK42+AK46+AK50+AK54+AK58+AK62+AK66+AK70+AK74+AK78+AK82+AK86+AK90+AK94+AK98+AK102+AK106+AK110+AK114+AK118+AK122+AK126+AK130+AK134+AK138+AK142+AK146+AK150+AK154+AK158+AK162+AK166+AK170+AK174+AK178+AK182+AK186+AK190+AK194+AK198+AK202+AK206</f>
        <v/>
      </c>
      <c r="AL210" s="555">
        <f>AL2+AL6+AL10+AL14+AL18+AL22+AL26+AL30+AL34+AL38+AL42+AL46+AL50+AL54+AL58+AL62+AL66+AL70+AL74+AL78+AL82+AL86+AL90+AL94+AL98+AL102+AL106+AL110+AL114+AL118+AL122+AL126+AL130+AL134+AL138+AL142+AL146+AL150+AL154+AL158+AL162+AL166+AL170+AL174+AL178+AL182+AL186+AL190+AL194+AL198+AL202+AL206</f>
        <v/>
      </c>
      <c r="AM210" s="307" t="n"/>
      <c r="AN210" s="307" t="n"/>
      <c r="AO210" s="307">
        <f>AG210/AK210</f>
        <v/>
      </c>
      <c r="AP210" s="307">
        <f>AH210/AL210</f>
        <v/>
      </c>
      <c r="AQ210" s="307" t="n"/>
      <c r="AR210" s="307" t="n"/>
      <c r="AS210" s="313" t="n"/>
    </row>
    <row customFormat="1" customHeight="1" ht="21" r="211" s="343" spans="1:45" thickBot="1">
      <c r="A211" s="331" t="s">
        <v>136</v>
      </c>
      <c r="B211" s="332" t="n"/>
      <c r="C211" s="332" t="n"/>
      <c r="D211" s="333" t="s">
        <v>35</v>
      </c>
      <c r="E211" s="557">
        <f>E3+E7+E11+E15+E19+E23+E27+E31+E35+E39+E43+E47+E51+E55+E59+E63+E67+E71+E75+E79+E83+E87+E91+E95+E99+E103+E107+E111+E115+E119+E123+E127+E131+E135+E139+E143+E147+E151+E155+E159+E163+E167+E171+E175+E179+E183+E187+E191+E195+E199+E203+E207</f>
        <v/>
      </c>
      <c r="F211" s="557">
        <f>F3+F7+F11+F15+F19+F23+F27+F31+F35+F39+F43+F47+F51+F55+F59+F63+F67+F71+F75+F79+F83+F87+F91+F95+F99+F103+F107+F111+F115+F119+F123+F127+F131+F135+F139+F143+F147+F151+F155+F159+F163+F167+F171+F175+F179+F183+F187+F191+F195+F199+F203+F207</f>
        <v/>
      </c>
      <c r="G211" s="335" t="n"/>
      <c r="H211" s="335" t="n"/>
      <c r="I211" s="557">
        <f>I3+I7+I11+I15+I19+I23+I27+I31+I35+I39+I43+I47+I51+I55+I59+I63+I67+I71+I75+I79+I83+I87+I91+I95+I99+I103+I107+I111+I115+I119+I123+I127+I131+I135+I139+I143+I147+I151+I155+I159+I163+I167+I171+I175+I179+I183+I187+I191+I195+I199+I203+I207</f>
        <v/>
      </c>
      <c r="J211" s="557">
        <f>J3+J7+J11+J15+J19+J23+J27+J31+J35+J39+J43+J47+J51+J55+J59+J63+J67+J71+J75+J79+J83+J87+J91+J95+J99+J103+J107+J111+J115+J119+J123+J127+J131+J135+J139+J143+J147+J151+J155+J159+J163+J167+J171+J175+J179+J183+J187+J191+J195+J199+J203+J207</f>
        <v/>
      </c>
      <c r="K211" s="335" t="n"/>
      <c r="L211" s="335" t="n"/>
      <c r="M211" s="558">
        <f>E211/I211</f>
        <v/>
      </c>
      <c r="N211" s="558" t="n"/>
      <c r="O211" s="337" t="n"/>
      <c r="P211" s="337" t="n"/>
      <c r="Q211" s="559">
        <f>Q3+Q7+Q11+Q15+Q19+Q23+Q27+Q31+Q35+Q39+Q43+Q47+Q51+Q55+Q59+Q63+Q67+Q71+Q75+Q79+Q83+Q87+Q91+Q95+Q99+Q103+Q107+Q111+Q115+Q119+Q123+Q127+Q131+Q135+Q139+Q143+Q147+Q151+Q155+Q159+Q163+Q167+Q171+Q175+Q179+Q183+Q187+Q191+Q195+Q199+Q203+Q207</f>
        <v/>
      </c>
      <c r="R211" s="559">
        <f>R3+R7+R11+R15+R19+R23+R27+R31+R35+R39+R43+R47+R51+R55+R59+R63+R67+R71+R75+R79+R83+R87+R91+R95+R99+R103+R107+R111+R115+R119+R123+R127+R131+R135+R139+R143+R147+R151+R155+R159+R163+R167+R171+R175+R179+R183+R187+R191+R195+R199+R203+R207</f>
        <v/>
      </c>
      <c r="S211" s="335" t="n"/>
      <c r="T211" s="335" t="n"/>
      <c r="U211" s="559">
        <f>U3+U7+U11+U15+U19+U23+U27+U31+U35+U39+U43+U47+U51+U55+U59+U63+U67+U71+U75+U79+U83+U87+U91+U95+U99+U103+U107+U111+U115+U119+U123+U127+U131+U135+U139+U143+U147+U151+U155+U159+U163+U167+U171+U175+U179+U183+U187+U191+U195+U199+U203+U207</f>
        <v/>
      </c>
      <c r="V211" s="559">
        <f>V3+V7+V11+V15+V19+V23+V27+V31+V35+V39+V43+V47+V51+V55+V59+V63+V67+V71+V75+V79+V83+V87+V91+V95+V99+V103+V107+V111+V115+V119+V123+V127+V131+V135+V139+V143+V147+V151+V155+V159+V163+V167+V171+V175+V179+V183+V187+V191+V195+V199+V203+V207</f>
        <v/>
      </c>
      <c r="W211" s="335" t="n"/>
      <c r="X211" s="335" t="n"/>
      <c r="Y211" s="339">
        <f>U211/Q211</f>
        <v/>
      </c>
      <c r="Z211" s="335" t="n"/>
      <c r="AA211" s="335" t="n"/>
      <c r="AB211" s="335" t="n"/>
      <c r="AC211" s="560">
        <f>E211/U211</f>
        <v/>
      </c>
      <c r="AD211" s="561" t="n"/>
      <c r="AE211" s="335" t="n"/>
      <c r="AF211" s="335" t="n"/>
      <c r="AG211" s="559">
        <f>AG3+AG7+AG11+AG15+AG19+AG23+AG27+AG31+AG35+AG39+AG43+AG47+AG51+AG55+AG59+AG63+AG67+AG71+AG75+AG79+AG83+AG87+AG91+AG95+AG99+AG103+AG107+AG111+AG115+AG119+AG123+AG127+AG131+AG135+AG139+AG143+AG147+AG151+AG155+AG159+AG163+AG167+AG171+AG175+AG179+AG183+AG187+AG191+AG195+AG199+AG203+AG207</f>
        <v/>
      </c>
      <c r="AH211" s="559">
        <f>AH3+AH7+AH11+AH15+AH19+AH23+AH27+AH31+AH35+AH39+AH43+AH47+AH51+AH55+AH59+AH63+AH67+AH71+AH75+AH79+AH83+AH87+AH91+AH95+AH99+AH103+AH107+AH111+AH115+AH119+AH123+AH127+AH131+AH135+AH139+AH143+AH147+AH151+AH155+AH159+AH163+AH167+AH171+AH175+AH179+AH183+AH187+AH191+AH195+AH199+AH203+AH207</f>
        <v/>
      </c>
      <c r="AI211" s="335" t="n"/>
      <c r="AJ211" s="335" t="n"/>
      <c r="AK211" s="559">
        <f>AK3+AK7+AK11+AK15+AK19+AK23+AK27+AK31+AK35+AK39+AK43+AK47+AK51+AK55+AK59+AK63+AK67+AK71+AK75+AK79+AK83+AK87+AK91+AK95+AK99+AK103+AK107+AK111+AK115+AK119+AK123+AK127+AK131+AK135+AK139+AK143+AK147+AK151+AK155+AK159+AK163+AK167+AK171+AK175+AK179+AK183+AK187+AK191+AK195+AK199+AK203+AK207</f>
        <v/>
      </c>
      <c r="AL211" s="559">
        <f>AL3+AL7+AL11+AL15+AL19+AL23+AL27+AL31+AL35+AL39+AL43+AL47+AL51+AL55+AL59+AL63+AL67+AL71+AL75+AL79+AL83+AL87+AL91+AL95+AL99+AL103+AL107+AL111+AL115+AL119+AL123+AL127+AL131+AL135+AL139+AL143+AL147+AL151+AL155+AL159+AL163+AL167+AL171+AL175+AL179+AL183+AL187+AL191+AL195+AL199+AL203+AL207</f>
        <v/>
      </c>
      <c r="AM211" s="335" t="n"/>
      <c r="AN211" s="335" t="n"/>
      <c r="AO211" s="335">
        <f>AG211/AK211</f>
        <v/>
      </c>
      <c r="AP211" s="335">
        <f>AH211/AL211</f>
        <v/>
      </c>
      <c r="AQ211" s="335" t="n"/>
      <c r="AR211" s="335" t="n"/>
      <c r="AS211" s="343" t="n"/>
    </row>
    <row customFormat="1" customHeight="1" ht="21" r="212" s="343" spans="1:45" thickBot="1">
      <c r="A212" s="331" t="s">
        <v>136</v>
      </c>
      <c r="B212" s="344" t="n"/>
      <c r="C212" s="344" t="n"/>
      <c r="D212" s="333" t="s">
        <v>36</v>
      </c>
      <c r="E212" s="557">
        <f>E4+E8+E12+E16+E20+E24+E28+E32+E36+E40+E44+E48+E52+E56+E60+E64+E68+E72+E76+E80+E84+E88+E92+E96+E100+E104+E108+E112+E116+E120+E124+E128+E132+E136+E140+E144+E148+E152+E156+E160+E164+E168+E172+E176+E180+E184+E188+E192+E196+E200+E204+E208</f>
        <v/>
      </c>
      <c r="F212" s="557">
        <f>F4+F8+F12+F16+F20+F24+F28+F32+F36+F40+F44+F48+F52+F56+F60+F64+F68+F72+F76+F80+F84+F88+F92+F96+F100+F104+F108+F112+F116+F120+F124+F128+F132+F136+F140+F144+F148+F152+F156+F160+F164+F168+F172+F176+F180+F184+F188+F192+F196+F200+F204+F208</f>
        <v/>
      </c>
      <c r="G212" s="335" t="n"/>
      <c r="H212" s="335" t="n"/>
      <c r="I212" s="557">
        <f>I4+I8+I12+I16+I20+I24+I28+I32+I36+I40+I44+I48+I52+I56+I60+I64+I68+I72+I76+I80+I84+I88+I92+I96+I100+I104+I108+I112+I116+I120+I124+I128+I132+I136+I140+I144+I148+I152+I156+I160+I164+I168+I172+I176+I180+I184+I188+I192+I196+I200+I204+I208</f>
        <v/>
      </c>
      <c r="J212" s="557">
        <f>J4+J8+J12+J16+J20+J24+J28+J32+J36+J40+J44+J48+J52+J56+J60+J64+J68+J72+J76+J80+J84+J88+J92+J96+J100+J104+J108+J112+J116+J120+J124+J128+J132+J136+J140+J144+J148+J152+J156+J160+J164+J168+J172+J176+J180+J184+J188+J192+J196+J200+J204+J208</f>
        <v/>
      </c>
      <c r="K212" s="335" t="n"/>
      <c r="L212" s="335" t="n"/>
      <c r="M212" s="558">
        <f>E212/I212</f>
        <v/>
      </c>
      <c r="N212" s="558" t="n"/>
      <c r="O212" s="337" t="n"/>
      <c r="P212" s="337" t="n"/>
      <c r="Q212" s="559">
        <f>Q4+Q8+Q12+Q16+Q20+Q24+Q28+Q32+Q36+Q40+Q44+Q48+Q52+Q56+Q60+Q64+Q68+Q72+Q76+Q80+Q84+Q88+Q92+Q96+Q100+Q104+Q108+Q112+Q116+Q120+Q124+Q128+Q132+Q136+Q140+Q144+Q148+Q152+Q156+Q160+Q164+Q168+Q172+Q176+Q180+Q184+Q188+Q192+Q196+Q200+Q204+Q208</f>
        <v/>
      </c>
      <c r="R212" s="559">
        <f>R4+R8+R12+R16+R20+R24+R28+R32+R36+R40+R44+R48+R52+R56+R60+R64+R68+R72+R76+R80+R84+R88+R92+R96+R100+R104+R108+R112+R116+R120+R124+R128+R132+R136+R140+R144+R148+R152+R156+R160+R164+R168+R172+R176+R180+R184+R188+R192+R196+R200+R204+R208</f>
        <v/>
      </c>
      <c r="S212" s="335" t="n"/>
      <c r="T212" s="335" t="n"/>
      <c r="U212" s="559">
        <f>U4+U8+U12+U16+U20+U24+U28+U32+U36+U40+U44+U48+U52+U56+U60+U64+U68+U72+U76+U80+U84+U88+U92+U96+U100+U104+U108+U112+U116+U120+U124+U128+U132+U136+U140+U144+U148+U152+U156+U160+U164+U168+U172+U176+U180+U184+U188+U192+U196+U200+U204+U208</f>
        <v/>
      </c>
      <c r="V212" s="559">
        <f>V4+V8+V12+V16+V20+V24+V28+V32+V36+V40+V44+V48+V52+V56+V60+V64+V68+V72+V76+V80+V84+V88+V92+V96+V100+V104+V108+V112+V116+V120+V124+V128+V132+V136+V140+V144+V148+V152+V156+V160+V164+V168+V172+V176+V180+V184+V188+V192+V196+V200+V204+V208</f>
        <v/>
      </c>
      <c r="W212" s="335" t="n"/>
      <c r="X212" s="335" t="n"/>
      <c r="Y212" s="339">
        <f>U212/Q212</f>
        <v/>
      </c>
      <c r="Z212" s="335" t="n"/>
      <c r="AA212" s="335" t="n"/>
      <c r="AB212" s="335" t="n"/>
      <c r="AC212" s="560">
        <f>E212/U212</f>
        <v/>
      </c>
      <c r="AD212" s="561" t="n"/>
      <c r="AE212" s="335" t="n"/>
      <c r="AF212" s="335" t="n"/>
      <c r="AG212" s="559">
        <f>AG4+AG8+AG12+AG16+AG20+AG24+AG28+AG32+AG36+AG40+AG44+AG48+AG52+AG56+AG60+AG64+AG68+AG72+AG76+AG80+AG84+AG88+AG92+AG96+AG100+AG104+AG108+AG112+AG116+AG120+AG124+AG128+AG132+AG136+AG140+AG144+AG148+AG152+AG156+AG160+AG164+AG168+AG172+AG176+AG180+AG184+AG188+AG192+AG196+AG200+AG204+AG208</f>
        <v/>
      </c>
      <c r="AH212" s="559">
        <f>AH4+AH8+AH12+AH16+AH20+AH24+AH28+AH32+AH36+AH40+AH44+AH48+AH52+AH56+AH60+AH64+AH68+AH72+AH76+AH80+AH84+AH88+AH92+AH96+AH100+AH104+AH108+AH112+AH116+AH120+AH124+AH128+AH132+AH136+AH140+AH144+AH148+AH152+AH156+AH160+AH164+AH168+AH172+AH176+AH180+AH184+AH188+AH192+AH196+AH200+AH204+AH208</f>
        <v/>
      </c>
      <c r="AI212" s="335" t="n"/>
      <c r="AJ212" s="335" t="n"/>
      <c r="AK212" s="559">
        <f>AK4+AK8+AK12+AK16+AK20+AK24+AK28+AK32+AK36+AK40+AK44+AK48+AK52+AK56+AK60+AK64+AK68+AK72+AK76+AK80+AK84+AK88+AK92+AK96+AK100+AK104+AK108+AK112+AK116+AK120+AK124+AK128+AK132+AK136+AK140+AK144+AK148+AK152+AK156+AK160+AK164+AK168+AK172+AK176+AK180+AK184+AK188+AK192+AK196+AK200+AK204+AK208</f>
        <v/>
      </c>
      <c r="AL212" s="559">
        <f>AL4+AL8+AL12+AL16+AL20+AL24+AL28+AL32+AL36+AL40+AL44+AL48+AL52+AL56+AL60+AL64+AL68+AL72+AL76+AL80+AL84+AL88+AL92+AL96+AL100+AL104+AL108+AL112+AL116+AL120+AL124+AL128+AL132+AL136+AL140+AL144+AL148+AL152+AL156+AL160+AL164+AL168+AL172+AL176+AL180+AL184+AL188+AL192+AL196+AL200+AL204+AL208</f>
        <v/>
      </c>
      <c r="AM212" s="335" t="n"/>
      <c r="AN212" s="335" t="n"/>
      <c r="AO212" s="335">
        <f>AG212/AK212</f>
        <v/>
      </c>
      <c r="AP212" s="335">
        <f>AH212/AL212</f>
        <v/>
      </c>
      <c r="AQ212" s="335" t="n"/>
      <c r="AR212" s="335" t="n"/>
      <c r="AS212" s="343" t="n"/>
    </row>
    <row customHeight="1" ht="15.75" r="213" s="452" spans="1:45">
      <c r="A213" s="44" t="n"/>
      <c r="B213" s="221" t="n"/>
      <c r="C213" s="221" t="n"/>
      <c r="D213" s="260" t="n"/>
      <c r="E213" s="535" t="n"/>
      <c r="F213" s="535" t="n"/>
      <c r="G213" s="282" t="n"/>
      <c r="H213" s="282" t="n"/>
      <c r="I213" s="535" t="n"/>
      <c r="J213" s="535" t="n"/>
      <c r="K213" s="282" t="n"/>
      <c r="L213" s="282" t="n"/>
      <c r="M213" s="536" t="n"/>
      <c r="N213" s="536" t="n"/>
      <c r="O213" s="282" t="n"/>
      <c r="P213" s="282" t="n"/>
      <c r="Q213" s="537" t="n"/>
      <c r="R213" s="537" t="n"/>
      <c r="S213" s="282" t="n"/>
      <c r="T213" s="282" t="n"/>
      <c r="U213" s="537" t="n"/>
      <c r="V213" s="537" t="n"/>
      <c r="W213" s="282" t="n"/>
      <c r="X213" s="282" t="n"/>
      <c r="Y213" s="282" t="n"/>
      <c r="Z213" s="282" t="n"/>
      <c r="AA213" s="282" t="n"/>
      <c r="AB213" s="282" t="n"/>
      <c r="AC213" s="529" t="n"/>
      <c r="AD213" s="537" t="n"/>
      <c r="AE213" s="282" t="n"/>
      <c r="AF213" s="282" t="n"/>
      <c r="AG213" s="537" t="n"/>
      <c r="AH213" s="537" t="n"/>
      <c r="AI213" s="282" t="n"/>
      <c r="AJ213" s="282" t="n"/>
      <c r="AK213" s="537" t="n"/>
      <c r="AL213" s="537" t="n"/>
      <c r="AM213" s="282" t="n"/>
      <c r="AN213" s="282" t="n"/>
      <c r="AO213" s="282" t="n"/>
      <c r="AP213" s="282" t="n"/>
      <c r="AQ213" s="282" t="n"/>
      <c r="AR213" s="282" t="n"/>
    </row>
    <row customHeight="1" ht="15.75" r="214" s="452" spans="1:45">
      <c r="A214" s="44" t="n"/>
      <c r="D214" s="260" t="n"/>
      <c r="E214" s="535" t="n"/>
      <c r="F214" s="535" t="n"/>
      <c r="G214" s="282" t="n"/>
      <c r="H214" s="282" t="n"/>
      <c r="I214" s="535" t="n"/>
      <c r="J214" s="535" t="n"/>
      <c r="K214" s="282" t="n"/>
      <c r="L214" s="282" t="n"/>
      <c r="M214" s="536" t="n"/>
      <c r="N214" s="536" t="n"/>
      <c r="O214" s="282" t="n"/>
      <c r="P214" s="282" t="n"/>
      <c r="Q214" s="537" t="n"/>
      <c r="R214" s="537" t="n"/>
      <c r="S214" s="282" t="n"/>
      <c r="T214" s="282" t="n"/>
      <c r="U214" s="537" t="n"/>
      <c r="V214" s="537" t="n"/>
      <c r="W214" s="282" t="n"/>
      <c r="X214" s="282" t="n"/>
      <c r="Y214" s="282" t="n"/>
      <c r="Z214" s="282" t="n"/>
      <c r="AA214" s="282" t="n"/>
      <c r="AB214" s="282" t="n"/>
      <c r="AC214" s="529" t="n"/>
      <c r="AD214" s="537" t="n"/>
      <c r="AE214" s="282" t="n"/>
      <c r="AF214" s="282" t="n"/>
      <c r="AG214" s="537" t="n"/>
      <c r="AH214" s="537" t="n"/>
      <c r="AI214" s="282" t="n"/>
      <c r="AJ214" s="282" t="n"/>
      <c r="AK214" s="537" t="n"/>
      <c r="AL214" s="537" t="n"/>
      <c r="AM214" s="282" t="n"/>
      <c r="AN214" s="282" t="n"/>
      <c r="AO214" s="282" t="n"/>
      <c r="AP214" s="282" t="n"/>
      <c r="AQ214" s="282" t="n"/>
      <c r="AR214" s="282" t="n"/>
    </row>
    <row customHeight="1" ht="15.75" r="215" s="452" spans="1:45">
      <c r="A215" s="44" t="n"/>
      <c r="B215" s="44" t="n"/>
      <c r="C215" s="46" t="n"/>
      <c r="E215" s="535" t="n"/>
      <c r="F215" s="535" t="n"/>
      <c r="G215" s="282" t="n"/>
      <c r="H215" s="282" t="n"/>
      <c r="I215" s="535" t="n"/>
      <c r="J215" s="535" t="n"/>
      <c r="K215" s="282" t="n"/>
      <c r="L215" s="282" t="n"/>
      <c r="M215" s="536" t="n"/>
      <c r="N215" s="536" t="n"/>
      <c r="O215" s="282" t="n"/>
      <c r="P215" s="282" t="n"/>
      <c r="Q215" s="537" t="n"/>
      <c r="R215" s="537" t="n"/>
      <c r="S215" s="282" t="n"/>
      <c r="T215" s="282" t="n"/>
      <c r="U215" s="537" t="n"/>
      <c r="V215" s="537" t="n"/>
      <c r="W215" s="282" t="n"/>
      <c r="X215" s="282" t="n"/>
      <c r="Y215" s="282" t="n"/>
      <c r="Z215" s="282" t="n"/>
      <c r="AA215" s="282" t="n"/>
      <c r="AB215" s="282" t="n"/>
      <c r="AC215" s="529" t="n"/>
      <c r="AD215" s="537" t="n"/>
      <c r="AE215" s="282" t="n"/>
      <c r="AF215" s="282" t="n"/>
      <c r="AG215" s="537" t="n"/>
      <c r="AH215" s="537" t="n"/>
      <c r="AI215" s="282" t="n"/>
      <c r="AJ215" s="282" t="n"/>
      <c r="AK215" s="537" t="n"/>
      <c r="AL215" s="537" t="n"/>
      <c r="AM215" s="282" t="n"/>
      <c r="AN215" s="282" t="n"/>
      <c r="AO215" s="282" t="n"/>
      <c r="AP215" s="282" t="n"/>
      <c r="AQ215" s="282" t="n"/>
      <c r="AR215" s="282" t="n"/>
    </row>
    <row customHeight="1" ht="15.75" r="216" s="452" spans="1:45">
      <c r="A216" s="44" t="n"/>
      <c r="B216" s="221" t="n"/>
      <c r="C216" s="221" t="n"/>
      <c r="D216" s="260" t="n"/>
      <c r="E216" s="535" t="n"/>
      <c r="F216" s="535" t="n"/>
      <c r="G216" s="282" t="n"/>
      <c r="H216" s="282" t="n"/>
      <c r="I216" s="535" t="n"/>
      <c r="J216" s="535" t="n"/>
      <c r="K216" s="282" t="n"/>
      <c r="L216" s="282" t="n"/>
      <c r="M216" s="536" t="n"/>
      <c r="N216" s="536" t="n"/>
      <c r="O216" s="282" t="n"/>
      <c r="P216" s="282" t="n"/>
      <c r="Q216" s="537" t="n"/>
      <c r="R216" s="537" t="n"/>
      <c r="S216" s="282" t="n"/>
      <c r="T216" s="282" t="n"/>
      <c r="U216" s="537" t="n"/>
      <c r="V216" s="537" t="n"/>
      <c r="W216" s="282" t="n"/>
      <c r="X216" s="282" t="n"/>
      <c r="Y216" s="282" t="n"/>
      <c r="Z216" s="282" t="n"/>
      <c r="AA216" s="282" t="n"/>
      <c r="AB216" s="282" t="n"/>
      <c r="AC216" s="529" t="n"/>
      <c r="AD216" s="537" t="n"/>
      <c r="AE216" s="282" t="n"/>
      <c r="AF216" s="282" t="n"/>
      <c r="AG216" s="537" t="n"/>
      <c r="AH216" s="537" t="n"/>
      <c r="AI216" s="282" t="n"/>
      <c r="AJ216" s="282" t="n"/>
      <c r="AK216" s="537" t="n"/>
      <c r="AL216" s="537" t="n"/>
      <c r="AM216" s="282" t="n"/>
      <c r="AN216" s="282" t="n"/>
      <c r="AO216" s="282" t="n"/>
      <c r="AP216" s="282" t="n"/>
      <c r="AQ216" s="282" t="n"/>
      <c r="AR216" s="282" t="n"/>
    </row>
    <row customHeight="1" ht="15.75" r="217" s="452" spans="1:45">
      <c r="A217" s="44" t="n"/>
      <c r="D217" s="260" t="n"/>
      <c r="E217" s="535" t="n"/>
      <c r="F217" s="535" t="n"/>
      <c r="G217" s="282" t="n"/>
      <c r="H217" s="282" t="n"/>
      <c r="I217" s="535" t="n"/>
      <c r="J217" s="535" t="n"/>
      <c r="K217" s="282" t="n"/>
      <c r="L217" s="282" t="n"/>
      <c r="M217" s="536" t="n"/>
      <c r="N217" s="536" t="n"/>
      <c r="O217" s="282" t="n"/>
      <c r="P217" s="282" t="n"/>
      <c r="Q217" s="537" t="n"/>
      <c r="R217" s="537" t="n"/>
      <c r="S217" s="282" t="n"/>
      <c r="T217" s="282" t="n"/>
      <c r="U217" s="537" t="n"/>
      <c r="V217" s="537" t="n"/>
      <c r="W217" s="282" t="n"/>
      <c r="X217" s="282" t="n"/>
      <c r="Y217" s="282" t="n"/>
      <c r="Z217" s="282" t="n"/>
      <c r="AA217" s="282" t="n"/>
      <c r="AB217" s="282" t="n"/>
      <c r="AC217" s="529" t="n"/>
      <c r="AD217" s="537" t="n"/>
      <c r="AE217" s="282" t="n"/>
      <c r="AF217" s="282" t="n"/>
      <c r="AG217" s="537" t="n"/>
      <c r="AH217" s="537" t="n"/>
      <c r="AI217" s="282" t="n"/>
      <c r="AJ217" s="282" t="n"/>
      <c r="AK217" s="537" t="n"/>
      <c r="AL217" s="537" t="n"/>
      <c r="AM217" s="282" t="n"/>
      <c r="AN217" s="282" t="n"/>
      <c r="AO217" s="282" t="n"/>
      <c r="AP217" s="282" t="n"/>
      <c r="AQ217" s="282" t="n"/>
      <c r="AR217" s="282" t="n"/>
    </row>
    <row customHeight="1" ht="15.75" r="218" s="452" spans="1:45">
      <c r="A218" s="44" t="n"/>
      <c r="B218" s="44" t="n"/>
      <c r="C218" s="46" t="n"/>
      <c r="D218" s="260" t="n"/>
      <c r="E218" s="535" t="n"/>
      <c r="F218" s="535" t="n"/>
      <c r="G218" s="282" t="n"/>
      <c r="H218" s="282" t="n"/>
      <c r="I218" s="535" t="n"/>
      <c r="J218" s="535" t="n"/>
      <c r="K218" s="282" t="n"/>
      <c r="L218" s="282" t="n"/>
      <c r="M218" s="536" t="n"/>
      <c r="N218" s="536" t="n"/>
      <c r="O218" s="282" t="n"/>
      <c r="P218" s="282" t="n"/>
      <c r="Q218" s="537" t="n"/>
      <c r="R218" s="537" t="n"/>
      <c r="S218" s="282" t="n"/>
      <c r="T218" s="282" t="n"/>
      <c r="U218" s="537" t="n"/>
      <c r="V218" s="537" t="n"/>
      <c r="W218" s="282" t="n"/>
      <c r="X218" s="282" t="n"/>
      <c r="Y218" s="282" t="n"/>
      <c r="Z218" s="282" t="n"/>
      <c r="AA218" s="282" t="n"/>
      <c r="AB218" s="282" t="n"/>
      <c r="AC218" s="529" t="n"/>
      <c r="AD218" s="537" t="n"/>
      <c r="AE218" s="282" t="n"/>
      <c r="AF218" s="282" t="n"/>
      <c r="AG218" s="537" t="n"/>
      <c r="AH218" s="537" t="n"/>
      <c r="AI218" s="282" t="n"/>
      <c r="AJ218" s="282" t="n"/>
      <c r="AK218" s="537" t="n"/>
      <c r="AL218" s="537" t="n"/>
      <c r="AM218" s="282" t="n"/>
      <c r="AN218" s="282" t="n"/>
      <c r="AO218" s="282" t="n"/>
      <c r="AP218" s="282" t="n"/>
      <c r="AQ218" s="282" t="n"/>
      <c r="AR218" s="282" t="n"/>
    </row>
    <row customHeight="1" ht="15.75" r="219" s="452" spans="1:45">
      <c r="A219" s="44" t="n"/>
      <c r="B219" s="221" t="n"/>
      <c r="C219" s="221" t="n"/>
      <c r="D219" s="260" t="n"/>
      <c r="E219" s="535" t="n"/>
      <c r="F219" s="535" t="n"/>
      <c r="G219" s="282" t="n"/>
      <c r="H219" s="282" t="n"/>
      <c r="I219" s="535" t="n"/>
      <c r="J219" s="535" t="n"/>
      <c r="K219" s="282" t="n"/>
      <c r="L219" s="282" t="n"/>
      <c r="M219" s="536" t="n"/>
      <c r="N219" s="536" t="n"/>
      <c r="O219" s="282" t="n"/>
      <c r="P219" s="282" t="n"/>
      <c r="Q219" s="537" t="n"/>
      <c r="R219" s="537" t="n"/>
      <c r="S219" s="282" t="n"/>
      <c r="T219" s="282" t="n"/>
      <c r="U219" s="537" t="n"/>
      <c r="V219" s="537" t="n"/>
      <c r="W219" s="282" t="n"/>
      <c r="X219" s="282" t="n"/>
      <c r="Y219" s="282" t="n"/>
      <c r="Z219" s="282" t="n"/>
      <c r="AA219" s="282" t="n"/>
      <c r="AB219" s="282" t="n"/>
      <c r="AC219" s="529" t="n"/>
      <c r="AD219" s="537" t="n"/>
      <c r="AE219" s="282" t="n"/>
      <c r="AF219" s="282" t="n"/>
      <c r="AG219" s="537" t="n"/>
      <c r="AH219" s="537" t="n"/>
      <c r="AI219" s="282" t="n"/>
      <c r="AJ219" s="282" t="n"/>
      <c r="AK219" s="537" t="n"/>
      <c r="AL219" s="537" t="n"/>
      <c r="AM219" s="282" t="n"/>
      <c r="AN219" s="282" t="n"/>
      <c r="AO219" s="282" t="n"/>
      <c r="AP219" s="282" t="n"/>
      <c r="AQ219" s="282" t="n"/>
      <c r="AR219" s="282" t="n"/>
    </row>
    <row customHeight="1" ht="15.75" r="220" s="452" spans="1:45">
      <c r="A220" s="44" t="n"/>
      <c r="D220" s="260" t="n"/>
      <c r="E220" s="535" t="n"/>
      <c r="F220" s="535" t="n"/>
      <c r="G220" s="282" t="n"/>
      <c r="H220" s="282" t="n"/>
      <c r="I220" s="535" t="n"/>
      <c r="J220" s="535" t="n"/>
      <c r="K220" s="282" t="n"/>
      <c r="L220" s="282" t="n"/>
      <c r="M220" s="536" t="n"/>
      <c r="N220" s="536" t="n"/>
      <c r="O220" s="282" t="n"/>
      <c r="P220" s="282" t="n"/>
      <c r="Q220" s="537" t="n"/>
      <c r="R220" s="537" t="n"/>
      <c r="S220" s="282" t="n"/>
      <c r="T220" s="282" t="n"/>
      <c r="U220" s="537" t="n"/>
      <c r="V220" s="537" t="n"/>
      <c r="W220" s="282" t="n"/>
      <c r="X220" s="282" t="n"/>
      <c r="Y220" s="282" t="n"/>
      <c r="Z220" s="282" t="n"/>
      <c r="AA220" s="282" t="n"/>
      <c r="AB220" s="282" t="n"/>
      <c r="AC220" s="529" t="n"/>
      <c r="AD220" s="537" t="n"/>
      <c r="AE220" s="282" t="n"/>
      <c r="AF220" s="282" t="n"/>
      <c r="AG220" s="537" t="n"/>
      <c r="AH220" s="537" t="n"/>
      <c r="AI220" s="282" t="n"/>
      <c r="AJ220" s="282" t="n"/>
      <c r="AK220" s="537" t="n"/>
      <c r="AL220" s="537" t="n"/>
      <c r="AM220" s="282" t="n"/>
      <c r="AN220" s="282" t="n"/>
      <c r="AO220" s="282" t="n"/>
      <c r="AP220" s="282" t="n"/>
      <c r="AQ220" s="282" t="n"/>
      <c r="AR220" s="282" t="n"/>
    </row>
    <row customHeight="1" ht="15.75" r="221" s="452" spans="1:45">
      <c r="A221" s="44" t="n"/>
      <c r="B221" s="44" t="n"/>
      <c r="C221" s="46" t="n"/>
      <c r="E221" s="535" t="n"/>
      <c r="F221" s="535" t="n"/>
      <c r="G221" s="282" t="n"/>
      <c r="H221" s="282" t="n"/>
      <c r="I221" s="535" t="n"/>
      <c r="J221" s="535" t="n"/>
      <c r="K221" s="282" t="n"/>
      <c r="L221" s="282" t="n"/>
      <c r="M221" s="536" t="n"/>
      <c r="N221" s="536" t="n"/>
      <c r="O221" s="282" t="n"/>
      <c r="P221" s="282" t="n"/>
      <c r="Q221" s="537" t="n"/>
      <c r="R221" s="537" t="n"/>
      <c r="S221" s="282" t="n"/>
      <c r="T221" s="282" t="n"/>
      <c r="U221" s="537" t="n"/>
      <c r="V221" s="537" t="n"/>
      <c r="W221" s="282" t="n"/>
      <c r="X221" s="282" t="n"/>
      <c r="Y221" s="282" t="n"/>
      <c r="Z221" s="282" t="n"/>
      <c r="AA221" s="282" t="n"/>
      <c r="AB221" s="282" t="n"/>
      <c r="AC221" s="529" t="n"/>
      <c r="AD221" s="537" t="n"/>
      <c r="AE221" s="282" t="n"/>
      <c r="AF221" s="282" t="n"/>
      <c r="AG221" s="537" t="n"/>
      <c r="AH221" s="537" t="n"/>
      <c r="AI221" s="282" t="n"/>
      <c r="AJ221" s="282" t="n"/>
      <c r="AK221" s="537" t="n"/>
      <c r="AL221" s="537" t="n"/>
      <c r="AM221" s="282" t="n"/>
      <c r="AN221" s="282" t="n"/>
      <c r="AO221" s="282" t="n"/>
      <c r="AP221" s="282" t="n"/>
      <c r="AQ221" s="282" t="n"/>
      <c r="AR221" s="282" t="n"/>
    </row>
    <row customHeight="1" ht="15.75" r="222" s="452" spans="1:45">
      <c r="A222" s="44" t="n"/>
      <c r="B222" s="221" t="n"/>
      <c r="C222" s="221" t="n"/>
      <c r="D222" s="260" t="n"/>
      <c r="E222" s="535" t="n"/>
      <c r="F222" s="535" t="n"/>
      <c r="G222" s="282" t="n"/>
      <c r="H222" s="282" t="n"/>
      <c r="I222" s="535" t="n"/>
      <c r="J222" s="535" t="n"/>
      <c r="K222" s="282" t="n"/>
      <c r="L222" s="282" t="n"/>
      <c r="M222" s="536" t="n"/>
      <c r="N222" s="536" t="n"/>
      <c r="O222" s="282" t="n"/>
      <c r="P222" s="282" t="n"/>
      <c r="Q222" s="537" t="n"/>
      <c r="R222" s="537" t="n"/>
      <c r="S222" s="282" t="n"/>
      <c r="T222" s="282" t="n"/>
      <c r="U222" s="537" t="n"/>
      <c r="V222" s="537" t="n"/>
      <c r="W222" s="282" t="n"/>
      <c r="X222" s="282" t="n"/>
      <c r="Y222" s="282" t="n"/>
      <c r="Z222" s="282" t="n"/>
      <c r="AA222" s="282" t="n"/>
      <c r="AB222" s="282" t="n"/>
      <c r="AC222" s="529" t="n"/>
      <c r="AD222" s="537" t="n"/>
      <c r="AE222" s="282" t="n"/>
      <c r="AF222" s="282" t="n"/>
      <c r="AG222" s="537" t="n"/>
      <c r="AH222" s="537" t="n"/>
      <c r="AI222" s="282" t="n"/>
      <c r="AJ222" s="282" t="n"/>
      <c r="AK222" s="537" t="n"/>
      <c r="AL222" s="537" t="n"/>
      <c r="AM222" s="282" t="n"/>
      <c r="AN222" s="282" t="n"/>
      <c r="AO222" s="282" t="n"/>
      <c r="AP222" s="282" t="n"/>
      <c r="AQ222" s="282" t="n"/>
      <c r="AR222" s="282" t="n"/>
    </row>
    <row customHeight="1" ht="15.75" r="223" s="452" spans="1:45">
      <c r="A223" s="44" t="n"/>
      <c r="D223" s="260" t="n"/>
      <c r="E223" s="535" t="n"/>
      <c r="F223" s="535" t="n"/>
      <c r="G223" s="282" t="n"/>
      <c r="H223" s="282" t="n"/>
      <c r="I223" s="535" t="n"/>
      <c r="J223" s="535" t="n"/>
      <c r="K223" s="282" t="n"/>
      <c r="L223" s="282" t="n"/>
      <c r="M223" s="536" t="n"/>
      <c r="N223" s="536" t="n"/>
      <c r="O223" s="282" t="n"/>
      <c r="P223" s="282" t="n"/>
      <c r="Q223" s="537" t="n"/>
      <c r="R223" s="537" t="n"/>
      <c r="S223" s="282" t="n"/>
      <c r="T223" s="282" t="n"/>
      <c r="U223" s="537" t="n"/>
      <c r="V223" s="537" t="n"/>
      <c r="W223" s="282" t="n"/>
      <c r="X223" s="282" t="n"/>
      <c r="Y223" s="282" t="n"/>
      <c r="Z223" s="282" t="n"/>
      <c r="AA223" s="282" t="n"/>
      <c r="AB223" s="282" t="n"/>
      <c r="AC223" s="529" t="n"/>
      <c r="AD223" s="537" t="n"/>
      <c r="AE223" s="282" t="n"/>
      <c r="AF223" s="282" t="n"/>
      <c r="AG223" s="537" t="n"/>
      <c r="AH223" s="537" t="n"/>
      <c r="AI223" s="282" t="n"/>
      <c r="AJ223" s="282" t="n"/>
      <c r="AK223" s="537" t="n"/>
      <c r="AL223" s="537" t="n"/>
      <c r="AM223" s="282" t="n"/>
      <c r="AN223" s="282" t="n"/>
      <c r="AO223" s="282" t="n"/>
      <c r="AP223" s="282" t="n"/>
      <c r="AQ223" s="282" t="n"/>
      <c r="AR223" s="282" t="n"/>
    </row>
    <row customHeight="1" ht="15.75" r="224" s="452" spans="1:45">
      <c r="A224" s="44" t="n"/>
      <c r="B224" s="44" t="n"/>
      <c r="C224" s="46" t="n"/>
      <c r="E224" s="535" t="n"/>
      <c r="F224" s="535" t="n"/>
      <c r="G224" s="282" t="n"/>
      <c r="H224" s="282" t="n"/>
      <c r="I224" s="535" t="n"/>
      <c r="J224" s="535" t="n"/>
      <c r="K224" s="282" t="n"/>
      <c r="L224" s="282" t="n"/>
      <c r="M224" s="536" t="n"/>
      <c r="N224" s="536" t="n"/>
      <c r="O224" s="282" t="n"/>
      <c r="P224" s="282" t="n"/>
      <c r="Q224" s="537" t="n"/>
      <c r="R224" s="537" t="n"/>
      <c r="S224" s="282" t="n"/>
      <c r="T224" s="282" t="n"/>
      <c r="U224" s="537" t="n"/>
      <c r="V224" s="537" t="n"/>
      <c r="W224" s="282" t="n"/>
      <c r="X224" s="282" t="n"/>
      <c r="Y224" s="282" t="n"/>
      <c r="Z224" s="282" t="n"/>
      <c r="AA224" s="282" t="n"/>
      <c r="AB224" s="282" t="n"/>
      <c r="AC224" s="529" t="n"/>
      <c r="AD224" s="537" t="n"/>
      <c r="AE224" s="282" t="n"/>
      <c r="AF224" s="282" t="n"/>
      <c r="AG224" s="537" t="n"/>
      <c r="AH224" s="537" t="n"/>
      <c r="AI224" s="282" t="n"/>
      <c r="AJ224" s="282" t="n"/>
      <c r="AK224" s="537" t="n"/>
      <c r="AL224" s="537" t="n"/>
      <c r="AM224" s="282" t="n"/>
      <c r="AN224" s="282" t="n"/>
      <c r="AO224" s="282" t="n"/>
      <c r="AP224" s="282" t="n"/>
      <c r="AQ224" s="282" t="n"/>
      <c r="AR224" s="282" t="n"/>
    </row>
    <row customHeight="1" ht="15.75" r="225" s="452" spans="1:45">
      <c r="A225" s="44" t="n"/>
      <c r="B225" s="221" t="n"/>
      <c r="C225" s="221" t="n"/>
      <c r="D225" s="260" t="n"/>
      <c r="E225" s="535" t="n"/>
      <c r="F225" s="535" t="n"/>
      <c r="G225" s="282" t="n"/>
      <c r="H225" s="282" t="n"/>
      <c r="I225" s="535" t="n"/>
      <c r="J225" s="535" t="n"/>
      <c r="K225" s="282" t="n"/>
      <c r="L225" s="282" t="n"/>
      <c r="M225" s="536" t="n"/>
      <c r="N225" s="536" t="n"/>
      <c r="O225" s="282" t="n"/>
      <c r="P225" s="282" t="n"/>
      <c r="Q225" s="537" t="n"/>
      <c r="R225" s="537" t="n"/>
      <c r="S225" s="282" t="n"/>
      <c r="T225" s="282" t="n"/>
      <c r="U225" s="537" t="n"/>
      <c r="V225" s="537" t="n"/>
      <c r="W225" s="282" t="n"/>
      <c r="X225" s="282" t="n"/>
      <c r="Y225" s="282" t="n"/>
      <c r="Z225" s="282" t="n"/>
      <c r="AA225" s="282" t="n"/>
      <c r="AB225" s="282" t="n"/>
      <c r="AC225" s="529" t="n"/>
      <c r="AD225" s="537" t="n"/>
      <c r="AE225" s="282" t="n"/>
      <c r="AF225" s="282" t="n"/>
      <c r="AG225" s="537" t="n"/>
      <c r="AH225" s="537" t="n"/>
      <c r="AI225" s="282" t="n"/>
      <c r="AJ225" s="282" t="n"/>
      <c r="AK225" s="537" t="n"/>
      <c r="AL225" s="537" t="n"/>
      <c r="AM225" s="282" t="n"/>
      <c r="AN225" s="282" t="n"/>
      <c r="AO225" s="282" t="n"/>
      <c r="AP225" s="282" t="n"/>
      <c r="AQ225" s="282" t="n"/>
      <c r="AR225" s="282" t="n"/>
    </row>
    <row customHeight="1" ht="15.75" r="226" s="452" spans="1:45">
      <c r="A226" s="44" t="n"/>
      <c r="D226" s="260" t="n"/>
      <c r="E226" s="535" t="n"/>
      <c r="F226" s="535" t="n"/>
      <c r="G226" s="282" t="n"/>
      <c r="H226" s="282" t="n"/>
      <c r="I226" s="535" t="n"/>
      <c r="J226" s="535" t="n"/>
      <c r="K226" s="282" t="n"/>
      <c r="L226" s="282" t="n"/>
      <c r="M226" s="536" t="n"/>
      <c r="N226" s="536" t="n"/>
      <c r="O226" s="282" t="n"/>
      <c r="P226" s="282" t="n"/>
      <c r="Q226" s="537" t="n"/>
      <c r="R226" s="537" t="n"/>
      <c r="S226" s="282" t="n"/>
      <c r="T226" s="282" t="n"/>
      <c r="U226" s="537" t="n"/>
      <c r="V226" s="537" t="n"/>
      <c r="W226" s="282" t="n"/>
      <c r="X226" s="282" t="n"/>
      <c r="Y226" s="282" t="n"/>
      <c r="Z226" s="282" t="n"/>
      <c r="AA226" s="282" t="n"/>
      <c r="AB226" s="282" t="n"/>
      <c r="AC226" s="529" t="n"/>
      <c r="AD226" s="537" t="n"/>
      <c r="AE226" s="282" t="n"/>
      <c r="AF226" s="282" t="n"/>
      <c r="AG226" s="537" t="n"/>
      <c r="AH226" s="537" t="n"/>
      <c r="AI226" s="282" t="n"/>
      <c r="AJ226" s="282" t="n"/>
      <c r="AK226" s="537" t="n"/>
      <c r="AL226" s="537" t="n"/>
      <c r="AM226" s="282" t="n"/>
      <c r="AN226" s="282" t="n"/>
      <c r="AO226" s="282" t="n"/>
      <c r="AP226" s="282" t="n"/>
      <c r="AQ226" s="282" t="n"/>
      <c r="AR226" s="282" t="n"/>
    </row>
    <row customHeight="1" ht="15.75" r="227" s="452" spans="1:45">
      <c r="A227" s="44" t="n"/>
      <c r="G227" s="282" t="n"/>
      <c r="H227" s="282" t="n"/>
      <c r="K227" s="282" t="n"/>
      <c r="L227" s="282" t="n"/>
      <c r="O227" s="282" t="n"/>
      <c r="P227" s="282" t="n"/>
      <c r="S227" s="282" t="n"/>
      <c r="T227" s="282" t="n"/>
      <c r="W227" s="282" t="n"/>
      <c r="X227" s="282" t="n"/>
      <c r="Y227" s="282" t="n"/>
      <c r="Z227" s="282" t="n"/>
      <c r="AA227" s="282" t="n"/>
      <c r="AB227" s="282" t="n"/>
      <c r="AC227" s="529" t="n"/>
      <c r="AE227" s="282" t="n"/>
      <c r="AF227" s="282" t="n"/>
      <c r="AI227" s="282" t="n"/>
      <c r="AJ227" s="282" t="n"/>
      <c r="AM227" s="282" t="n"/>
      <c r="AN227" s="282" t="n"/>
      <c r="AQ227" s="282" t="n"/>
      <c r="AR227" s="282" t="n"/>
    </row>
    <row customHeight="1" ht="15.75" r="228" s="452" spans="1:45">
      <c r="A228" s="44" t="n"/>
      <c r="G228" s="282" t="n"/>
      <c r="H228" s="282" t="n"/>
      <c r="K228" s="282" t="n"/>
      <c r="L228" s="282" t="n"/>
      <c r="O228" s="282" t="n"/>
      <c r="P228" s="282" t="n"/>
      <c r="S228" s="282" t="n"/>
      <c r="T228" s="282" t="n"/>
      <c r="W228" s="282" t="n"/>
      <c r="X228" s="282" t="n"/>
      <c r="Y228" s="282" t="n"/>
      <c r="Z228" s="282" t="n"/>
      <c r="AA228" s="282" t="n"/>
      <c r="AB228" s="282" t="n"/>
      <c r="AC228" s="529" t="n"/>
      <c r="AE228" s="282" t="n"/>
      <c r="AF228" s="282" t="n"/>
      <c r="AI228" s="282" t="n"/>
      <c r="AJ228" s="282" t="n"/>
      <c r="AM228" s="282" t="n"/>
      <c r="AN228" s="282" t="n"/>
      <c r="AQ228" s="282" t="n"/>
      <c r="AR228" s="282" t="n"/>
    </row>
    <row customHeight="1" ht="15.75" r="229" s="452" spans="1:45">
      <c r="A229" s="44" t="n"/>
      <c r="G229" s="282" t="n"/>
      <c r="H229" s="282" t="n"/>
      <c r="K229" s="282" t="n"/>
      <c r="L229" s="282" t="n"/>
      <c r="O229" s="282" t="n"/>
      <c r="P229" s="282" t="n"/>
      <c r="S229" s="282" t="n"/>
      <c r="T229" s="282" t="n"/>
      <c r="W229" s="282" t="n"/>
      <c r="X229" s="282" t="n"/>
      <c r="Y229" s="282" t="n"/>
      <c r="Z229" s="282" t="n"/>
      <c r="AA229" s="282" t="n"/>
      <c r="AB229" s="282" t="n"/>
      <c r="AC229" s="529" t="n"/>
      <c r="AE229" s="282" t="n"/>
      <c r="AF229" s="282" t="n"/>
      <c r="AI229" s="282" t="n"/>
      <c r="AJ229" s="282" t="n"/>
      <c r="AM229" s="282" t="n"/>
      <c r="AN229" s="282" t="n"/>
      <c r="AQ229" s="282" t="n"/>
      <c r="AR229" s="282" t="n"/>
    </row>
    <row customHeight="1" ht="15.75" r="230" s="452" spans="1:45">
      <c r="A230" s="44" t="n"/>
      <c r="G230" s="282" t="n"/>
      <c r="H230" s="282" t="n"/>
      <c r="K230" s="282" t="n"/>
      <c r="L230" s="282" t="n"/>
      <c r="O230" s="282" t="n"/>
      <c r="P230" s="282" t="n"/>
      <c r="S230" s="282" t="n"/>
      <c r="T230" s="282" t="n"/>
      <c r="W230" s="282" t="n"/>
      <c r="X230" s="282" t="n"/>
      <c r="Y230" s="282" t="n"/>
      <c r="Z230" s="282" t="n"/>
      <c r="AA230" s="282" t="n"/>
      <c r="AB230" s="282" t="n"/>
      <c r="AC230" s="529" t="n"/>
      <c r="AE230" s="282" t="n"/>
      <c r="AF230" s="282" t="n"/>
      <c r="AI230" s="282" t="n"/>
      <c r="AJ230" s="282" t="n"/>
      <c r="AM230" s="282" t="n"/>
      <c r="AN230" s="282" t="n"/>
      <c r="AQ230" s="282" t="n"/>
      <c r="AR230" s="282" t="n"/>
    </row>
    <row customHeight="1" ht="15.75" r="231" s="452" spans="1:45">
      <c r="A231" s="44" t="n"/>
      <c r="G231" s="282" t="n"/>
      <c r="H231" s="282" t="n"/>
      <c r="K231" s="282" t="n"/>
      <c r="L231" s="282" t="n"/>
      <c r="O231" s="282" t="n"/>
      <c r="P231" s="282" t="n"/>
      <c r="S231" s="282" t="n"/>
      <c r="T231" s="282" t="n"/>
      <c r="W231" s="282" t="n"/>
      <c r="X231" s="282" t="n"/>
      <c r="Y231" s="282" t="n"/>
      <c r="Z231" s="282" t="n"/>
      <c r="AA231" s="282" t="n"/>
      <c r="AB231" s="282" t="n"/>
      <c r="AC231" s="529" t="n"/>
      <c r="AE231" s="282" t="n"/>
      <c r="AF231" s="282" t="n"/>
      <c r="AI231" s="282" t="n"/>
      <c r="AJ231" s="282" t="n"/>
      <c r="AM231" s="282" t="n"/>
      <c r="AN231" s="282" t="n"/>
      <c r="AQ231" s="282" t="n"/>
      <c r="AR231" s="282" t="n"/>
    </row>
    <row customHeight="1" ht="15.75" r="232" s="452" spans="1:45">
      <c r="A232" s="44" t="n"/>
      <c r="G232" s="282" t="n"/>
      <c r="H232" s="282" t="n"/>
      <c r="K232" s="282" t="n"/>
      <c r="L232" s="282" t="n"/>
      <c r="O232" s="282" t="n"/>
      <c r="P232" s="282" t="n"/>
      <c r="S232" s="282" t="n"/>
      <c r="T232" s="282" t="n"/>
      <c r="W232" s="282" t="n"/>
      <c r="X232" s="282" t="n"/>
      <c r="Y232" s="282" t="n"/>
      <c r="Z232" s="282" t="n"/>
      <c r="AA232" s="282" t="n"/>
      <c r="AB232" s="282" t="n"/>
      <c r="AC232" s="529" t="n"/>
      <c r="AE232" s="282" t="n"/>
      <c r="AF232" s="282" t="n"/>
      <c r="AI232" s="282" t="n"/>
      <c r="AJ232" s="282" t="n"/>
      <c r="AM232" s="282" t="n"/>
      <c r="AN232" s="282" t="n"/>
      <c r="AQ232" s="282" t="n"/>
      <c r="AR232" s="282" t="n"/>
    </row>
    <row customHeight="1" ht="15.75" r="233" s="452" spans="1:45">
      <c r="A233" s="44" t="n"/>
      <c r="G233" s="282" t="n"/>
      <c r="H233" s="282" t="n"/>
      <c r="K233" s="282" t="n"/>
      <c r="L233" s="282" t="n"/>
      <c r="O233" s="282" t="n"/>
      <c r="P233" s="282" t="n"/>
      <c r="S233" s="282" t="n"/>
      <c r="T233" s="282" t="n"/>
      <c r="W233" s="282" t="n"/>
      <c r="X233" s="282" t="n"/>
      <c r="Y233" s="282" t="n"/>
      <c r="Z233" s="282" t="n"/>
      <c r="AA233" s="282" t="n"/>
      <c r="AB233" s="282" t="n"/>
      <c r="AC233" s="529" t="n"/>
      <c r="AE233" s="282" t="n"/>
      <c r="AF233" s="282" t="n"/>
      <c r="AI233" s="282" t="n"/>
      <c r="AJ233" s="282" t="n"/>
      <c r="AM233" s="282" t="n"/>
      <c r="AN233" s="282" t="n"/>
      <c r="AQ233" s="282" t="n"/>
      <c r="AR233" s="282" t="n"/>
    </row>
    <row customHeight="1" ht="15.75" r="234" s="452" spans="1:45">
      <c r="A234" s="44" t="n"/>
      <c r="G234" s="282" t="n"/>
      <c r="H234" s="282" t="n"/>
      <c r="K234" s="282" t="n"/>
      <c r="L234" s="282" t="n"/>
      <c r="O234" s="282" t="n"/>
      <c r="P234" s="282" t="n"/>
      <c r="S234" s="282" t="n"/>
      <c r="T234" s="282" t="n"/>
      <c r="W234" s="282" t="n"/>
      <c r="X234" s="282" t="n"/>
      <c r="Y234" s="282" t="n"/>
      <c r="Z234" s="282" t="n"/>
      <c r="AA234" s="282" t="n"/>
      <c r="AB234" s="282" t="n"/>
      <c r="AC234" s="529" t="n"/>
      <c r="AE234" s="282" t="n"/>
      <c r="AF234" s="282" t="n"/>
      <c r="AI234" s="282" t="n"/>
      <c r="AJ234" s="282" t="n"/>
      <c r="AM234" s="282" t="n"/>
      <c r="AN234" s="282" t="n"/>
      <c r="AQ234" s="282" t="n"/>
      <c r="AR234" s="282" t="n"/>
    </row>
    <row customHeight="1" ht="15.75" r="235" s="452" spans="1:45">
      <c r="A235" s="44" t="n"/>
      <c r="G235" s="282" t="n"/>
      <c r="H235" s="282" t="n"/>
      <c r="K235" s="282" t="n"/>
      <c r="L235" s="282" t="n"/>
      <c r="O235" s="282" t="n"/>
      <c r="P235" s="282" t="n"/>
      <c r="S235" s="282" t="n"/>
      <c r="T235" s="282" t="n"/>
      <c r="W235" s="282" t="n"/>
      <c r="X235" s="282" t="n"/>
      <c r="Y235" s="282" t="n"/>
      <c r="Z235" s="282" t="n"/>
      <c r="AA235" s="282" t="n"/>
      <c r="AB235" s="282" t="n"/>
      <c r="AC235" s="529" t="n"/>
      <c r="AE235" s="282" t="n"/>
      <c r="AF235" s="282" t="n"/>
      <c r="AI235" s="282" t="n"/>
      <c r="AJ235" s="282" t="n"/>
      <c r="AM235" s="282" t="n"/>
      <c r="AN235" s="282" t="n"/>
      <c r="AQ235" s="282" t="n"/>
      <c r="AR235" s="282" t="n"/>
    </row>
    <row customHeight="1" ht="15.75" r="236" s="452" spans="1:45">
      <c r="A236" s="44" t="n"/>
      <c r="G236" s="282" t="n"/>
      <c r="H236" s="282" t="n"/>
      <c r="K236" s="282" t="n"/>
      <c r="L236" s="282" t="n"/>
      <c r="O236" s="282" t="n"/>
      <c r="P236" s="282" t="n"/>
      <c r="S236" s="282" t="n"/>
      <c r="T236" s="282" t="n"/>
      <c r="W236" s="282" t="n"/>
      <c r="X236" s="282" t="n"/>
      <c r="Y236" s="282" t="n"/>
      <c r="Z236" s="282" t="n"/>
      <c r="AA236" s="282" t="n"/>
      <c r="AB236" s="282" t="n"/>
      <c r="AC236" s="529" t="n"/>
      <c r="AE236" s="282" t="n"/>
      <c r="AF236" s="282" t="n"/>
      <c r="AI236" s="282" t="n"/>
      <c r="AJ236" s="282" t="n"/>
      <c r="AM236" s="282" t="n"/>
      <c r="AN236" s="282" t="n"/>
      <c r="AQ236" s="282" t="n"/>
      <c r="AR236" s="282" t="n"/>
    </row>
    <row customHeight="1" ht="15.75" r="237" s="452" spans="1:45">
      <c r="A237" s="44" t="n"/>
      <c r="G237" s="282" t="n"/>
      <c r="H237" s="282" t="n"/>
      <c r="K237" s="282" t="n"/>
      <c r="L237" s="282" t="n"/>
      <c r="O237" s="282" t="n"/>
      <c r="P237" s="282" t="n"/>
      <c r="S237" s="282" t="n"/>
      <c r="T237" s="282" t="n"/>
      <c r="W237" s="282" t="n"/>
      <c r="X237" s="282" t="n"/>
      <c r="Y237" s="282" t="n"/>
      <c r="Z237" s="282" t="n"/>
      <c r="AA237" s="282" t="n"/>
      <c r="AB237" s="282" t="n"/>
      <c r="AC237" s="529" t="n"/>
      <c r="AE237" s="282" t="n"/>
      <c r="AF237" s="282" t="n"/>
      <c r="AI237" s="282" t="n"/>
      <c r="AJ237" s="282" t="n"/>
      <c r="AM237" s="282" t="n"/>
      <c r="AN237" s="282" t="n"/>
      <c r="AQ237" s="282" t="n"/>
      <c r="AR237" s="282" t="n"/>
    </row>
    <row customHeight="1" ht="15.75" r="238" s="452" spans="1:45">
      <c r="A238" s="44" t="n"/>
      <c r="G238" s="282" t="n"/>
      <c r="H238" s="282" t="n"/>
      <c r="K238" s="282" t="n"/>
      <c r="L238" s="282" t="n"/>
      <c r="O238" s="282" t="n"/>
      <c r="P238" s="282" t="n"/>
      <c r="S238" s="282" t="n"/>
      <c r="T238" s="282" t="n"/>
      <c r="W238" s="282" t="n"/>
      <c r="X238" s="282" t="n"/>
      <c r="Y238" s="282" t="n"/>
      <c r="Z238" s="282" t="n"/>
      <c r="AA238" s="282" t="n"/>
      <c r="AB238" s="282" t="n"/>
      <c r="AC238" s="529" t="n"/>
      <c r="AE238" s="282" t="n"/>
      <c r="AF238" s="282" t="n"/>
      <c r="AI238" s="282" t="n"/>
      <c r="AJ238" s="282" t="n"/>
      <c r="AM238" s="282" t="n"/>
      <c r="AN238" s="282" t="n"/>
      <c r="AQ238" s="282" t="n"/>
      <c r="AR238" s="282" t="n"/>
    </row>
    <row customHeight="1" ht="15.75" r="239" s="452" spans="1:45">
      <c r="A239" s="44" t="n"/>
      <c r="G239" s="282" t="n"/>
      <c r="H239" s="282" t="n"/>
      <c r="K239" s="282" t="n"/>
      <c r="L239" s="282" t="n"/>
      <c r="O239" s="282" t="n"/>
      <c r="P239" s="282" t="n"/>
      <c r="S239" s="282" t="n"/>
      <c r="T239" s="282" t="n"/>
      <c r="W239" s="282" t="n"/>
      <c r="X239" s="282" t="n"/>
      <c r="Y239" s="282" t="n"/>
      <c r="Z239" s="282" t="n"/>
      <c r="AA239" s="282" t="n"/>
      <c r="AB239" s="282" t="n"/>
      <c r="AC239" s="529" t="n"/>
      <c r="AE239" s="282" t="n"/>
      <c r="AF239" s="282" t="n"/>
      <c r="AI239" s="282" t="n"/>
      <c r="AJ239" s="282" t="n"/>
      <c r="AM239" s="282" t="n"/>
      <c r="AN239" s="282" t="n"/>
      <c r="AQ239" s="282" t="n"/>
      <c r="AR239" s="282" t="n"/>
    </row>
    <row customHeight="1" ht="15.75" r="240" s="452" spans="1:45">
      <c r="A240" s="44" t="n"/>
      <c r="G240" s="282" t="n"/>
      <c r="H240" s="282" t="n"/>
      <c r="K240" s="282" t="n"/>
      <c r="L240" s="282" t="n"/>
      <c r="O240" s="282" t="n"/>
      <c r="P240" s="282" t="n"/>
      <c r="S240" s="282" t="n"/>
      <c r="T240" s="282" t="n"/>
      <c r="W240" s="282" t="n"/>
      <c r="X240" s="282" t="n"/>
      <c r="Y240" s="282" t="n"/>
      <c r="Z240" s="282" t="n"/>
      <c r="AA240" s="282" t="n"/>
      <c r="AB240" s="282" t="n"/>
      <c r="AC240" s="529" t="n"/>
      <c r="AE240" s="282" t="n"/>
      <c r="AF240" s="282" t="n"/>
      <c r="AI240" s="282" t="n"/>
      <c r="AJ240" s="282" t="n"/>
      <c r="AM240" s="282" t="n"/>
      <c r="AN240" s="282" t="n"/>
      <c r="AQ240" s="282" t="n"/>
      <c r="AR240" s="282" t="n"/>
    </row>
    <row customHeight="1" ht="15.75" r="241" s="452" spans="1:45">
      <c r="A241" s="44" t="n"/>
      <c r="G241" s="282" t="n"/>
      <c r="H241" s="282" t="n"/>
      <c r="K241" s="282" t="n"/>
      <c r="L241" s="282" t="n"/>
      <c r="O241" s="282" t="n"/>
      <c r="P241" s="282" t="n"/>
      <c r="S241" s="282" t="n"/>
      <c r="T241" s="282" t="n"/>
      <c r="W241" s="282" t="n"/>
      <c r="X241" s="282" t="n"/>
      <c r="Y241" s="282" t="n"/>
      <c r="Z241" s="282" t="n"/>
      <c r="AA241" s="282" t="n"/>
      <c r="AB241" s="282" t="n"/>
      <c r="AC241" s="529" t="n"/>
      <c r="AE241" s="282" t="n"/>
      <c r="AF241" s="282" t="n"/>
      <c r="AI241" s="282" t="n"/>
      <c r="AJ241" s="282" t="n"/>
      <c r="AM241" s="282" t="n"/>
      <c r="AN241" s="282" t="n"/>
      <c r="AQ241" s="282" t="n"/>
      <c r="AR241" s="282" t="n"/>
    </row>
    <row customHeight="1" ht="15.75" r="242" s="452" spans="1:45">
      <c r="A242" s="44" t="n"/>
      <c r="G242" s="282" t="n"/>
      <c r="H242" s="282" t="n"/>
      <c r="K242" s="282" t="n"/>
      <c r="L242" s="282" t="n"/>
      <c r="O242" s="282" t="n"/>
      <c r="P242" s="282" t="n"/>
      <c r="S242" s="282" t="n"/>
      <c r="T242" s="282" t="n"/>
      <c r="W242" s="282" t="n"/>
      <c r="X242" s="282" t="n"/>
      <c r="Y242" s="282" t="n"/>
      <c r="Z242" s="282" t="n"/>
      <c r="AA242" s="282" t="n"/>
      <c r="AB242" s="282" t="n"/>
      <c r="AC242" s="529" t="n"/>
      <c r="AE242" s="282" t="n"/>
      <c r="AF242" s="282" t="n"/>
      <c r="AI242" s="282" t="n"/>
      <c r="AJ242" s="282" t="n"/>
      <c r="AM242" s="282" t="n"/>
      <c r="AN242" s="282" t="n"/>
      <c r="AQ242" s="282" t="n"/>
      <c r="AR242" s="282" t="n"/>
    </row>
    <row customHeight="1" ht="15.75" r="243" s="452" spans="1:45">
      <c r="A243" s="44" t="n"/>
      <c r="G243" s="282" t="n"/>
      <c r="H243" s="282" t="n"/>
      <c r="K243" s="282" t="n"/>
      <c r="L243" s="282" t="n"/>
      <c r="O243" s="282" t="n"/>
      <c r="P243" s="282" t="n"/>
      <c r="S243" s="282" t="n"/>
      <c r="T243" s="282" t="n"/>
      <c r="W243" s="282" t="n"/>
      <c r="X243" s="282" t="n"/>
      <c r="Y243" s="282" t="n"/>
      <c r="Z243" s="282" t="n"/>
      <c r="AA243" s="282" t="n"/>
      <c r="AB243" s="282" t="n"/>
      <c r="AC243" s="529" t="n"/>
      <c r="AE243" s="282" t="n"/>
      <c r="AF243" s="282" t="n"/>
      <c r="AI243" s="282" t="n"/>
      <c r="AJ243" s="282" t="n"/>
      <c r="AM243" s="282" t="n"/>
      <c r="AN243" s="282" t="n"/>
      <c r="AQ243" s="282" t="n"/>
      <c r="AR243" s="282" t="n"/>
    </row>
    <row customHeight="1" ht="15.75" r="244" s="452" spans="1:45">
      <c r="A244" s="44" t="n"/>
      <c r="G244" s="282" t="n"/>
      <c r="H244" s="282" t="n"/>
      <c r="K244" s="282" t="n"/>
      <c r="L244" s="282" t="n"/>
      <c r="O244" s="282" t="n"/>
      <c r="P244" s="282" t="n"/>
      <c r="S244" s="282" t="n"/>
      <c r="T244" s="282" t="n"/>
      <c r="W244" s="282" t="n"/>
      <c r="X244" s="282" t="n"/>
      <c r="Y244" s="282" t="n"/>
      <c r="Z244" s="282" t="n"/>
      <c r="AA244" s="282" t="n"/>
      <c r="AB244" s="282" t="n"/>
      <c r="AC244" s="529" t="n"/>
      <c r="AE244" s="282" t="n"/>
      <c r="AF244" s="282" t="n"/>
      <c r="AI244" s="282" t="n"/>
      <c r="AJ244" s="282" t="n"/>
      <c r="AM244" s="282" t="n"/>
      <c r="AN244" s="282" t="n"/>
      <c r="AQ244" s="282" t="n"/>
      <c r="AR244" s="282" t="n"/>
    </row>
    <row customHeight="1" ht="15.75" r="245" s="452" spans="1:45">
      <c r="A245" s="44" t="n"/>
      <c r="G245" s="282" t="n"/>
      <c r="H245" s="282" t="n"/>
      <c r="K245" s="282" t="n"/>
      <c r="L245" s="282" t="n"/>
      <c r="O245" s="282" t="n"/>
      <c r="P245" s="282" t="n"/>
      <c r="S245" s="282" t="n"/>
      <c r="T245" s="282" t="n"/>
      <c r="W245" s="282" t="n"/>
      <c r="X245" s="282" t="n"/>
      <c r="Y245" s="282" t="n"/>
      <c r="Z245" s="282" t="n"/>
      <c r="AA245" s="282" t="n"/>
      <c r="AB245" s="282" t="n"/>
      <c r="AC245" s="529" t="n"/>
      <c r="AE245" s="282" t="n"/>
      <c r="AF245" s="282" t="n"/>
      <c r="AI245" s="282" t="n"/>
      <c r="AJ245" s="282" t="n"/>
      <c r="AM245" s="282" t="n"/>
      <c r="AN245" s="282" t="n"/>
      <c r="AQ245" s="282" t="n"/>
      <c r="AR245" s="282" t="n"/>
    </row>
    <row customHeight="1" ht="15.75" r="246" s="452" spans="1:45">
      <c r="A246" s="44" t="n"/>
      <c r="G246" s="282" t="n"/>
      <c r="H246" s="282" t="n"/>
      <c r="K246" s="282" t="n"/>
      <c r="L246" s="282" t="n"/>
      <c r="O246" s="282" t="n"/>
      <c r="P246" s="282" t="n"/>
      <c r="S246" s="282" t="n"/>
      <c r="T246" s="282" t="n"/>
      <c r="W246" s="282" t="n"/>
      <c r="X246" s="282" t="n"/>
      <c r="Y246" s="282" t="n"/>
      <c r="Z246" s="282" t="n"/>
      <c r="AA246" s="282" t="n"/>
      <c r="AB246" s="282" t="n"/>
      <c r="AC246" s="529" t="n"/>
      <c r="AE246" s="282" t="n"/>
      <c r="AF246" s="282" t="n"/>
      <c r="AI246" s="282" t="n"/>
      <c r="AJ246" s="282" t="n"/>
      <c r="AM246" s="282" t="n"/>
      <c r="AN246" s="282" t="n"/>
      <c r="AQ246" s="282" t="n"/>
      <c r="AR246" s="282" t="n"/>
    </row>
    <row customHeight="1" ht="15.75" r="247" s="452" spans="1:45">
      <c r="A247" s="44" t="n"/>
      <c r="G247" s="282" t="n"/>
      <c r="H247" s="282" t="n"/>
      <c r="K247" s="282" t="n"/>
      <c r="L247" s="282" t="n"/>
      <c r="O247" s="282" t="n"/>
      <c r="P247" s="282" t="n"/>
      <c r="S247" s="282" t="n"/>
      <c r="T247" s="282" t="n"/>
      <c r="W247" s="282" t="n"/>
      <c r="X247" s="282" t="n"/>
      <c r="Y247" s="282" t="n"/>
      <c r="Z247" s="282" t="n"/>
      <c r="AA247" s="282" t="n"/>
      <c r="AB247" s="282" t="n"/>
      <c r="AC247" s="529" t="n"/>
      <c r="AE247" s="282" t="n"/>
      <c r="AF247" s="282" t="n"/>
      <c r="AI247" s="282" t="n"/>
      <c r="AJ247" s="282" t="n"/>
      <c r="AM247" s="282" t="n"/>
      <c r="AN247" s="282" t="n"/>
      <c r="AQ247" s="282" t="n"/>
      <c r="AR247" s="282" t="n"/>
    </row>
    <row customHeight="1" ht="15.75" r="248" s="452" spans="1:45">
      <c r="A248" s="44" t="n"/>
      <c r="G248" s="282" t="n"/>
      <c r="H248" s="282" t="n"/>
      <c r="K248" s="282" t="n"/>
      <c r="L248" s="282" t="n"/>
      <c r="O248" s="282" t="n"/>
      <c r="P248" s="282" t="n"/>
      <c r="S248" s="282" t="n"/>
      <c r="T248" s="282" t="n"/>
      <c r="W248" s="282" t="n"/>
      <c r="X248" s="282" t="n"/>
      <c r="Y248" s="282" t="n"/>
      <c r="Z248" s="282" t="n"/>
      <c r="AA248" s="282" t="n"/>
      <c r="AB248" s="282" t="n"/>
      <c r="AC248" s="529" t="n"/>
      <c r="AE248" s="282" t="n"/>
      <c r="AF248" s="282" t="n"/>
      <c r="AI248" s="282" t="n"/>
      <c r="AJ248" s="282" t="n"/>
      <c r="AM248" s="282" t="n"/>
      <c r="AN248" s="282" t="n"/>
      <c r="AQ248" s="282" t="n"/>
      <c r="AR248" s="282" t="n"/>
    </row>
    <row customHeight="1" ht="15.75" r="249" s="452" spans="1:45">
      <c r="A249" s="44" t="n"/>
      <c r="G249" s="282" t="n"/>
      <c r="H249" s="282" t="n"/>
      <c r="K249" s="282" t="n"/>
      <c r="L249" s="282" t="n"/>
      <c r="O249" s="282" t="n"/>
      <c r="P249" s="282" t="n"/>
      <c r="S249" s="282" t="n"/>
      <c r="T249" s="282" t="n"/>
      <c r="W249" s="282" t="n"/>
      <c r="X249" s="282" t="n"/>
      <c r="Y249" s="282" t="n"/>
      <c r="Z249" s="282" t="n"/>
      <c r="AA249" s="282" t="n"/>
      <c r="AB249" s="282" t="n"/>
      <c r="AC249" s="529" t="n"/>
      <c r="AE249" s="282" t="n"/>
      <c r="AF249" s="282" t="n"/>
      <c r="AI249" s="282" t="n"/>
      <c r="AJ249" s="282" t="n"/>
      <c r="AM249" s="282" t="n"/>
      <c r="AN249" s="282" t="n"/>
      <c r="AQ249" s="282" t="n"/>
      <c r="AR249" s="282" t="n"/>
    </row>
    <row customHeight="1" ht="15.75" r="250" s="452" spans="1:45">
      <c r="A250" s="44" t="n"/>
      <c r="G250" s="282" t="n"/>
      <c r="H250" s="282" t="n"/>
      <c r="K250" s="282" t="n"/>
      <c r="L250" s="282" t="n"/>
      <c r="O250" s="282" t="n"/>
      <c r="P250" s="282" t="n"/>
      <c r="S250" s="282" t="n"/>
      <c r="T250" s="282" t="n"/>
      <c r="W250" s="282" t="n"/>
      <c r="X250" s="282" t="n"/>
      <c r="Y250" s="282" t="n"/>
      <c r="Z250" s="282" t="n"/>
      <c r="AA250" s="282" t="n"/>
      <c r="AB250" s="282" t="n"/>
      <c r="AC250" s="529" t="n"/>
      <c r="AE250" s="282" t="n"/>
      <c r="AF250" s="282" t="n"/>
      <c r="AI250" s="282" t="n"/>
      <c r="AJ250" s="282" t="n"/>
      <c r="AM250" s="282" t="n"/>
      <c r="AN250" s="282" t="n"/>
      <c r="AQ250" s="282" t="n"/>
      <c r="AR250" s="282" t="n"/>
    </row>
    <row customHeight="1" ht="15.75" r="251" s="452" spans="1:45">
      <c r="A251" s="44" t="n"/>
      <c r="G251" s="282" t="n"/>
      <c r="H251" s="282" t="n"/>
      <c r="K251" s="282" t="n"/>
      <c r="L251" s="282" t="n"/>
      <c r="O251" s="282" t="n"/>
      <c r="P251" s="282" t="n"/>
      <c r="S251" s="282" t="n"/>
      <c r="T251" s="282" t="n"/>
      <c r="W251" s="282" t="n"/>
      <c r="X251" s="282" t="n"/>
      <c r="Y251" s="282" t="n"/>
      <c r="Z251" s="282" t="n"/>
      <c r="AA251" s="282" t="n"/>
      <c r="AB251" s="282" t="n"/>
      <c r="AC251" s="529" t="n"/>
      <c r="AE251" s="282" t="n"/>
      <c r="AF251" s="282" t="n"/>
      <c r="AI251" s="282" t="n"/>
      <c r="AJ251" s="282" t="n"/>
      <c r="AM251" s="282" t="n"/>
      <c r="AN251" s="282" t="n"/>
      <c r="AQ251" s="282" t="n"/>
      <c r="AR251" s="282" t="n"/>
    </row>
    <row customHeight="1" ht="15.75" r="252" s="452" spans="1:45">
      <c r="A252" s="44" t="n"/>
      <c r="G252" s="282" t="n"/>
      <c r="H252" s="282" t="n"/>
      <c r="K252" s="282" t="n"/>
      <c r="L252" s="282" t="n"/>
      <c r="O252" s="282" t="n"/>
      <c r="P252" s="282" t="n"/>
      <c r="S252" s="282" t="n"/>
      <c r="T252" s="282" t="n"/>
      <c r="W252" s="282" t="n"/>
      <c r="X252" s="282" t="n"/>
      <c r="Y252" s="282" t="n"/>
      <c r="Z252" s="282" t="n"/>
      <c r="AA252" s="282" t="n"/>
      <c r="AB252" s="282" t="n"/>
      <c r="AC252" s="529" t="n"/>
      <c r="AE252" s="282" t="n"/>
      <c r="AF252" s="282" t="n"/>
      <c r="AI252" s="282" t="n"/>
      <c r="AJ252" s="282" t="n"/>
      <c r="AM252" s="282" t="n"/>
      <c r="AN252" s="282" t="n"/>
      <c r="AQ252" s="282" t="n"/>
      <c r="AR252" s="282" t="n"/>
    </row>
    <row customHeight="1" ht="15.75" r="253" s="452" spans="1:45">
      <c r="A253" s="44" t="n"/>
      <c r="G253" s="282" t="n"/>
      <c r="H253" s="282" t="n"/>
      <c r="K253" s="282" t="n"/>
      <c r="L253" s="282" t="n"/>
      <c r="O253" s="282" t="n"/>
      <c r="P253" s="282" t="n"/>
      <c r="S253" s="282" t="n"/>
      <c r="T253" s="282" t="n"/>
      <c r="W253" s="282" t="n"/>
      <c r="X253" s="282" t="n"/>
      <c r="Y253" s="282" t="n"/>
      <c r="Z253" s="282" t="n"/>
      <c r="AA253" s="282" t="n"/>
      <c r="AB253" s="282" t="n"/>
      <c r="AC253" s="529" t="n"/>
      <c r="AE253" s="282" t="n"/>
      <c r="AF253" s="282" t="n"/>
      <c r="AI253" s="282" t="n"/>
      <c r="AJ253" s="282" t="n"/>
      <c r="AM253" s="282" t="n"/>
      <c r="AN253" s="282" t="n"/>
      <c r="AQ253" s="282" t="n"/>
      <c r="AR253" s="282" t="n"/>
    </row>
    <row customHeight="1" ht="15.75" r="254" s="452" spans="1:45">
      <c r="A254" s="44" t="n"/>
      <c r="G254" s="282" t="n"/>
      <c r="H254" s="282" t="n"/>
      <c r="K254" s="282" t="n"/>
      <c r="L254" s="282" t="n"/>
      <c r="O254" s="282" t="n"/>
      <c r="P254" s="282" t="n"/>
      <c r="S254" s="282" t="n"/>
      <c r="T254" s="282" t="n"/>
      <c r="W254" s="282" t="n"/>
      <c r="X254" s="282" t="n"/>
      <c r="Y254" s="282" t="n"/>
      <c r="Z254" s="282" t="n"/>
      <c r="AA254" s="282" t="n"/>
      <c r="AB254" s="282" t="n"/>
      <c r="AC254" s="529" t="n"/>
      <c r="AE254" s="282" t="n"/>
      <c r="AF254" s="282" t="n"/>
      <c r="AI254" s="282" t="n"/>
      <c r="AJ254" s="282" t="n"/>
      <c r="AM254" s="282" t="n"/>
      <c r="AN254" s="282" t="n"/>
      <c r="AQ254" s="282" t="n"/>
      <c r="AR254" s="282" t="n"/>
    </row>
    <row customHeight="1" ht="15.75" r="255" s="452" spans="1:45">
      <c r="A255" s="44" t="n"/>
      <c r="G255" s="282" t="n"/>
      <c r="H255" s="282" t="n"/>
      <c r="K255" s="282" t="n"/>
      <c r="L255" s="282" t="n"/>
      <c r="O255" s="282" t="n"/>
      <c r="P255" s="282" t="n"/>
      <c r="S255" s="282" t="n"/>
      <c r="T255" s="282" t="n"/>
      <c r="W255" s="282" t="n"/>
      <c r="X255" s="282" t="n"/>
      <c r="Y255" s="282" t="n"/>
      <c r="Z255" s="282" t="n"/>
      <c r="AA255" s="282" t="n"/>
      <c r="AB255" s="282" t="n"/>
      <c r="AC255" s="529" t="n"/>
      <c r="AE255" s="282" t="n"/>
      <c r="AF255" s="282" t="n"/>
      <c r="AI255" s="282" t="n"/>
      <c r="AJ255" s="282" t="n"/>
      <c r="AM255" s="282" t="n"/>
      <c r="AN255" s="282" t="n"/>
      <c r="AQ255" s="282" t="n"/>
      <c r="AR255" s="282" t="n"/>
    </row>
    <row customHeight="1" ht="15.75" r="256" s="452" spans="1:45">
      <c r="A256" s="44" t="n"/>
      <c r="G256" s="282" t="n"/>
      <c r="H256" s="282" t="n"/>
      <c r="K256" s="282" t="n"/>
      <c r="L256" s="282" t="n"/>
      <c r="O256" s="282" t="n"/>
      <c r="P256" s="282" t="n"/>
      <c r="S256" s="282" t="n"/>
      <c r="T256" s="282" t="n"/>
      <c r="W256" s="282" t="n"/>
      <c r="X256" s="282" t="n"/>
      <c r="Y256" s="282" t="n"/>
      <c r="Z256" s="282" t="n"/>
      <c r="AA256" s="282" t="n"/>
      <c r="AB256" s="282" t="n"/>
      <c r="AC256" s="529" t="n"/>
      <c r="AE256" s="282" t="n"/>
      <c r="AF256" s="282" t="n"/>
      <c r="AI256" s="282" t="n"/>
      <c r="AJ256" s="282" t="n"/>
      <c r="AM256" s="282" t="n"/>
      <c r="AN256" s="282" t="n"/>
      <c r="AQ256" s="282" t="n"/>
      <c r="AR256" s="282" t="n"/>
    </row>
    <row customHeight="1" ht="15.75" r="257" s="452" spans="1:45">
      <c r="A257" s="44" t="n"/>
      <c r="G257" s="282" t="n"/>
      <c r="H257" s="282" t="n"/>
      <c r="K257" s="282" t="n"/>
      <c r="L257" s="282" t="n"/>
      <c r="O257" s="282" t="n"/>
      <c r="P257" s="282" t="n"/>
      <c r="S257" s="282" t="n"/>
      <c r="T257" s="282" t="n"/>
      <c r="W257" s="282" t="n"/>
      <c r="X257" s="282" t="n"/>
      <c r="Y257" s="282" t="n"/>
      <c r="Z257" s="282" t="n"/>
      <c r="AA257" s="282" t="n"/>
      <c r="AB257" s="282" t="n"/>
      <c r="AC257" s="529" t="n"/>
      <c r="AE257" s="282" t="n"/>
      <c r="AF257" s="282" t="n"/>
      <c r="AI257" s="282" t="n"/>
      <c r="AJ257" s="282" t="n"/>
      <c r="AM257" s="282" t="n"/>
      <c r="AN257" s="282" t="n"/>
      <c r="AQ257" s="282" t="n"/>
      <c r="AR257" s="282" t="n"/>
    </row>
    <row customHeight="1" ht="15.75" r="258" s="452" spans="1:45">
      <c r="A258" s="44" t="n"/>
      <c r="G258" s="282" t="n"/>
      <c r="H258" s="282" t="n"/>
      <c r="K258" s="282" t="n"/>
      <c r="L258" s="282" t="n"/>
      <c r="O258" s="282" t="n"/>
      <c r="P258" s="282" t="n"/>
      <c r="S258" s="282" t="n"/>
      <c r="T258" s="282" t="n"/>
      <c r="W258" s="282" t="n"/>
      <c r="X258" s="282" t="n"/>
      <c r="Y258" s="282" t="n"/>
      <c r="Z258" s="282" t="n"/>
      <c r="AA258" s="282" t="n"/>
      <c r="AB258" s="282" t="n"/>
      <c r="AC258" s="529" t="n"/>
      <c r="AE258" s="282" t="n"/>
      <c r="AF258" s="282" t="n"/>
      <c r="AI258" s="282" t="n"/>
      <c r="AJ258" s="282" t="n"/>
      <c r="AM258" s="282" t="n"/>
      <c r="AN258" s="282" t="n"/>
      <c r="AQ258" s="282" t="n"/>
      <c r="AR258" s="282" t="n"/>
    </row>
    <row customHeight="1" ht="15.75" r="259" s="452" spans="1:45">
      <c r="A259" s="44" t="n"/>
      <c r="G259" s="282" t="n"/>
      <c r="H259" s="282" t="n"/>
      <c r="K259" s="282" t="n"/>
      <c r="L259" s="282" t="n"/>
      <c r="O259" s="282" t="n"/>
      <c r="P259" s="282" t="n"/>
      <c r="S259" s="282" t="n"/>
      <c r="T259" s="282" t="n"/>
      <c r="W259" s="282" t="n"/>
      <c r="X259" s="282" t="n"/>
      <c r="Y259" s="282" t="n"/>
      <c r="Z259" s="282" t="n"/>
      <c r="AA259" s="282" t="n"/>
      <c r="AB259" s="282" t="n"/>
      <c r="AC259" s="529" t="n"/>
      <c r="AE259" s="282" t="n"/>
      <c r="AF259" s="282" t="n"/>
      <c r="AI259" s="282" t="n"/>
      <c r="AJ259" s="282" t="n"/>
      <c r="AM259" s="282" t="n"/>
      <c r="AN259" s="282" t="n"/>
      <c r="AQ259" s="282" t="n"/>
      <c r="AR259" s="282" t="n"/>
    </row>
    <row customHeight="1" ht="15.75" r="260" s="452" spans="1:45">
      <c r="A260" s="44" t="n"/>
      <c r="G260" s="282" t="n"/>
      <c r="H260" s="282" t="n"/>
      <c r="K260" s="282" t="n"/>
      <c r="L260" s="282" t="n"/>
      <c r="O260" s="282" t="n"/>
      <c r="P260" s="282" t="n"/>
      <c r="S260" s="282" t="n"/>
      <c r="T260" s="282" t="n"/>
      <c r="W260" s="282" t="n"/>
      <c r="X260" s="282" t="n"/>
      <c r="Y260" s="282" t="n"/>
      <c r="Z260" s="282" t="n"/>
      <c r="AA260" s="282" t="n"/>
      <c r="AB260" s="282" t="n"/>
      <c r="AC260" s="529" t="n"/>
      <c r="AE260" s="282" t="n"/>
      <c r="AF260" s="282" t="n"/>
      <c r="AI260" s="282" t="n"/>
      <c r="AJ260" s="282" t="n"/>
      <c r="AM260" s="282" t="n"/>
      <c r="AN260" s="282" t="n"/>
      <c r="AQ260" s="282" t="n"/>
      <c r="AR260" s="282" t="n"/>
    </row>
    <row customHeight="1" ht="15.75" r="261" s="452" spans="1:45">
      <c r="A261" s="44" t="n"/>
      <c r="G261" s="282" t="n"/>
      <c r="H261" s="282" t="n"/>
      <c r="K261" s="282" t="n"/>
      <c r="L261" s="282" t="n"/>
      <c r="O261" s="282" t="n"/>
      <c r="P261" s="282" t="n"/>
      <c r="S261" s="282" t="n"/>
      <c r="T261" s="282" t="n"/>
      <c r="W261" s="282" t="n"/>
      <c r="X261" s="282" t="n"/>
      <c r="Y261" s="282" t="n"/>
      <c r="Z261" s="282" t="n"/>
      <c r="AA261" s="282" t="n"/>
      <c r="AB261" s="282" t="n"/>
      <c r="AC261" s="529" t="n"/>
      <c r="AE261" s="282" t="n"/>
      <c r="AF261" s="282" t="n"/>
      <c r="AI261" s="282" t="n"/>
      <c r="AJ261" s="282" t="n"/>
      <c r="AM261" s="282" t="n"/>
      <c r="AN261" s="282" t="n"/>
      <c r="AQ261" s="282" t="n"/>
      <c r="AR261" s="282" t="n"/>
    </row>
    <row customHeight="1" ht="15.75" r="262" s="452" spans="1:45">
      <c r="A262" s="44" t="n"/>
      <c r="G262" s="282" t="n"/>
      <c r="H262" s="282" t="n"/>
      <c r="K262" s="282" t="n"/>
      <c r="L262" s="282" t="n"/>
      <c r="O262" s="282" t="n"/>
      <c r="P262" s="282" t="n"/>
      <c r="S262" s="282" t="n"/>
      <c r="T262" s="282" t="n"/>
      <c r="W262" s="282" t="n"/>
      <c r="X262" s="282" t="n"/>
      <c r="Y262" s="282" t="n"/>
      <c r="Z262" s="282" t="n"/>
      <c r="AA262" s="282" t="n"/>
      <c r="AB262" s="282" t="n"/>
      <c r="AC262" s="529" t="n"/>
      <c r="AE262" s="282" t="n"/>
      <c r="AF262" s="282" t="n"/>
      <c r="AI262" s="282" t="n"/>
      <c r="AJ262" s="282" t="n"/>
      <c r="AM262" s="282" t="n"/>
      <c r="AN262" s="282" t="n"/>
      <c r="AQ262" s="282" t="n"/>
      <c r="AR262" s="282" t="n"/>
    </row>
    <row customHeight="1" ht="15.75" r="263" s="452" spans="1:45">
      <c r="A263" s="44" t="n"/>
      <c r="G263" s="282" t="n"/>
      <c r="H263" s="282" t="n"/>
      <c r="K263" s="282" t="n"/>
      <c r="L263" s="282" t="n"/>
      <c r="O263" s="282" t="n"/>
      <c r="P263" s="282" t="n"/>
      <c r="S263" s="282" t="n"/>
      <c r="T263" s="282" t="n"/>
      <c r="W263" s="282" t="n"/>
      <c r="X263" s="282" t="n"/>
      <c r="Y263" s="282" t="n"/>
      <c r="Z263" s="282" t="n"/>
      <c r="AA263" s="282" t="n"/>
      <c r="AB263" s="282" t="n"/>
      <c r="AC263" s="529" t="n"/>
      <c r="AE263" s="282" t="n"/>
      <c r="AF263" s="282" t="n"/>
      <c r="AI263" s="282" t="n"/>
      <c r="AJ263" s="282" t="n"/>
      <c r="AM263" s="282" t="n"/>
      <c r="AN263" s="282" t="n"/>
      <c r="AQ263" s="282" t="n"/>
      <c r="AR263" s="282" t="n"/>
    </row>
    <row customHeight="1" ht="15.75" r="264" s="452" spans="1:45">
      <c r="A264" s="44" t="n"/>
      <c r="G264" s="282" t="n"/>
      <c r="H264" s="282" t="n"/>
      <c r="K264" s="282" t="n"/>
      <c r="L264" s="282" t="n"/>
      <c r="O264" s="282" t="n"/>
      <c r="P264" s="282" t="n"/>
      <c r="S264" s="282" t="n"/>
      <c r="T264" s="282" t="n"/>
      <c r="W264" s="282" t="n"/>
      <c r="X264" s="282" t="n"/>
      <c r="Y264" s="282" t="n"/>
      <c r="Z264" s="282" t="n"/>
      <c r="AA264" s="282" t="n"/>
      <c r="AB264" s="282" t="n"/>
      <c r="AC264" s="529" t="n"/>
      <c r="AE264" s="282" t="n"/>
      <c r="AF264" s="282" t="n"/>
      <c r="AI264" s="282" t="n"/>
      <c r="AJ264" s="282" t="n"/>
      <c r="AM264" s="282" t="n"/>
      <c r="AN264" s="282" t="n"/>
      <c r="AQ264" s="282" t="n"/>
      <c r="AR264" s="282" t="n"/>
    </row>
    <row customHeight="1" ht="15.75" r="265" s="452" spans="1:45">
      <c r="A265" s="44" t="n"/>
      <c r="G265" s="282" t="n"/>
      <c r="H265" s="282" t="n"/>
      <c r="K265" s="282" t="n"/>
      <c r="L265" s="282" t="n"/>
      <c r="O265" s="282" t="n"/>
      <c r="P265" s="282" t="n"/>
      <c r="S265" s="282" t="n"/>
      <c r="T265" s="282" t="n"/>
      <c r="W265" s="282" t="n"/>
      <c r="X265" s="282" t="n"/>
      <c r="Y265" s="282" t="n"/>
      <c r="Z265" s="282" t="n"/>
      <c r="AA265" s="282" t="n"/>
      <c r="AB265" s="282" t="n"/>
      <c r="AC265" s="529" t="n"/>
      <c r="AE265" s="282" t="n"/>
      <c r="AF265" s="282" t="n"/>
      <c r="AI265" s="282" t="n"/>
      <c r="AJ265" s="282" t="n"/>
      <c r="AM265" s="282" t="n"/>
      <c r="AN265" s="282" t="n"/>
      <c r="AQ265" s="282" t="n"/>
      <c r="AR265" s="282" t="n"/>
    </row>
    <row customHeight="1" ht="15.75" r="266" s="452" spans="1:45">
      <c r="A266" s="44" t="n"/>
      <c r="G266" s="282" t="n"/>
      <c r="H266" s="282" t="n"/>
      <c r="K266" s="282" t="n"/>
      <c r="L266" s="282" t="n"/>
      <c r="O266" s="282" t="n"/>
      <c r="P266" s="282" t="n"/>
      <c r="S266" s="282" t="n"/>
      <c r="T266" s="282" t="n"/>
      <c r="W266" s="282" t="n"/>
      <c r="X266" s="282" t="n"/>
      <c r="Y266" s="282" t="n"/>
      <c r="Z266" s="282" t="n"/>
      <c r="AA266" s="282" t="n"/>
      <c r="AB266" s="282" t="n"/>
      <c r="AC266" s="529" t="n"/>
      <c r="AE266" s="282" t="n"/>
      <c r="AF266" s="282" t="n"/>
      <c r="AI266" s="282" t="n"/>
      <c r="AJ266" s="282" t="n"/>
      <c r="AM266" s="282" t="n"/>
      <c r="AN266" s="282" t="n"/>
      <c r="AQ266" s="282" t="n"/>
      <c r="AR266" s="282" t="n"/>
    </row>
    <row customHeight="1" ht="15.75" r="267" s="452" spans="1:45">
      <c r="A267" s="44" t="n"/>
      <c r="G267" s="282" t="n"/>
      <c r="H267" s="282" t="n"/>
      <c r="K267" s="282" t="n"/>
      <c r="L267" s="282" t="n"/>
      <c r="O267" s="282" t="n"/>
      <c r="P267" s="282" t="n"/>
      <c r="S267" s="282" t="n"/>
      <c r="T267" s="282" t="n"/>
      <c r="W267" s="282" t="n"/>
      <c r="X267" s="282" t="n"/>
      <c r="Y267" s="282" t="n"/>
      <c r="Z267" s="282" t="n"/>
      <c r="AA267" s="282" t="n"/>
      <c r="AB267" s="282" t="n"/>
      <c r="AC267" s="529" t="n"/>
      <c r="AE267" s="282" t="n"/>
      <c r="AF267" s="282" t="n"/>
      <c r="AI267" s="282" t="n"/>
      <c r="AJ267" s="282" t="n"/>
      <c r="AM267" s="282" t="n"/>
      <c r="AN267" s="282" t="n"/>
      <c r="AQ267" s="282" t="n"/>
      <c r="AR267" s="282" t="n"/>
    </row>
    <row customHeight="1" ht="15.75" r="268" s="452" spans="1:45">
      <c r="A268" s="44" t="n"/>
      <c r="G268" s="282" t="n"/>
      <c r="H268" s="282" t="n"/>
      <c r="K268" s="282" t="n"/>
      <c r="L268" s="282" t="n"/>
      <c r="O268" s="282" t="n"/>
      <c r="P268" s="282" t="n"/>
      <c r="S268" s="282" t="n"/>
      <c r="T268" s="282" t="n"/>
      <c r="W268" s="282" t="n"/>
      <c r="X268" s="282" t="n"/>
      <c r="Y268" s="282" t="n"/>
      <c r="Z268" s="282" t="n"/>
      <c r="AA268" s="282" t="n"/>
      <c r="AB268" s="282" t="n"/>
      <c r="AC268" s="529" t="n"/>
      <c r="AE268" s="282" t="n"/>
      <c r="AF268" s="282" t="n"/>
      <c r="AI268" s="282" t="n"/>
      <c r="AJ268" s="282" t="n"/>
      <c r="AM268" s="282" t="n"/>
      <c r="AN268" s="282" t="n"/>
      <c r="AQ268" s="282" t="n"/>
      <c r="AR268" s="282" t="n"/>
    </row>
    <row customHeight="1" ht="15.75" r="269" s="452" spans="1:45">
      <c r="A269" s="44" t="n"/>
      <c r="G269" s="282" t="n"/>
      <c r="H269" s="282" t="n"/>
      <c r="K269" s="282" t="n"/>
      <c r="L269" s="282" t="n"/>
      <c r="O269" s="282" t="n"/>
      <c r="P269" s="282" t="n"/>
      <c r="S269" s="282" t="n"/>
      <c r="T269" s="282" t="n"/>
      <c r="W269" s="282" t="n"/>
      <c r="X269" s="282" t="n"/>
      <c r="Y269" s="282" t="n"/>
      <c r="Z269" s="282" t="n"/>
      <c r="AA269" s="282" t="n"/>
      <c r="AB269" s="282" t="n"/>
      <c r="AC269" s="529" t="n"/>
      <c r="AE269" s="282" t="n"/>
      <c r="AF269" s="282" t="n"/>
      <c r="AI269" s="282" t="n"/>
      <c r="AJ269" s="282" t="n"/>
      <c r="AM269" s="282" t="n"/>
      <c r="AN269" s="282" t="n"/>
      <c r="AQ269" s="282" t="n"/>
      <c r="AR269" s="282" t="n"/>
    </row>
    <row customHeight="1" ht="15.75" r="270" s="452" spans="1:45">
      <c r="A270" s="44" t="n"/>
      <c r="G270" s="282" t="n"/>
      <c r="H270" s="282" t="n"/>
      <c r="K270" s="282" t="n"/>
      <c r="L270" s="282" t="n"/>
      <c r="O270" s="282" t="n"/>
      <c r="P270" s="282" t="n"/>
      <c r="S270" s="282" t="n"/>
      <c r="T270" s="282" t="n"/>
      <c r="W270" s="282" t="n"/>
      <c r="X270" s="282" t="n"/>
      <c r="Y270" s="282" t="n"/>
      <c r="Z270" s="282" t="n"/>
      <c r="AA270" s="282" t="n"/>
      <c r="AB270" s="282" t="n"/>
      <c r="AC270" s="529" t="n"/>
      <c r="AE270" s="282" t="n"/>
      <c r="AF270" s="282" t="n"/>
      <c r="AI270" s="282" t="n"/>
      <c r="AJ270" s="282" t="n"/>
      <c r="AM270" s="282" t="n"/>
      <c r="AN270" s="282" t="n"/>
      <c r="AQ270" s="282" t="n"/>
      <c r="AR270" s="282" t="n"/>
    </row>
    <row customHeight="1" ht="15.75" r="271" s="452" spans="1:45">
      <c r="A271" s="44" t="n"/>
      <c r="G271" s="282" t="n"/>
      <c r="H271" s="282" t="n"/>
      <c r="K271" s="282" t="n"/>
      <c r="L271" s="282" t="n"/>
      <c r="O271" s="282" t="n"/>
      <c r="P271" s="282" t="n"/>
      <c r="S271" s="282" t="n"/>
      <c r="T271" s="282" t="n"/>
      <c r="W271" s="282" t="n"/>
      <c r="X271" s="282" t="n"/>
      <c r="Y271" s="282" t="n"/>
      <c r="Z271" s="282" t="n"/>
      <c r="AA271" s="282" t="n"/>
      <c r="AB271" s="282" t="n"/>
      <c r="AC271" s="529" t="n"/>
      <c r="AE271" s="282" t="n"/>
      <c r="AF271" s="282" t="n"/>
      <c r="AI271" s="282" t="n"/>
      <c r="AJ271" s="282" t="n"/>
      <c r="AM271" s="282" t="n"/>
      <c r="AN271" s="282" t="n"/>
      <c r="AQ271" s="282" t="n"/>
      <c r="AR271" s="282" t="n"/>
    </row>
    <row customHeight="1" ht="15.75" r="272" s="452" spans="1:45">
      <c r="A272" s="44" t="n"/>
      <c r="G272" s="282" t="n"/>
      <c r="H272" s="282" t="n"/>
      <c r="K272" s="282" t="n"/>
      <c r="L272" s="282" t="n"/>
      <c r="O272" s="282" t="n"/>
      <c r="P272" s="282" t="n"/>
      <c r="S272" s="282" t="n"/>
      <c r="T272" s="282" t="n"/>
      <c r="W272" s="282" t="n"/>
      <c r="X272" s="282" t="n"/>
      <c r="Y272" s="282" t="n"/>
      <c r="Z272" s="282" t="n"/>
      <c r="AA272" s="282" t="n"/>
      <c r="AB272" s="282" t="n"/>
      <c r="AC272" s="529" t="n"/>
      <c r="AE272" s="282" t="n"/>
      <c r="AF272" s="282" t="n"/>
      <c r="AI272" s="282" t="n"/>
      <c r="AJ272" s="282" t="n"/>
      <c r="AM272" s="282" t="n"/>
      <c r="AN272" s="282" t="n"/>
      <c r="AQ272" s="282" t="n"/>
      <c r="AR272" s="282" t="n"/>
    </row>
    <row customHeight="1" ht="15.75" r="273" s="452" spans="1:45">
      <c r="A273" s="44" t="n"/>
      <c r="G273" s="282" t="n"/>
      <c r="H273" s="282" t="n"/>
      <c r="K273" s="282" t="n"/>
      <c r="L273" s="282" t="n"/>
      <c r="O273" s="282" t="n"/>
      <c r="P273" s="282" t="n"/>
      <c r="S273" s="282" t="n"/>
      <c r="T273" s="282" t="n"/>
      <c r="W273" s="282" t="n"/>
      <c r="X273" s="282" t="n"/>
      <c r="Y273" s="282" t="n"/>
      <c r="Z273" s="282" t="n"/>
      <c r="AA273" s="282" t="n"/>
      <c r="AB273" s="282" t="n"/>
      <c r="AC273" s="529" t="n"/>
      <c r="AE273" s="282" t="n"/>
      <c r="AF273" s="282" t="n"/>
      <c r="AI273" s="282" t="n"/>
      <c r="AJ273" s="282" t="n"/>
      <c r="AM273" s="282" t="n"/>
      <c r="AN273" s="282" t="n"/>
      <c r="AQ273" s="282" t="n"/>
      <c r="AR273" s="282" t="n"/>
    </row>
    <row customHeight="1" ht="15.75" r="274" s="452" spans="1:45">
      <c r="A274" s="44" t="n"/>
      <c r="G274" s="282" t="n"/>
      <c r="H274" s="282" t="n"/>
      <c r="K274" s="282" t="n"/>
      <c r="L274" s="282" t="n"/>
      <c r="O274" s="282" t="n"/>
      <c r="P274" s="282" t="n"/>
      <c r="S274" s="282" t="n"/>
      <c r="T274" s="282" t="n"/>
      <c r="W274" s="282" t="n"/>
      <c r="X274" s="282" t="n"/>
      <c r="Y274" s="282" t="n"/>
      <c r="Z274" s="282" t="n"/>
      <c r="AA274" s="282" t="n"/>
      <c r="AB274" s="282" t="n"/>
      <c r="AC274" s="529" t="n"/>
      <c r="AE274" s="282" t="n"/>
      <c r="AF274" s="282" t="n"/>
      <c r="AI274" s="282" t="n"/>
      <c r="AJ274" s="282" t="n"/>
      <c r="AM274" s="282" t="n"/>
      <c r="AN274" s="282" t="n"/>
      <c r="AQ274" s="282" t="n"/>
      <c r="AR274" s="282" t="n"/>
    </row>
    <row customHeight="1" ht="15.75" r="275" s="452" spans="1:45">
      <c r="A275" s="44" t="n"/>
      <c r="G275" s="282" t="n"/>
      <c r="H275" s="282" t="n"/>
      <c r="K275" s="282" t="n"/>
      <c r="L275" s="282" t="n"/>
      <c r="O275" s="282" t="n"/>
      <c r="P275" s="282" t="n"/>
      <c r="S275" s="282" t="n"/>
      <c r="T275" s="282" t="n"/>
      <c r="W275" s="282" t="n"/>
      <c r="X275" s="282" t="n"/>
      <c r="Y275" s="282" t="n"/>
      <c r="Z275" s="282" t="n"/>
      <c r="AA275" s="282" t="n"/>
      <c r="AB275" s="282" t="n"/>
      <c r="AC275" s="529" t="n"/>
      <c r="AE275" s="282" t="n"/>
      <c r="AF275" s="282" t="n"/>
      <c r="AI275" s="282" t="n"/>
      <c r="AJ275" s="282" t="n"/>
      <c r="AM275" s="282" t="n"/>
      <c r="AN275" s="282" t="n"/>
      <c r="AQ275" s="282" t="n"/>
      <c r="AR275" s="282" t="n"/>
    </row>
    <row customHeight="1" ht="15.75" r="276" s="452" spans="1:45">
      <c r="A276" s="44" t="n"/>
      <c r="G276" s="282" t="n"/>
      <c r="H276" s="282" t="n"/>
      <c r="K276" s="282" t="n"/>
      <c r="L276" s="282" t="n"/>
      <c r="O276" s="282" t="n"/>
      <c r="P276" s="282" t="n"/>
      <c r="S276" s="282" t="n"/>
      <c r="T276" s="282" t="n"/>
      <c r="W276" s="282" t="n"/>
      <c r="X276" s="282" t="n"/>
      <c r="Y276" s="282" t="n"/>
      <c r="Z276" s="282" t="n"/>
      <c r="AA276" s="282" t="n"/>
      <c r="AB276" s="282" t="n"/>
      <c r="AC276" s="529" t="n"/>
      <c r="AE276" s="282" t="n"/>
      <c r="AF276" s="282" t="n"/>
      <c r="AI276" s="282" t="n"/>
      <c r="AJ276" s="282" t="n"/>
      <c r="AM276" s="282" t="n"/>
      <c r="AN276" s="282" t="n"/>
      <c r="AQ276" s="282" t="n"/>
      <c r="AR276" s="282" t="n"/>
    </row>
    <row customHeight="1" ht="15.75" r="277" s="452" spans="1:45">
      <c r="A277" s="44" t="n"/>
      <c r="G277" s="282" t="n"/>
      <c r="H277" s="282" t="n"/>
      <c r="K277" s="282" t="n"/>
      <c r="L277" s="282" t="n"/>
      <c r="O277" s="282" t="n"/>
      <c r="P277" s="282" t="n"/>
      <c r="S277" s="282" t="n"/>
      <c r="T277" s="282" t="n"/>
      <c r="W277" s="282" t="n"/>
      <c r="X277" s="282" t="n"/>
      <c r="Y277" s="282" t="n"/>
      <c r="Z277" s="282" t="n"/>
      <c r="AA277" s="282" t="n"/>
      <c r="AB277" s="282" t="n"/>
      <c r="AC277" s="529" t="n"/>
      <c r="AE277" s="282" t="n"/>
      <c r="AF277" s="282" t="n"/>
      <c r="AI277" s="282" t="n"/>
      <c r="AJ277" s="282" t="n"/>
      <c r="AM277" s="282" t="n"/>
      <c r="AN277" s="282" t="n"/>
      <c r="AQ277" s="282" t="n"/>
      <c r="AR277" s="282" t="n"/>
    </row>
    <row customHeight="1" ht="15.75" r="278" s="452" spans="1:45">
      <c r="A278" s="44" t="n"/>
      <c r="G278" s="282" t="n"/>
      <c r="H278" s="282" t="n"/>
      <c r="K278" s="282" t="n"/>
      <c r="L278" s="282" t="n"/>
      <c r="O278" s="282" t="n"/>
      <c r="P278" s="282" t="n"/>
      <c r="S278" s="282" t="n"/>
      <c r="T278" s="282" t="n"/>
      <c r="W278" s="282" t="n"/>
      <c r="X278" s="282" t="n"/>
      <c r="Y278" s="282" t="n"/>
      <c r="Z278" s="282" t="n"/>
      <c r="AA278" s="282" t="n"/>
      <c r="AB278" s="282" t="n"/>
      <c r="AC278" s="529" t="n"/>
      <c r="AE278" s="282" t="n"/>
      <c r="AF278" s="282" t="n"/>
      <c r="AI278" s="282" t="n"/>
      <c r="AJ278" s="282" t="n"/>
      <c r="AM278" s="282" t="n"/>
      <c r="AN278" s="282" t="n"/>
      <c r="AQ278" s="282" t="n"/>
      <c r="AR278" s="282" t="n"/>
    </row>
    <row customHeight="1" ht="15.75" r="279" s="452" spans="1:45">
      <c r="A279" s="44" t="n"/>
      <c r="G279" s="282" t="n"/>
      <c r="H279" s="282" t="n"/>
      <c r="K279" s="282" t="n"/>
      <c r="L279" s="282" t="n"/>
      <c r="O279" s="282" t="n"/>
      <c r="P279" s="282" t="n"/>
      <c r="S279" s="282" t="n"/>
      <c r="T279" s="282" t="n"/>
      <c r="W279" s="282" t="n"/>
      <c r="X279" s="282" t="n"/>
      <c r="Y279" s="282" t="n"/>
      <c r="Z279" s="282" t="n"/>
      <c r="AA279" s="282" t="n"/>
      <c r="AB279" s="282" t="n"/>
      <c r="AC279" s="529" t="n"/>
      <c r="AE279" s="282" t="n"/>
      <c r="AF279" s="282" t="n"/>
      <c r="AI279" s="282" t="n"/>
      <c r="AJ279" s="282" t="n"/>
      <c r="AM279" s="282" t="n"/>
      <c r="AN279" s="282" t="n"/>
      <c r="AQ279" s="282" t="n"/>
      <c r="AR279" s="282" t="n"/>
    </row>
    <row customHeight="1" ht="15.75" r="280" s="452" spans="1:45">
      <c r="A280" s="44" t="n"/>
      <c r="G280" s="282" t="n"/>
      <c r="H280" s="282" t="n"/>
      <c r="K280" s="282" t="n"/>
      <c r="L280" s="282" t="n"/>
      <c r="O280" s="282" t="n"/>
      <c r="P280" s="282" t="n"/>
      <c r="S280" s="282" t="n"/>
      <c r="T280" s="282" t="n"/>
      <c r="W280" s="282" t="n"/>
      <c r="X280" s="282" t="n"/>
      <c r="Y280" s="282" t="n"/>
      <c r="Z280" s="282" t="n"/>
      <c r="AA280" s="282" t="n"/>
      <c r="AB280" s="282" t="n"/>
      <c r="AC280" s="529" t="n"/>
      <c r="AE280" s="282" t="n"/>
      <c r="AF280" s="282" t="n"/>
      <c r="AI280" s="282" t="n"/>
      <c r="AJ280" s="282" t="n"/>
      <c r="AM280" s="282" t="n"/>
      <c r="AN280" s="282" t="n"/>
      <c r="AQ280" s="282" t="n"/>
      <c r="AR280" s="282" t="n"/>
    </row>
    <row customHeight="1" ht="15.75" r="281" s="452" spans="1:45">
      <c r="A281" s="44" t="n"/>
      <c r="G281" s="282" t="n"/>
      <c r="H281" s="282" t="n"/>
      <c r="K281" s="282" t="n"/>
      <c r="L281" s="282" t="n"/>
      <c r="O281" s="282" t="n"/>
      <c r="P281" s="282" t="n"/>
      <c r="S281" s="282" t="n"/>
      <c r="T281" s="282" t="n"/>
      <c r="W281" s="282" t="n"/>
      <c r="X281" s="282" t="n"/>
      <c r="Y281" s="282" t="n"/>
      <c r="Z281" s="282" t="n"/>
      <c r="AA281" s="282" t="n"/>
      <c r="AB281" s="282" t="n"/>
      <c r="AC281" s="529" t="n"/>
      <c r="AE281" s="282" t="n"/>
      <c r="AF281" s="282" t="n"/>
      <c r="AI281" s="282" t="n"/>
      <c r="AJ281" s="282" t="n"/>
      <c r="AM281" s="282" t="n"/>
      <c r="AN281" s="282" t="n"/>
      <c r="AQ281" s="282" t="n"/>
      <c r="AR281" s="282" t="n"/>
    </row>
    <row customHeight="1" ht="15.75" r="282" s="452" spans="1:45">
      <c r="A282" s="44" t="n"/>
      <c r="G282" s="282" t="n"/>
      <c r="H282" s="282" t="n"/>
      <c r="K282" s="282" t="n"/>
      <c r="L282" s="282" t="n"/>
      <c r="O282" s="282" t="n"/>
      <c r="P282" s="282" t="n"/>
      <c r="S282" s="282" t="n"/>
      <c r="T282" s="282" t="n"/>
      <c r="W282" s="282" t="n"/>
      <c r="X282" s="282" t="n"/>
      <c r="Y282" s="282" t="n"/>
      <c r="Z282" s="282" t="n"/>
      <c r="AA282" s="282" t="n"/>
      <c r="AB282" s="282" t="n"/>
      <c r="AC282" s="529" t="n"/>
      <c r="AE282" s="282" t="n"/>
      <c r="AF282" s="282" t="n"/>
      <c r="AI282" s="282" t="n"/>
      <c r="AJ282" s="282" t="n"/>
      <c r="AM282" s="282" t="n"/>
      <c r="AN282" s="282" t="n"/>
      <c r="AQ282" s="282" t="n"/>
      <c r="AR282" s="282" t="n"/>
    </row>
    <row customHeight="1" ht="15.75" r="283" s="452" spans="1:45">
      <c r="A283" s="44" t="n"/>
      <c r="G283" s="282" t="n"/>
      <c r="H283" s="282" t="n"/>
      <c r="K283" s="282" t="n"/>
      <c r="L283" s="282" t="n"/>
      <c r="O283" s="282" t="n"/>
      <c r="P283" s="282" t="n"/>
      <c r="S283" s="282" t="n"/>
      <c r="T283" s="282" t="n"/>
      <c r="W283" s="282" t="n"/>
      <c r="X283" s="282" t="n"/>
      <c r="Y283" s="282" t="n"/>
      <c r="Z283" s="282" t="n"/>
      <c r="AA283" s="282" t="n"/>
      <c r="AB283" s="282" t="n"/>
      <c r="AC283" s="529" t="n"/>
      <c r="AE283" s="282" t="n"/>
      <c r="AF283" s="282" t="n"/>
      <c r="AI283" s="282" t="n"/>
      <c r="AJ283" s="282" t="n"/>
      <c r="AM283" s="282" t="n"/>
      <c r="AN283" s="282" t="n"/>
      <c r="AQ283" s="282" t="n"/>
      <c r="AR283" s="282" t="n"/>
    </row>
    <row customHeight="1" ht="15.75" r="284" s="452" spans="1:45">
      <c r="A284" s="44" t="n"/>
      <c r="G284" s="282" t="n"/>
      <c r="H284" s="282" t="n"/>
      <c r="K284" s="282" t="n"/>
      <c r="L284" s="282" t="n"/>
      <c r="O284" s="282" t="n"/>
      <c r="P284" s="282" t="n"/>
      <c r="S284" s="282" t="n"/>
      <c r="T284" s="282" t="n"/>
      <c r="W284" s="282" t="n"/>
      <c r="X284" s="282" t="n"/>
      <c r="Y284" s="282" t="n"/>
      <c r="Z284" s="282" t="n"/>
      <c r="AA284" s="282" t="n"/>
      <c r="AB284" s="282" t="n"/>
      <c r="AC284" s="529" t="n"/>
      <c r="AE284" s="282" t="n"/>
      <c r="AF284" s="282" t="n"/>
      <c r="AI284" s="282" t="n"/>
      <c r="AJ284" s="282" t="n"/>
      <c r="AM284" s="282" t="n"/>
      <c r="AN284" s="282" t="n"/>
      <c r="AQ284" s="282" t="n"/>
      <c r="AR284" s="282" t="n"/>
    </row>
    <row customHeight="1" ht="15.75" r="285" s="452" spans="1:45">
      <c r="A285" s="44" t="n"/>
      <c r="G285" s="282" t="n"/>
      <c r="H285" s="282" t="n"/>
      <c r="K285" s="282" t="n"/>
      <c r="L285" s="282" t="n"/>
      <c r="O285" s="282" t="n"/>
      <c r="P285" s="282" t="n"/>
      <c r="S285" s="282" t="n"/>
      <c r="T285" s="282" t="n"/>
      <c r="W285" s="282" t="n"/>
      <c r="X285" s="282" t="n"/>
      <c r="Y285" s="282" t="n"/>
      <c r="Z285" s="282" t="n"/>
      <c r="AA285" s="282" t="n"/>
      <c r="AB285" s="282" t="n"/>
      <c r="AC285" s="529" t="n"/>
      <c r="AE285" s="282" t="n"/>
      <c r="AF285" s="282" t="n"/>
      <c r="AI285" s="282" t="n"/>
      <c r="AJ285" s="282" t="n"/>
      <c r="AM285" s="282" t="n"/>
      <c r="AN285" s="282" t="n"/>
      <c r="AQ285" s="282" t="n"/>
      <c r="AR285" s="282" t="n"/>
    </row>
    <row customHeight="1" ht="15.75" r="286" s="452" spans="1:45">
      <c r="A286" s="44" t="n"/>
      <c r="G286" s="282" t="n"/>
      <c r="H286" s="282" t="n"/>
      <c r="K286" s="282" t="n"/>
      <c r="L286" s="282" t="n"/>
      <c r="O286" s="282" t="n"/>
      <c r="P286" s="282" t="n"/>
      <c r="S286" s="282" t="n"/>
      <c r="T286" s="282" t="n"/>
      <c r="W286" s="282" t="n"/>
      <c r="X286" s="282" t="n"/>
      <c r="Y286" s="282" t="n"/>
      <c r="Z286" s="282" t="n"/>
      <c r="AA286" s="282" t="n"/>
      <c r="AB286" s="282" t="n"/>
      <c r="AC286" s="529" t="n"/>
      <c r="AE286" s="282" t="n"/>
      <c r="AF286" s="282" t="n"/>
      <c r="AI286" s="282" t="n"/>
      <c r="AJ286" s="282" t="n"/>
      <c r="AM286" s="282" t="n"/>
      <c r="AN286" s="282" t="n"/>
      <c r="AQ286" s="282" t="n"/>
      <c r="AR286" s="282" t="n"/>
    </row>
    <row customHeight="1" ht="15.75" r="287" s="452" spans="1:45">
      <c r="A287" s="44" t="n"/>
      <c r="G287" s="282" t="n"/>
      <c r="H287" s="282" t="n"/>
      <c r="K287" s="282" t="n"/>
      <c r="L287" s="282" t="n"/>
      <c r="O287" s="282" t="n"/>
      <c r="P287" s="282" t="n"/>
      <c r="S287" s="282" t="n"/>
      <c r="T287" s="282" t="n"/>
      <c r="W287" s="282" t="n"/>
      <c r="X287" s="282" t="n"/>
      <c r="Y287" s="282" t="n"/>
      <c r="Z287" s="282" t="n"/>
      <c r="AA287" s="282" t="n"/>
      <c r="AB287" s="282" t="n"/>
      <c r="AC287" s="529" t="n"/>
      <c r="AE287" s="282" t="n"/>
      <c r="AF287" s="282" t="n"/>
      <c r="AI287" s="282" t="n"/>
      <c r="AJ287" s="282" t="n"/>
      <c r="AM287" s="282" t="n"/>
      <c r="AN287" s="282" t="n"/>
      <c r="AQ287" s="282" t="n"/>
      <c r="AR287" s="282" t="n"/>
    </row>
    <row customHeight="1" ht="15.75" r="288" s="452" spans="1:45">
      <c r="A288" s="44" t="n"/>
      <c r="G288" s="282" t="n"/>
      <c r="H288" s="282" t="n"/>
      <c r="K288" s="282" t="n"/>
      <c r="L288" s="282" t="n"/>
      <c r="O288" s="282" t="n"/>
      <c r="P288" s="282" t="n"/>
      <c r="S288" s="282" t="n"/>
      <c r="T288" s="282" t="n"/>
      <c r="W288" s="282" t="n"/>
      <c r="X288" s="282" t="n"/>
      <c r="Y288" s="282" t="n"/>
      <c r="Z288" s="282" t="n"/>
      <c r="AA288" s="282" t="n"/>
      <c r="AB288" s="282" t="n"/>
      <c r="AC288" s="529" t="n"/>
      <c r="AE288" s="282" t="n"/>
      <c r="AF288" s="282" t="n"/>
      <c r="AI288" s="282" t="n"/>
      <c r="AJ288" s="282" t="n"/>
      <c r="AM288" s="282" t="n"/>
      <c r="AN288" s="282" t="n"/>
      <c r="AQ288" s="282" t="n"/>
      <c r="AR288" s="282" t="n"/>
    </row>
    <row customHeight="1" ht="15.75" r="289" s="452" spans="1:45">
      <c r="A289" s="44" t="n"/>
      <c r="G289" s="282" t="n"/>
      <c r="H289" s="282" t="n"/>
      <c r="K289" s="282" t="n"/>
      <c r="L289" s="282" t="n"/>
      <c r="O289" s="282" t="n"/>
      <c r="P289" s="282" t="n"/>
      <c r="S289" s="282" t="n"/>
      <c r="T289" s="282" t="n"/>
      <c r="W289" s="282" t="n"/>
      <c r="X289" s="282" t="n"/>
      <c r="Y289" s="282" t="n"/>
      <c r="Z289" s="282" t="n"/>
      <c r="AA289" s="282" t="n"/>
      <c r="AB289" s="282" t="n"/>
      <c r="AC289" s="529" t="n"/>
      <c r="AE289" s="282" t="n"/>
      <c r="AF289" s="282" t="n"/>
      <c r="AI289" s="282" t="n"/>
      <c r="AJ289" s="282" t="n"/>
      <c r="AM289" s="282" t="n"/>
      <c r="AN289" s="282" t="n"/>
      <c r="AQ289" s="282" t="n"/>
      <c r="AR289" s="282" t="n"/>
    </row>
    <row customHeight="1" ht="15.75" r="290" s="452" spans="1:45">
      <c r="A290" s="44" t="n"/>
      <c r="G290" s="282" t="n"/>
      <c r="H290" s="282" t="n"/>
      <c r="K290" s="282" t="n"/>
      <c r="L290" s="282" t="n"/>
      <c r="O290" s="282" t="n"/>
      <c r="P290" s="282" t="n"/>
      <c r="S290" s="282" t="n"/>
      <c r="T290" s="282" t="n"/>
      <c r="W290" s="282" t="n"/>
      <c r="X290" s="282" t="n"/>
      <c r="Y290" s="282" t="n"/>
      <c r="Z290" s="282" t="n"/>
      <c r="AA290" s="282" t="n"/>
      <c r="AB290" s="282" t="n"/>
      <c r="AC290" s="529" t="n"/>
      <c r="AE290" s="282" t="n"/>
      <c r="AF290" s="282" t="n"/>
      <c r="AI290" s="282" t="n"/>
      <c r="AJ290" s="282" t="n"/>
      <c r="AM290" s="282" t="n"/>
      <c r="AN290" s="282" t="n"/>
      <c r="AQ290" s="282" t="n"/>
      <c r="AR290" s="282" t="n"/>
    </row>
    <row customHeight="1" ht="15.75" r="291" s="452" spans="1:45">
      <c r="A291" s="44" t="n"/>
      <c r="G291" s="282" t="n"/>
      <c r="H291" s="282" t="n"/>
      <c r="K291" s="282" t="n"/>
      <c r="L291" s="282" t="n"/>
      <c r="O291" s="282" t="n"/>
      <c r="P291" s="282" t="n"/>
      <c r="S291" s="282" t="n"/>
      <c r="T291" s="282" t="n"/>
      <c r="W291" s="282" t="n"/>
      <c r="X291" s="282" t="n"/>
      <c r="Y291" s="282" t="n"/>
      <c r="Z291" s="282" t="n"/>
      <c r="AA291" s="282" t="n"/>
      <c r="AB291" s="282" t="n"/>
      <c r="AC291" s="529" t="n"/>
      <c r="AE291" s="282" t="n"/>
      <c r="AF291" s="282" t="n"/>
      <c r="AI291" s="282" t="n"/>
      <c r="AJ291" s="282" t="n"/>
      <c r="AM291" s="282" t="n"/>
      <c r="AN291" s="282" t="n"/>
      <c r="AQ291" s="282" t="n"/>
      <c r="AR291" s="282" t="n"/>
    </row>
    <row customHeight="1" ht="15.75" r="292" s="452" spans="1:45">
      <c r="A292" s="44" t="n"/>
      <c r="G292" s="282" t="n"/>
      <c r="H292" s="282" t="n"/>
      <c r="K292" s="282" t="n"/>
      <c r="L292" s="282" t="n"/>
      <c r="O292" s="282" t="n"/>
      <c r="P292" s="282" t="n"/>
      <c r="S292" s="282" t="n"/>
      <c r="T292" s="282" t="n"/>
      <c r="W292" s="282" t="n"/>
      <c r="X292" s="282" t="n"/>
      <c r="Y292" s="282" t="n"/>
      <c r="Z292" s="282" t="n"/>
      <c r="AA292" s="282" t="n"/>
      <c r="AB292" s="282" t="n"/>
      <c r="AC292" s="529" t="n"/>
      <c r="AE292" s="282" t="n"/>
      <c r="AF292" s="282" t="n"/>
      <c r="AI292" s="282" t="n"/>
      <c r="AJ292" s="282" t="n"/>
      <c r="AM292" s="282" t="n"/>
      <c r="AN292" s="282" t="n"/>
      <c r="AQ292" s="282" t="n"/>
      <c r="AR292" s="282" t="n"/>
    </row>
    <row customHeight="1" ht="15.75" r="293" s="452" spans="1:45">
      <c r="A293" s="44" t="n"/>
      <c r="G293" s="282" t="n"/>
      <c r="H293" s="282" t="n"/>
      <c r="K293" s="282" t="n"/>
      <c r="L293" s="282" t="n"/>
      <c r="O293" s="282" t="n"/>
      <c r="P293" s="282" t="n"/>
      <c r="S293" s="282" t="n"/>
      <c r="T293" s="282" t="n"/>
      <c r="W293" s="282" t="n"/>
      <c r="X293" s="282" t="n"/>
      <c r="Y293" s="282" t="n"/>
      <c r="Z293" s="282" t="n"/>
      <c r="AA293" s="282" t="n"/>
      <c r="AB293" s="282" t="n"/>
      <c r="AC293" s="529" t="n"/>
      <c r="AE293" s="282" t="n"/>
      <c r="AF293" s="282" t="n"/>
      <c r="AI293" s="282" t="n"/>
      <c r="AJ293" s="282" t="n"/>
      <c r="AM293" s="282" t="n"/>
      <c r="AN293" s="282" t="n"/>
      <c r="AQ293" s="282" t="n"/>
      <c r="AR293" s="282" t="n"/>
    </row>
    <row customHeight="1" ht="15.75" r="294" s="452" spans="1:45">
      <c r="A294" s="44" t="n"/>
      <c r="G294" s="282" t="n"/>
      <c r="H294" s="282" t="n"/>
      <c r="K294" s="282" t="n"/>
      <c r="L294" s="282" t="n"/>
      <c r="O294" s="282" t="n"/>
      <c r="P294" s="282" t="n"/>
      <c r="S294" s="282" t="n"/>
      <c r="T294" s="282" t="n"/>
      <c r="W294" s="282" t="n"/>
      <c r="X294" s="282" t="n"/>
      <c r="Y294" s="282" t="n"/>
      <c r="Z294" s="282" t="n"/>
      <c r="AA294" s="282" t="n"/>
      <c r="AB294" s="282" t="n"/>
      <c r="AC294" s="529" t="n"/>
      <c r="AE294" s="282" t="n"/>
      <c r="AF294" s="282" t="n"/>
      <c r="AI294" s="282" t="n"/>
      <c r="AJ294" s="282" t="n"/>
      <c r="AM294" s="282" t="n"/>
      <c r="AN294" s="282" t="n"/>
      <c r="AQ294" s="282" t="n"/>
      <c r="AR294" s="282" t="n"/>
    </row>
    <row customHeight="1" ht="15.75" r="295" s="452" spans="1:45">
      <c r="A295" s="44" t="n"/>
      <c r="G295" s="282" t="n"/>
      <c r="H295" s="282" t="n"/>
      <c r="K295" s="282" t="n"/>
      <c r="L295" s="282" t="n"/>
      <c r="O295" s="282" t="n"/>
      <c r="P295" s="282" t="n"/>
      <c r="S295" s="282" t="n"/>
      <c r="T295" s="282" t="n"/>
      <c r="W295" s="282" t="n"/>
      <c r="X295" s="282" t="n"/>
      <c r="Y295" s="282" t="n"/>
      <c r="Z295" s="282" t="n"/>
      <c r="AA295" s="282" t="n"/>
      <c r="AB295" s="282" t="n"/>
      <c r="AC295" s="529" t="n"/>
      <c r="AE295" s="282" t="n"/>
      <c r="AF295" s="282" t="n"/>
      <c r="AI295" s="282" t="n"/>
      <c r="AJ295" s="282" t="n"/>
      <c r="AM295" s="282" t="n"/>
      <c r="AN295" s="282" t="n"/>
      <c r="AQ295" s="282" t="n"/>
      <c r="AR295" s="282" t="n"/>
    </row>
    <row customHeight="1" ht="15.75" r="296" s="452" spans="1:45">
      <c r="A296" s="44" t="n"/>
      <c r="G296" s="282" t="n"/>
      <c r="H296" s="282" t="n"/>
      <c r="K296" s="282" t="n"/>
      <c r="L296" s="282" t="n"/>
      <c r="O296" s="282" t="n"/>
      <c r="P296" s="282" t="n"/>
      <c r="S296" s="282" t="n"/>
      <c r="T296" s="282" t="n"/>
      <c r="W296" s="282" t="n"/>
      <c r="X296" s="282" t="n"/>
      <c r="Y296" s="282" t="n"/>
      <c r="Z296" s="282" t="n"/>
      <c r="AA296" s="282" t="n"/>
      <c r="AB296" s="282" t="n"/>
      <c r="AC296" s="529" t="n"/>
      <c r="AE296" s="282" t="n"/>
      <c r="AF296" s="282" t="n"/>
      <c r="AI296" s="282" t="n"/>
      <c r="AJ296" s="282" t="n"/>
      <c r="AM296" s="282" t="n"/>
      <c r="AN296" s="282" t="n"/>
      <c r="AQ296" s="282" t="n"/>
      <c r="AR296" s="282" t="n"/>
    </row>
    <row customHeight="1" ht="15.75" r="297" s="452" spans="1:45">
      <c r="A297" s="44" t="n"/>
      <c r="G297" s="282" t="n"/>
      <c r="H297" s="282" t="n"/>
      <c r="K297" s="282" t="n"/>
      <c r="L297" s="282" t="n"/>
      <c r="O297" s="282" t="n"/>
      <c r="P297" s="282" t="n"/>
      <c r="S297" s="282" t="n"/>
      <c r="T297" s="282" t="n"/>
      <c r="W297" s="282" t="n"/>
      <c r="X297" s="282" t="n"/>
      <c r="Y297" s="282" t="n"/>
      <c r="Z297" s="282" t="n"/>
      <c r="AA297" s="282" t="n"/>
      <c r="AB297" s="282" t="n"/>
      <c r="AC297" s="529" t="n"/>
      <c r="AE297" s="282" t="n"/>
      <c r="AF297" s="282" t="n"/>
      <c r="AI297" s="282" t="n"/>
      <c r="AJ297" s="282" t="n"/>
      <c r="AM297" s="282" t="n"/>
      <c r="AN297" s="282" t="n"/>
      <c r="AQ297" s="282" t="n"/>
      <c r="AR297" s="282" t="n"/>
    </row>
    <row customHeight="1" ht="15.75" r="298" s="452" spans="1:45">
      <c r="A298" s="44" t="n"/>
      <c r="G298" s="282" t="n"/>
      <c r="H298" s="282" t="n"/>
      <c r="K298" s="282" t="n"/>
      <c r="L298" s="282" t="n"/>
      <c r="O298" s="282" t="n"/>
      <c r="P298" s="282" t="n"/>
      <c r="S298" s="282" t="n"/>
      <c r="T298" s="282" t="n"/>
      <c r="W298" s="282" t="n"/>
      <c r="X298" s="282" t="n"/>
      <c r="Y298" s="282" t="n"/>
      <c r="Z298" s="282" t="n"/>
      <c r="AA298" s="282" t="n"/>
      <c r="AB298" s="282" t="n"/>
      <c r="AC298" s="529" t="n"/>
      <c r="AE298" s="282" t="n"/>
      <c r="AF298" s="282" t="n"/>
      <c r="AI298" s="282" t="n"/>
      <c r="AJ298" s="282" t="n"/>
      <c r="AM298" s="282" t="n"/>
      <c r="AN298" s="282" t="n"/>
      <c r="AQ298" s="282" t="n"/>
      <c r="AR298" s="282" t="n"/>
    </row>
    <row customHeight="1" ht="15.75" r="299" s="452" spans="1:45">
      <c r="A299" s="44" t="n"/>
      <c r="G299" s="282" t="n"/>
      <c r="H299" s="282" t="n"/>
      <c r="K299" s="282" t="n"/>
      <c r="L299" s="282" t="n"/>
      <c r="O299" s="282" t="n"/>
      <c r="P299" s="282" t="n"/>
      <c r="S299" s="282" t="n"/>
      <c r="T299" s="282" t="n"/>
      <c r="W299" s="282" t="n"/>
      <c r="X299" s="282" t="n"/>
      <c r="Y299" s="282" t="n"/>
      <c r="Z299" s="282" t="n"/>
      <c r="AA299" s="282" t="n"/>
      <c r="AB299" s="282" t="n"/>
      <c r="AC299" s="529" t="n"/>
      <c r="AE299" s="282" t="n"/>
      <c r="AF299" s="282" t="n"/>
      <c r="AI299" s="282" t="n"/>
      <c r="AJ299" s="282" t="n"/>
      <c r="AM299" s="282" t="n"/>
      <c r="AN299" s="282" t="n"/>
      <c r="AQ299" s="282" t="n"/>
      <c r="AR299" s="282" t="n"/>
    </row>
    <row customHeight="1" ht="15.75" r="300" s="452" spans="1:45">
      <c r="A300" s="44" t="n"/>
      <c r="G300" s="282" t="n"/>
      <c r="H300" s="282" t="n"/>
      <c r="K300" s="282" t="n"/>
      <c r="L300" s="282" t="n"/>
      <c r="O300" s="282" t="n"/>
      <c r="P300" s="282" t="n"/>
      <c r="S300" s="282" t="n"/>
      <c r="T300" s="282" t="n"/>
      <c r="W300" s="282" t="n"/>
      <c r="X300" s="282" t="n"/>
      <c r="Y300" s="282" t="n"/>
      <c r="Z300" s="282" t="n"/>
      <c r="AA300" s="282" t="n"/>
      <c r="AB300" s="282" t="n"/>
      <c r="AC300" s="529" t="n"/>
      <c r="AE300" s="282" t="n"/>
      <c r="AF300" s="282" t="n"/>
      <c r="AI300" s="282" t="n"/>
      <c r="AJ300" s="282" t="n"/>
      <c r="AM300" s="282" t="n"/>
      <c r="AN300" s="282" t="n"/>
      <c r="AQ300" s="282" t="n"/>
      <c r="AR300" s="282" t="n"/>
    </row>
    <row customHeight="1" ht="15.75" r="301" s="452" spans="1:45">
      <c r="A301" s="44" t="n"/>
      <c r="G301" s="282" t="n"/>
      <c r="H301" s="282" t="n"/>
      <c r="K301" s="282" t="n"/>
      <c r="L301" s="282" t="n"/>
      <c r="O301" s="282" t="n"/>
      <c r="P301" s="282" t="n"/>
      <c r="S301" s="282" t="n"/>
      <c r="T301" s="282" t="n"/>
      <c r="W301" s="282" t="n"/>
      <c r="X301" s="282" t="n"/>
      <c r="Y301" s="282" t="n"/>
      <c r="Z301" s="282" t="n"/>
      <c r="AA301" s="282" t="n"/>
      <c r="AB301" s="282" t="n"/>
      <c r="AC301" s="529" t="n"/>
      <c r="AE301" s="282" t="n"/>
      <c r="AF301" s="282" t="n"/>
      <c r="AI301" s="282" t="n"/>
      <c r="AJ301" s="282" t="n"/>
      <c r="AM301" s="282" t="n"/>
      <c r="AN301" s="282" t="n"/>
      <c r="AQ301" s="282" t="n"/>
      <c r="AR301" s="282" t="n"/>
    </row>
    <row customHeight="1" ht="15.75" r="302" s="452" spans="1:45">
      <c r="A302" s="44" t="n"/>
      <c r="G302" s="282" t="n"/>
      <c r="H302" s="282" t="n"/>
      <c r="K302" s="282" t="n"/>
      <c r="L302" s="282" t="n"/>
      <c r="O302" s="282" t="n"/>
      <c r="P302" s="282" t="n"/>
      <c r="S302" s="282" t="n"/>
      <c r="T302" s="282" t="n"/>
      <c r="W302" s="282" t="n"/>
      <c r="X302" s="282" t="n"/>
      <c r="Y302" s="282" t="n"/>
      <c r="Z302" s="282" t="n"/>
      <c r="AA302" s="282" t="n"/>
      <c r="AB302" s="282" t="n"/>
      <c r="AC302" s="529" t="n"/>
      <c r="AE302" s="282" t="n"/>
      <c r="AF302" s="282" t="n"/>
      <c r="AI302" s="282" t="n"/>
      <c r="AJ302" s="282" t="n"/>
      <c r="AM302" s="282" t="n"/>
      <c r="AN302" s="282" t="n"/>
      <c r="AQ302" s="282" t="n"/>
      <c r="AR302" s="282" t="n"/>
    </row>
    <row customHeight="1" ht="15.75" r="303" s="452" spans="1:45">
      <c r="A303" s="44" t="n"/>
      <c r="G303" s="282" t="n"/>
      <c r="H303" s="282" t="n"/>
      <c r="K303" s="282" t="n"/>
      <c r="L303" s="282" t="n"/>
      <c r="O303" s="282" t="n"/>
      <c r="P303" s="282" t="n"/>
      <c r="S303" s="282" t="n"/>
      <c r="T303" s="282" t="n"/>
      <c r="W303" s="282" t="n"/>
      <c r="X303" s="282" t="n"/>
      <c r="Y303" s="282" t="n"/>
      <c r="Z303" s="282" t="n"/>
      <c r="AA303" s="282" t="n"/>
      <c r="AB303" s="282" t="n"/>
      <c r="AC303" s="529" t="n"/>
      <c r="AE303" s="282" t="n"/>
      <c r="AF303" s="282" t="n"/>
      <c r="AI303" s="282" t="n"/>
      <c r="AJ303" s="282" t="n"/>
      <c r="AM303" s="282" t="n"/>
      <c r="AN303" s="282" t="n"/>
      <c r="AQ303" s="282" t="n"/>
      <c r="AR303" s="282" t="n"/>
    </row>
    <row customHeight="1" ht="15.75" r="304" s="452" spans="1:45">
      <c r="A304" s="44" t="n"/>
      <c r="G304" s="282" t="n"/>
      <c r="H304" s="282" t="n"/>
      <c r="K304" s="282" t="n"/>
      <c r="L304" s="282" t="n"/>
      <c r="O304" s="282" t="n"/>
      <c r="P304" s="282" t="n"/>
      <c r="S304" s="282" t="n"/>
      <c r="T304" s="282" t="n"/>
      <c r="W304" s="282" t="n"/>
      <c r="X304" s="282" t="n"/>
      <c r="Y304" s="282" t="n"/>
      <c r="Z304" s="282" t="n"/>
      <c r="AA304" s="282" t="n"/>
      <c r="AB304" s="282" t="n"/>
      <c r="AC304" s="529" t="n"/>
      <c r="AE304" s="282" t="n"/>
      <c r="AF304" s="282" t="n"/>
      <c r="AI304" s="282" t="n"/>
      <c r="AJ304" s="282" t="n"/>
      <c r="AM304" s="282" t="n"/>
      <c r="AN304" s="282" t="n"/>
      <c r="AQ304" s="282" t="n"/>
      <c r="AR304" s="282" t="n"/>
    </row>
    <row customHeight="1" ht="15.75" r="305" s="452" spans="1:45">
      <c r="A305" s="44" t="n"/>
      <c r="G305" s="282" t="n"/>
      <c r="H305" s="282" t="n"/>
      <c r="K305" s="282" t="n"/>
      <c r="L305" s="282" t="n"/>
      <c r="O305" s="282" t="n"/>
      <c r="P305" s="282" t="n"/>
      <c r="S305" s="282" t="n"/>
      <c r="T305" s="282" t="n"/>
      <c r="W305" s="282" t="n"/>
      <c r="X305" s="282" t="n"/>
      <c r="Y305" s="282" t="n"/>
      <c r="Z305" s="282" t="n"/>
      <c r="AA305" s="282" t="n"/>
      <c r="AB305" s="282" t="n"/>
      <c r="AC305" s="529" t="n"/>
      <c r="AE305" s="282" t="n"/>
      <c r="AF305" s="282" t="n"/>
      <c r="AI305" s="282" t="n"/>
      <c r="AJ305" s="282" t="n"/>
      <c r="AM305" s="282" t="n"/>
      <c r="AN305" s="282" t="n"/>
      <c r="AQ305" s="282" t="n"/>
      <c r="AR305" s="282" t="n"/>
    </row>
    <row customHeight="1" ht="15.75" r="306" s="452" spans="1:45">
      <c r="A306" s="44" t="n"/>
      <c r="G306" s="282" t="n"/>
      <c r="H306" s="282" t="n"/>
      <c r="K306" s="282" t="n"/>
      <c r="L306" s="282" t="n"/>
      <c r="O306" s="282" t="n"/>
      <c r="P306" s="282" t="n"/>
      <c r="S306" s="282" t="n"/>
      <c r="T306" s="282" t="n"/>
      <c r="W306" s="282" t="n"/>
      <c r="X306" s="282" t="n"/>
      <c r="Y306" s="282" t="n"/>
      <c r="Z306" s="282" t="n"/>
      <c r="AA306" s="282" t="n"/>
      <c r="AB306" s="282" t="n"/>
      <c r="AC306" s="529" t="n"/>
      <c r="AE306" s="282" t="n"/>
      <c r="AF306" s="282" t="n"/>
      <c r="AI306" s="282" t="n"/>
      <c r="AJ306" s="282" t="n"/>
      <c r="AM306" s="282" t="n"/>
      <c r="AN306" s="282" t="n"/>
      <c r="AQ306" s="282" t="n"/>
      <c r="AR306" s="282" t="n"/>
    </row>
    <row customHeight="1" ht="15.75" r="307" s="452" spans="1:45">
      <c r="A307" s="44" t="n"/>
      <c r="G307" s="282" t="n"/>
      <c r="H307" s="282" t="n"/>
      <c r="K307" s="282" t="n"/>
      <c r="L307" s="282" t="n"/>
      <c r="O307" s="282" t="n"/>
      <c r="P307" s="282" t="n"/>
      <c r="S307" s="282" t="n"/>
      <c r="T307" s="282" t="n"/>
      <c r="W307" s="282" t="n"/>
      <c r="X307" s="282" t="n"/>
      <c r="Y307" s="282" t="n"/>
      <c r="Z307" s="282" t="n"/>
      <c r="AA307" s="282" t="n"/>
      <c r="AB307" s="282" t="n"/>
      <c r="AC307" s="529" t="n"/>
      <c r="AE307" s="282" t="n"/>
      <c r="AF307" s="282" t="n"/>
      <c r="AI307" s="282" t="n"/>
      <c r="AJ307" s="282" t="n"/>
      <c r="AM307" s="282" t="n"/>
      <c r="AN307" s="282" t="n"/>
      <c r="AQ307" s="282" t="n"/>
      <c r="AR307" s="282" t="n"/>
    </row>
    <row customHeight="1" ht="15.75" r="308" s="452" spans="1:45">
      <c r="A308" s="44" t="n"/>
      <c r="G308" s="282" t="n"/>
      <c r="H308" s="282" t="n"/>
      <c r="K308" s="282" t="n"/>
      <c r="L308" s="282" t="n"/>
      <c r="O308" s="282" t="n"/>
      <c r="P308" s="282" t="n"/>
      <c r="S308" s="282" t="n"/>
      <c r="T308" s="282" t="n"/>
      <c r="W308" s="282" t="n"/>
      <c r="X308" s="282" t="n"/>
      <c r="Y308" s="282" t="n"/>
      <c r="Z308" s="282" t="n"/>
      <c r="AA308" s="282" t="n"/>
      <c r="AB308" s="282" t="n"/>
      <c r="AC308" s="529" t="n"/>
      <c r="AE308" s="282" t="n"/>
      <c r="AF308" s="282" t="n"/>
      <c r="AI308" s="282" t="n"/>
      <c r="AJ308" s="282" t="n"/>
      <c r="AM308" s="282" t="n"/>
      <c r="AN308" s="282" t="n"/>
      <c r="AQ308" s="282" t="n"/>
      <c r="AR308" s="282" t="n"/>
    </row>
    <row customHeight="1" ht="15.75" r="309" s="452" spans="1:45">
      <c r="A309" s="44" t="n"/>
      <c r="G309" s="282" t="n"/>
      <c r="H309" s="282" t="n"/>
      <c r="K309" s="282" t="n"/>
      <c r="L309" s="282" t="n"/>
      <c r="O309" s="282" t="n"/>
      <c r="P309" s="282" t="n"/>
      <c r="S309" s="282" t="n"/>
      <c r="T309" s="282" t="n"/>
      <c r="W309" s="282" t="n"/>
      <c r="X309" s="282" t="n"/>
      <c r="Y309" s="282" t="n"/>
      <c r="Z309" s="282" t="n"/>
      <c r="AA309" s="282" t="n"/>
      <c r="AB309" s="282" t="n"/>
      <c r="AC309" s="529" t="n"/>
      <c r="AE309" s="282" t="n"/>
      <c r="AF309" s="282" t="n"/>
      <c r="AI309" s="282" t="n"/>
      <c r="AJ309" s="282" t="n"/>
      <c r="AM309" s="282" t="n"/>
      <c r="AN309" s="282" t="n"/>
      <c r="AQ309" s="282" t="n"/>
      <c r="AR309" s="282" t="n"/>
    </row>
    <row customHeight="1" ht="15.75" r="310" s="452" spans="1:45">
      <c r="A310" s="44" t="n"/>
      <c r="G310" s="282" t="n"/>
      <c r="H310" s="282" t="n"/>
      <c r="K310" s="282" t="n"/>
      <c r="L310" s="282" t="n"/>
      <c r="O310" s="282" t="n"/>
      <c r="P310" s="282" t="n"/>
      <c r="S310" s="282" t="n"/>
      <c r="T310" s="282" t="n"/>
      <c r="W310" s="282" t="n"/>
      <c r="X310" s="282" t="n"/>
      <c r="Y310" s="282" t="n"/>
      <c r="Z310" s="282" t="n"/>
      <c r="AA310" s="282" t="n"/>
      <c r="AB310" s="282" t="n"/>
      <c r="AC310" s="529" t="n"/>
      <c r="AE310" s="282" t="n"/>
      <c r="AF310" s="282" t="n"/>
      <c r="AI310" s="282" t="n"/>
      <c r="AJ310" s="282" t="n"/>
      <c r="AM310" s="282" t="n"/>
      <c r="AN310" s="282" t="n"/>
      <c r="AQ310" s="282" t="n"/>
      <c r="AR310" s="282" t="n"/>
    </row>
    <row customHeight="1" ht="15.75" r="311" s="452" spans="1:45">
      <c r="A311" s="44" t="n"/>
      <c r="G311" s="282" t="n"/>
      <c r="H311" s="282" t="n"/>
      <c r="K311" s="282" t="n"/>
      <c r="L311" s="282" t="n"/>
      <c r="O311" s="282" t="n"/>
      <c r="P311" s="282" t="n"/>
      <c r="S311" s="282" t="n"/>
      <c r="T311" s="282" t="n"/>
      <c r="W311" s="282" t="n"/>
      <c r="X311" s="282" t="n"/>
      <c r="Y311" s="282" t="n"/>
      <c r="Z311" s="282" t="n"/>
      <c r="AA311" s="282" t="n"/>
      <c r="AB311" s="282" t="n"/>
      <c r="AC311" s="529" t="n"/>
      <c r="AE311" s="282" t="n"/>
      <c r="AF311" s="282" t="n"/>
      <c r="AI311" s="282" t="n"/>
      <c r="AJ311" s="282" t="n"/>
      <c r="AM311" s="282" t="n"/>
      <c r="AN311" s="282" t="n"/>
      <c r="AQ311" s="282" t="n"/>
      <c r="AR311" s="282" t="n"/>
    </row>
    <row customHeight="1" ht="15.75" r="312" s="452" spans="1:45">
      <c r="A312" s="44" t="n"/>
      <c r="G312" s="282" t="n"/>
      <c r="H312" s="282" t="n"/>
      <c r="K312" s="282" t="n"/>
      <c r="L312" s="282" t="n"/>
      <c r="O312" s="282" t="n"/>
      <c r="P312" s="282" t="n"/>
      <c r="S312" s="282" t="n"/>
      <c r="T312" s="282" t="n"/>
      <c r="W312" s="282" t="n"/>
      <c r="X312" s="282" t="n"/>
      <c r="Y312" s="282" t="n"/>
      <c r="Z312" s="282" t="n"/>
      <c r="AA312" s="282" t="n"/>
      <c r="AB312" s="282" t="n"/>
      <c r="AC312" s="529" t="n"/>
      <c r="AE312" s="282" t="n"/>
      <c r="AF312" s="282" t="n"/>
      <c r="AI312" s="282" t="n"/>
      <c r="AJ312" s="282" t="n"/>
      <c r="AM312" s="282" t="n"/>
      <c r="AN312" s="282" t="n"/>
      <c r="AQ312" s="282" t="n"/>
      <c r="AR312" s="282" t="n"/>
    </row>
    <row customHeight="1" ht="15.75" r="313" s="452" spans="1:45">
      <c r="A313" s="44" t="n"/>
      <c r="G313" s="282" t="n"/>
      <c r="H313" s="282" t="n"/>
      <c r="K313" s="282" t="n"/>
      <c r="L313" s="282" t="n"/>
      <c r="O313" s="282" t="n"/>
      <c r="P313" s="282" t="n"/>
      <c r="S313" s="282" t="n"/>
      <c r="T313" s="282" t="n"/>
      <c r="W313" s="282" t="n"/>
      <c r="X313" s="282" t="n"/>
      <c r="Y313" s="282" t="n"/>
      <c r="Z313" s="282" t="n"/>
      <c r="AA313" s="282" t="n"/>
      <c r="AB313" s="282" t="n"/>
      <c r="AC313" s="529" t="n"/>
      <c r="AE313" s="282" t="n"/>
      <c r="AF313" s="282" t="n"/>
      <c r="AI313" s="282" t="n"/>
      <c r="AJ313" s="282" t="n"/>
      <c r="AM313" s="282" t="n"/>
      <c r="AN313" s="282" t="n"/>
      <c r="AQ313" s="282" t="n"/>
      <c r="AR313" s="282" t="n"/>
    </row>
    <row customHeight="1" ht="15.75" r="314" s="452" spans="1:45">
      <c r="A314" s="44" t="n"/>
      <c r="G314" s="282" t="n"/>
      <c r="H314" s="282" t="n"/>
      <c r="K314" s="282" t="n"/>
      <c r="L314" s="282" t="n"/>
      <c r="O314" s="282" t="n"/>
      <c r="P314" s="282" t="n"/>
      <c r="S314" s="282" t="n"/>
      <c r="T314" s="282" t="n"/>
      <c r="W314" s="282" t="n"/>
      <c r="X314" s="282" t="n"/>
      <c r="Y314" s="282" t="n"/>
      <c r="Z314" s="282" t="n"/>
      <c r="AA314" s="282" t="n"/>
      <c r="AB314" s="282" t="n"/>
      <c r="AC314" s="529" t="n"/>
      <c r="AE314" s="282" t="n"/>
      <c r="AF314" s="282" t="n"/>
      <c r="AI314" s="282" t="n"/>
      <c r="AJ314" s="282" t="n"/>
      <c r="AM314" s="282" t="n"/>
      <c r="AN314" s="282" t="n"/>
      <c r="AQ314" s="282" t="n"/>
      <c r="AR314" s="282" t="n"/>
    </row>
    <row customHeight="1" ht="15.75" r="315" s="452" spans="1:45">
      <c r="A315" s="44" t="n"/>
      <c r="G315" s="282" t="n"/>
      <c r="H315" s="282" t="n"/>
      <c r="K315" s="282" t="n"/>
      <c r="L315" s="282" t="n"/>
      <c r="O315" s="282" t="n"/>
      <c r="P315" s="282" t="n"/>
      <c r="S315" s="282" t="n"/>
      <c r="T315" s="282" t="n"/>
      <c r="W315" s="282" t="n"/>
      <c r="X315" s="282" t="n"/>
      <c r="Y315" s="282" t="n"/>
      <c r="Z315" s="282" t="n"/>
      <c r="AA315" s="282" t="n"/>
      <c r="AB315" s="282" t="n"/>
      <c r="AC315" s="529" t="n"/>
      <c r="AE315" s="282" t="n"/>
      <c r="AF315" s="282" t="n"/>
      <c r="AI315" s="282" t="n"/>
      <c r="AJ315" s="282" t="n"/>
      <c r="AM315" s="282" t="n"/>
      <c r="AN315" s="282" t="n"/>
      <c r="AQ315" s="282" t="n"/>
      <c r="AR315" s="282" t="n"/>
    </row>
    <row customHeight="1" ht="15.75" r="316" s="452" spans="1:45">
      <c r="A316" s="44" t="n"/>
      <c r="G316" s="282" t="n"/>
      <c r="H316" s="282" t="n"/>
      <c r="K316" s="282" t="n"/>
      <c r="L316" s="282" t="n"/>
      <c r="O316" s="282" t="n"/>
      <c r="P316" s="282" t="n"/>
      <c r="S316" s="282" t="n"/>
      <c r="T316" s="282" t="n"/>
      <c r="W316" s="282" t="n"/>
      <c r="X316" s="282" t="n"/>
      <c r="Y316" s="282" t="n"/>
      <c r="Z316" s="282" t="n"/>
      <c r="AA316" s="282" t="n"/>
      <c r="AB316" s="282" t="n"/>
      <c r="AC316" s="529" t="n"/>
      <c r="AE316" s="282" t="n"/>
      <c r="AF316" s="282" t="n"/>
      <c r="AI316" s="282" t="n"/>
      <c r="AJ316" s="282" t="n"/>
      <c r="AM316" s="282" t="n"/>
      <c r="AN316" s="282" t="n"/>
      <c r="AQ316" s="282" t="n"/>
      <c r="AR316" s="282" t="n"/>
    </row>
    <row customHeight="1" ht="15.75" r="317" s="452" spans="1:45">
      <c r="A317" s="44" t="n"/>
      <c r="G317" s="282" t="n"/>
      <c r="H317" s="282" t="n"/>
      <c r="K317" s="282" t="n"/>
      <c r="L317" s="282" t="n"/>
      <c r="O317" s="282" t="n"/>
      <c r="P317" s="282" t="n"/>
      <c r="S317" s="282" t="n"/>
      <c r="T317" s="282" t="n"/>
      <c r="W317" s="282" t="n"/>
      <c r="X317" s="282" t="n"/>
      <c r="Y317" s="282" t="n"/>
      <c r="Z317" s="282" t="n"/>
      <c r="AA317" s="282" t="n"/>
      <c r="AB317" s="282" t="n"/>
      <c r="AC317" s="529" t="n"/>
      <c r="AE317" s="282" t="n"/>
      <c r="AF317" s="282" t="n"/>
      <c r="AI317" s="282" t="n"/>
      <c r="AJ317" s="282" t="n"/>
      <c r="AM317" s="282" t="n"/>
      <c r="AN317" s="282" t="n"/>
      <c r="AQ317" s="282" t="n"/>
      <c r="AR317" s="282" t="n"/>
    </row>
    <row customHeight="1" ht="15.75" r="318" s="452" spans="1:45">
      <c r="A318" s="44" t="n"/>
      <c r="G318" s="282" t="n"/>
      <c r="H318" s="282" t="n"/>
      <c r="K318" s="282" t="n"/>
      <c r="L318" s="282" t="n"/>
      <c r="O318" s="282" t="n"/>
      <c r="P318" s="282" t="n"/>
      <c r="S318" s="282" t="n"/>
      <c r="T318" s="282" t="n"/>
      <c r="W318" s="282" t="n"/>
      <c r="X318" s="282" t="n"/>
      <c r="Y318" s="282" t="n"/>
      <c r="Z318" s="282" t="n"/>
      <c r="AA318" s="282" t="n"/>
      <c r="AB318" s="282" t="n"/>
      <c r="AC318" s="529" t="n"/>
      <c r="AE318" s="282" t="n"/>
      <c r="AF318" s="282" t="n"/>
      <c r="AI318" s="282" t="n"/>
      <c r="AJ318" s="282" t="n"/>
      <c r="AM318" s="282" t="n"/>
      <c r="AN318" s="282" t="n"/>
      <c r="AQ318" s="282" t="n"/>
      <c r="AR318" s="282" t="n"/>
    </row>
    <row customHeight="1" ht="15.75" r="319" s="452" spans="1:45">
      <c r="A319" s="44" t="n"/>
      <c r="G319" s="282" t="n"/>
      <c r="H319" s="282" t="n"/>
      <c r="K319" s="282" t="n"/>
      <c r="L319" s="282" t="n"/>
      <c r="O319" s="282" t="n"/>
      <c r="P319" s="282" t="n"/>
      <c r="S319" s="282" t="n"/>
      <c r="T319" s="282" t="n"/>
      <c r="W319" s="282" t="n"/>
      <c r="X319" s="282" t="n"/>
      <c r="Y319" s="282" t="n"/>
      <c r="Z319" s="282" t="n"/>
      <c r="AA319" s="282" t="n"/>
      <c r="AB319" s="282" t="n"/>
      <c r="AC319" s="529" t="n"/>
      <c r="AE319" s="282" t="n"/>
      <c r="AF319" s="282" t="n"/>
      <c r="AI319" s="282" t="n"/>
      <c r="AJ319" s="282" t="n"/>
      <c r="AM319" s="282" t="n"/>
      <c r="AN319" s="282" t="n"/>
      <c r="AQ319" s="282" t="n"/>
      <c r="AR319" s="282" t="n"/>
    </row>
    <row customHeight="1" ht="15.75" r="320" s="452" spans="1:45">
      <c r="A320" s="44" t="n"/>
      <c r="G320" s="282" t="n"/>
      <c r="H320" s="282" t="n"/>
      <c r="K320" s="282" t="n"/>
      <c r="L320" s="282" t="n"/>
      <c r="O320" s="282" t="n"/>
      <c r="P320" s="282" t="n"/>
      <c r="S320" s="282" t="n"/>
      <c r="T320" s="282" t="n"/>
      <c r="W320" s="282" t="n"/>
      <c r="X320" s="282" t="n"/>
      <c r="Y320" s="282" t="n"/>
      <c r="Z320" s="282" t="n"/>
      <c r="AA320" s="282" t="n"/>
      <c r="AB320" s="282" t="n"/>
      <c r="AC320" s="529" t="n"/>
      <c r="AE320" s="282" t="n"/>
      <c r="AF320" s="282" t="n"/>
      <c r="AI320" s="282" t="n"/>
      <c r="AJ320" s="282" t="n"/>
      <c r="AM320" s="282" t="n"/>
      <c r="AN320" s="282" t="n"/>
      <c r="AQ320" s="282" t="n"/>
      <c r="AR320" s="282" t="n"/>
    </row>
    <row customHeight="1" ht="15.75" r="321" s="452" spans="1:45">
      <c r="A321" s="44" t="n"/>
      <c r="G321" s="282" t="n"/>
      <c r="H321" s="282" t="n"/>
      <c r="K321" s="282" t="n"/>
      <c r="L321" s="282" t="n"/>
      <c r="O321" s="282" t="n"/>
      <c r="P321" s="282" t="n"/>
      <c r="S321" s="282" t="n"/>
      <c r="T321" s="282" t="n"/>
      <c r="W321" s="282" t="n"/>
      <c r="X321" s="282" t="n"/>
      <c r="Y321" s="282" t="n"/>
      <c r="Z321" s="282" t="n"/>
      <c r="AA321" s="282" t="n"/>
      <c r="AB321" s="282" t="n"/>
      <c r="AC321" s="529" t="n"/>
      <c r="AE321" s="282" t="n"/>
      <c r="AF321" s="282" t="n"/>
      <c r="AI321" s="282" t="n"/>
      <c r="AJ321" s="282" t="n"/>
      <c r="AM321" s="282" t="n"/>
      <c r="AN321" s="282" t="n"/>
      <c r="AQ321" s="282" t="n"/>
      <c r="AR321" s="282" t="n"/>
    </row>
    <row customHeight="1" ht="15.75" r="322" s="452" spans="1:45">
      <c r="A322" s="44" t="n"/>
      <c r="G322" s="282" t="n"/>
      <c r="H322" s="282" t="n"/>
      <c r="K322" s="282" t="n"/>
      <c r="L322" s="282" t="n"/>
      <c r="O322" s="282" t="n"/>
      <c r="P322" s="282" t="n"/>
      <c r="S322" s="282" t="n"/>
      <c r="T322" s="282" t="n"/>
      <c r="W322" s="282" t="n"/>
      <c r="X322" s="282" t="n"/>
      <c r="Y322" s="282" t="n"/>
      <c r="Z322" s="282" t="n"/>
      <c r="AA322" s="282" t="n"/>
      <c r="AB322" s="282" t="n"/>
      <c r="AC322" s="529" t="n"/>
      <c r="AE322" s="282" t="n"/>
      <c r="AF322" s="282" t="n"/>
      <c r="AI322" s="282" t="n"/>
      <c r="AJ322" s="282" t="n"/>
      <c r="AM322" s="282" t="n"/>
      <c r="AN322" s="282" t="n"/>
      <c r="AQ322" s="282" t="n"/>
      <c r="AR322" s="282" t="n"/>
    </row>
    <row customHeight="1" ht="15.75" r="323" s="452" spans="1:45">
      <c r="A323" s="44" t="n"/>
      <c r="G323" s="282" t="n"/>
      <c r="H323" s="282" t="n"/>
      <c r="K323" s="282" t="n"/>
      <c r="L323" s="282" t="n"/>
      <c r="O323" s="282" t="n"/>
      <c r="P323" s="282" t="n"/>
      <c r="S323" s="282" t="n"/>
      <c r="T323" s="282" t="n"/>
      <c r="W323" s="282" t="n"/>
      <c r="X323" s="282" t="n"/>
      <c r="Y323" s="282" t="n"/>
      <c r="Z323" s="282" t="n"/>
      <c r="AA323" s="282" t="n"/>
      <c r="AB323" s="282" t="n"/>
      <c r="AC323" s="529" t="n"/>
      <c r="AE323" s="282" t="n"/>
      <c r="AF323" s="282" t="n"/>
      <c r="AI323" s="282" t="n"/>
      <c r="AJ323" s="282" t="n"/>
      <c r="AM323" s="282" t="n"/>
      <c r="AN323" s="282" t="n"/>
      <c r="AQ323" s="282" t="n"/>
      <c r="AR323" s="282" t="n"/>
    </row>
    <row customHeight="1" ht="15.75" r="324" s="452" spans="1:45">
      <c r="A324" s="44" t="n"/>
      <c r="G324" s="282" t="n"/>
      <c r="H324" s="282" t="n"/>
      <c r="K324" s="282" t="n"/>
      <c r="L324" s="282" t="n"/>
      <c r="O324" s="282" t="n"/>
      <c r="P324" s="282" t="n"/>
      <c r="S324" s="282" t="n"/>
      <c r="T324" s="282" t="n"/>
      <c r="W324" s="282" t="n"/>
      <c r="X324" s="282" t="n"/>
      <c r="Y324" s="282" t="n"/>
      <c r="Z324" s="282" t="n"/>
      <c r="AA324" s="282" t="n"/>
      <c r="AB324" s="282" t="n"/>
      <c r="AC324" s="529" t="n"/>
      <c r="AE324" s="282" t="n"/>
      <c r="AF324" s="282" t="n"/>
      <c r="AI324" s="282" t="n"/>
      <c r="AJ324" s="282" t="n"/>
      <c r="AM324" s="282" t="n"/>
      <c r="AN324" s="282" t="n"/>
      <c r="AQ324" s="282" t="n"/>
      <c r="AR324" s="282" t="n"/>
    </row>
    <row customHeight="1" ht="15.75" r="325" s="452" spans="1:45">
      <c r="A325" s="44" t="n"/>
      <c r="G325" s="282" t="n"/>
      <c r="H325" s="282" t="n"/>
      <c r="K325" s="282" t="n"/>
      <c r="L325" s="282" t="n"/>
      <c r="O325" s="282" t="n"/>
      <c r="P325" s="282" t="n"/>
      <c r="S325" s="282" t="n"/>
      <c r="T325" s="282" t="n"/>
      <c r="W325" s="282" t="n"/>
      <c r="X325" s="282" t="n"/>
      <c r="Y325" s="282" t="n"/>
      <c r="Z325" s="282" t="n"/>
      <c r="AA325" s="282" t="n"/>
      <c r="AB325" s="282" t="n"/>
      <c r="AC325" s="529" t="n"/>
      <c r="AE325" s="282" t="n"/>
      <c r="AF325" s="282" t="n"/>
      <c r="AI325" s="282" t="n"/>
      <c r="AJ325" s="282" t="n"/>
      <c r="AM325" s="282" t="n"/>
      <c r="AN325" s="282" t="n"/>
      <c r="AQ325" s="282" t="n"/>
      <c r="AR325" s="282" t="n"/>
    </row>
    <row customHeight="1" ht="15.75" r="326" s="452" spans="1:45">
      <c r="A326" s="44" t="n"/>
      <c r="G326" s="282" t="n"/>
      <c r="H326" s="282" t="n"/>
      <c r="K326" s="282" t="n"/>
      <c r="L326" s="282" t="n"/>
      <c r="O326" s="282" t="n"/>
      <c r="P326" s="282" t="n"/>
      <c r="S326" s="282" t="n"/>
      <c r="T326" s="282" t="n"/>
      <c r="W326" s="282" t="n"/>
      <c r="X326" s="282" t="n"/>
      <c r="Y326" s="282" t="n"/>
      <c r="Z326" s="282" t="n"/>
      <c r="AA326" s="282" t="n"/>
      <c r="AB326" s="282" t="n"/>
      <c r="AC326" s="529" t="n"/>
      <c r="AE326" s="282" t="n"/>
      <c r="AF326" s="282" t="n"/>
      <c r="AI326" s="282" t="n"/>
      <c r="AJ326" s="282" t="n"/>
      <c r="AM326" s="282" t="n"/>
      <c r="AN326" s="282" t="n"/>
      <c r="AQ326" s="282" t="n"/>
      <c r="AR326" s="282" t="n"/>
    </row>
    <row customHeight="1" ht="15.75" r="327" s="452" spans="1:45">
      <c r="A327" s="44" t="n"/>
      <c r="G327" s="282" t="n"/>
      <c r="H327" s="282" t="n"/>
      <c r="K327" s="282" t="n"/>
      <c r="L327" s="282" t="n"/>
      <c r="O327" s="282" t="n"/>
      <c r="P327" s="282" t="n"/>
      <c r="S327" s="282" t="n"/>
      <c r="T327" s="282" t="n"/>
      <c r="W327" s="282" t="n"/>
      <c r="X327" s="282" t="n"/>
      <c r="Y327" s="282" t="n"/>
      <c r="Z327" s="282" t="n"/>
      <c r="AA327" s="282" t="n"/>
      <c r="AB327" s="282" t="n"/>
      <c r="AC327" s="529" t="n"/>
      <c r="AE327" s="282" t="n"/>
      <c r="AF327" s="282" t="n"/>
      <c r="AI327" s="282" t="n"/>
      <c r="AJ327" s="282" t="n"/>
      <c r="AM327" s="282" t="n"/>
      <c r="AN327" s="282" t="n"/>
      <c r="AQ327" s="282" t="n"/>
      <c r="AR327" s="282" t="n"/>
    </row>
    <row customHeight="1" ht="15.75" r="328" s="452" spans="1:45">
      <c r="A328" s="44" t="n"/>
      <c r="G328" s="282" t="n"/>
      <c r="H328" s="282" t="n"/>
      <c r="K328" s="282" t="n"/>
      <c r="L328" s="282" t="n"/>
      <c r="O328" s="282" t="n"/>
      <c r="P328" s="282" t="n"/>
      <c r="S328" s="282" t="n"/>
      <c r="T328" s="282" t="n"/>
      <c r="W328" s="282" t="n"/>
      <c r="X328" s="282" t="n"/>
      <c r="Y328" s="282" t="n"/>
      <c r="Z328" s="282" t="n"/>
      <c r="AA328" s="282" t="n"/>
      <c r="AB328" s="282" t="n"/>
      <c r="AC328" s="529" t="n"/>
      <c r="AE328" s="282" t="n"/>
      <c r="AF328" s="282" t="n"/>
      <c r="AI328" s="282" t="n"/>
      <c r="AJ328" s="282" t="n"/>
      <c r="AM328" s="282" t="n"/>
      <c r="AN328" s="282" t="n"/>
      <c r="AQ328" s="282" t="n"/>
      <c r="AR328" s="282" t="n"/>
    </row>
    <row customHeight="1" ht="15.75" r="329" s="452" spans="1:45">
      <c r="A329" s="44" t="n"/>
      <c r="G329" s="282" t="n"/>
      <c r="H329" s="282" t="n"/>
      <c r="K329" s="282" t="n"/>
      <c r="L329" s="282" t="n"/>
      <c r="O329" s="282" t="n"/>
      <c r="P329" s="282" t="n"/>
      <c r="S329" s="282" t="n"/>
      <c r="T329" s="282" t="n"/>
      <c r="W329" s="282" t="n"/>
      <c r="X329" s="282" t="n"/>
      <c r="Y329" s="282" t="n"/>
      <c r="Z329" s="282" t="n"/>
      <c r="AA329" s="282" t="n"/>
      <c r="AB329" s="282" t="n"/>
      <c r="AC329" s="529" t="n"/>
      <c r="AE329" s="282" t="n"/>
      <c r="AF329" s="282" t="n"/>
      <c r="AI329" s="282" t="n"/>
      <c r="AJ329" s="282" t="n"/>
      <c r="AM329" s="282" t="n"/>
      <c r="AN329" s="282" t="n"/>
      <c r="AQ329" s="282" t="n"/>
      <c r="AR329" s="282" t="n"/>
    </row>
    <row customHeight="1" ht="15.75" r="330" s="452" spans="1:45">
      <c r="A330" s="44" t="n"/>
      <c r="G330" s="282" t="n"/>
      <c r="H330" s="282" t="n"/>
      <c r="K330" s="282" t="n"/>
      <c r="L330" s="282" t="n"/>
      <c r="O330" s="282" t="n"/>
      <c r="P330" s="282" t="n"/>
      <c r="S330" s="282" t="n"/>
      <c r="T330" s="282" t="n"/>
      <c r="W330" s="282" t="n"/>
      <c r="X330" s="282" t="n"/>
      <c r="Y330" s="282" t="n"/>
      <c r="Z330" s="282" t="n"/>
      <c r="AA330" s="282" t="n"/>
      <c r="AB330" s="282" t="n"/>
      <c r="AC330" s="529" t="n"/>
      <c r="AE330" s="282" t="n"/>
      <c r="AF330" s="282" t="n"/>
      <c r="AI330" s="282" t="n"/>
      <c r="AJ330" s="282" t="n"/>
      <c r="AM330" s="282" t="n"/>
      <c r="AN330" s="282" t="n"/>
      <c r="AQ330" s="282" t="n"/>
      <c r="AR330" s="282" t="n"/>
    </row>
    <row customHeight="1" ht="15.75" r="331" s="452" spans="1:45">
      <c r="A331" s="44" t="n"/>
      <c r="G331" s="282" t="n"/>
      <c r="H331" s="282" t="n"/>
      <c r="K331" s="282" t="n"/>
      <c r="L331" s="282" t="n"/>
      <c r="O331" s="282" t="n"/>
      <c r="P331" s="282" t="n"/>
      <c r="S331" s="282" t="n"/>
      <c r="T331" s="282" t="n"/>
      <c r="W331" s="282" t="n"/>
      <c r="X331" s="282" t="n"/>
      <c r="Y331" s="282" t="n"/>
      <c r="Z331" s="282" t="n"/>
      <c r="AA331" s="282" t="n"/>
      <c r="AB331" s="282" t="n"/>
      <c r="AC331" s="529" t="n"/>
      <c r="AE331" s="282" t="n"/>
      <c r="AF331" s="282" t="n"/>
      <c r="AI331" s="282" t="n"/>
      <c r="AJ331" s="282" t="n"/>
      <c r="AM331" s="282" t="n"/>
      <c r="AN331" s="282" t="n"/>
      <c r="AQ331" s="282" t="n"/>
      <c r="AR331" s="282" t="n"/>
    </row>
    <row customHeight="1" ht="15.75" r="332" s="452" spans="1:45">
      <c r="A332" s="44" t="n"/>
      <c r="G332" s="282" t="n"/>
      <c r="H332" s="282" t="n"/>
      <c r="K332" s="282" t="n"/>
      <c r="L332" s="282" t="n"/>
      <c r="O332" s="282" t="n"/>
      <c r="P332" s="282" t="n"/>
      <c r="S332" s="282" t="n"/>
      <c r="T332" s="282" t="n"/>
      <c r="W332" s="282" t="n"/>
      <c r="X332" s="282" t="n"/>
      <c r="Y332" s="282" t="n"/>
      <c r="Z332" s="282" t="n"/>
      <c r="AA332" s="282" t="n"/>
      <c r="AB332" s="282" t="n"/>
      <c r="AC332" s="529" t="n"/>
      <c r="AE332" s="282" t="n"/>
      <c r="AF332" s="282" t="n"/>
      <c r="AI332" s="282" t="n"/>
      <c r="AJ332" s="282" t="n"/>
      <c r="AM332" s="282" t="n"/>
      <c r="AN332" s="282" t="n"/>
      <c r="AQ332" s="282" t="n"/>
      <c r="AR332" s="282" t="n"/>
    </row>
    <row customHeight="1" ht="15.75" r="333" s="452" spans="1:45">
      <c r="A333" s="44" t="n"/>
      <c r="G333" s="282" t="n"/>
      <c r="H333" s="282" t="n"/>
      <c r="K333" s="282" t="n"/>
      <c r="L333" s="282" t="n"/>
      <c r="O333" s="282" t="n"/>
      <c r="P333" s="282" t="n"/>
      <c r="S333" s="282" t="n"/>
      <c r="T333" s="282" t="n"/>
      <c r="W333" s="282" t="n"/>
      <c r="X333" s="282" t="n"/>
      <c r="Y333" s="282" t="n"/>
      <c r="Z333" s="282" t="n"/>
      <c r="AA333" s="282" t="n"/>
      <c r="AB333" s="282" t="n"/>
      <c r="AC333" s="529" t="n"/>
      <c r="AE333" s="282" t="n"/>
      <c r="AF333" s="282" t="n"/>
      <c r="AI333" s="282" t="n"/>
      <c r="AJ333" s="282" t="n"/>
      <c r="AM333" s="282" t="n"/>
      <c r="AN333" s="282" t="n"/>
      <c r="AQ333" s="282" t="n"/>
      <c r="AR333" s="282" t="n"/>
    </row>
    <row customHeight="1" ht="15.75" r="334" s="452" spans="1:45">
      <c r="A334" s="44" t="n"/>
      <c r="G334" s="282" t="n"/>
      <c r="H334" s="282" t="n"/>
      <c r="K334" s="282" t="n"/>
      <c r="L334" s="282" t="n"/>
      <c r="O334" s="282" t="n"/>
      <c r="P334" s="282" t="n"/>
      <c r="S334" s="282" t="n"/>
      <c r="T334" s="282" t="n"/>
      <c r="W334" s="282" t="n"/>
      <c r="X334" s="282" t="n"/>
      <c r="Y334" s="282" t="n"/>
      <c r="Z334" s="282" t="n"/>
      <c r="AA334" s="282" t="n"/>
      <c r="AB334" s="282" t="n"/>
      <c r="AC334" s="529" t="n"/>
      <c r="AE334" s="282" t="n"/>
      <c r="AF334" s="282" t="n"/>
      <c r="AI334" s="282" t="n"/>
      <c r="AJ334" s="282" t="n"/>
      <c r="AM334" s="282" t="n"/>
      <c r="AN334" s="282" t="n"/>
      <c r="AQ334" s="282" t="n"/>
      <c r="AR334" s="282" t="n"/>
    </row>
    <row customHeight="1" ht="15.75" r="335" s="452" spans="1:45">
      <c r="A335" s="44" t="n"/>
      <c r="G335" s="282" t="n"/>
      <c r="H335" s="282" t="n"/>
      <c r="K335" s="282" t="n"/>
      <c r="L335" s="282" t="n"/>
      <c r="O335" s="282" t="n"/>
      <c r="P335" s="282" t="n"/>
      <c r="S335" s="282" t="n"/>
      <c r="T335" s="282" t="n"/>
      <c r="W335" s="282" t="n"/>
      <c r="X335" s="282" t="n"/>
      <c r="Y335" s="282" t="n"/>
      <c r="Z335" s="282" t="n"/>
      <c r="AA335" s="282" t="n"/>
      <c r="AB335" s="282" t="n"/>
      <c r="AC335" s="529" t="n"/>
      <c r="AE335" s="282" t="n"/>
      <c r="AF335" s="282" t="n"/>
      <c r="AI335" s="282" t="n"/>
      <c r="AJ335" s="282" t="n"/>
      <c r="AM335" s="282" t="n"/>
      <c r="AN335" s="282" t="n"/>
      <c r="AQ335" s="282" t="n"/>
      <c r="AR335" s="282" t="n"/>
    </row>
    <row customHeight="1" ht="15.75" r="336" s="452" spans="1:45">
      <c r="A336" s="44" t="n"/>
      <c r="G336" s="282" t="n"/>
      <c r="H336" s="282" t="n"/>
      <c r="K336" s="282" t="n"/>
      <c r="L336" s="282" t="n"/>
      <c r="O336" s="282" t="n"/>
      <c r="P336" s="282" t="n"/>
      <c r="S336" s="282" t="n"/>
      <c r="T336" s="282" t="n"/>
      <c r="W336" s="282" t="n"/>
      <c r="X336" s="282" t="n"/>
      <c r="Y336" s="282" t="n"/>
      <c r="Z336" s="282" t="n"/>
      <c r="AA336" s="282" t="n"/>
      <c r="AB336" s="282" t="n"/>
      <c r="AC336" s="529" t="n"/>
      <c r="AE336" s="282" t="n"/>
      <c r="AF336" s="282" t="n"/>
      <c r="AI336" s="282" t="n"/>
      <c r="AJ336" s="282" t="n"/>
      <c r="AM336" s="282" t="n"/>
      <c r="AN336" s="282" t="n"/>
      <c r="AQ336" s="282" t="n"/>
      <c r="AR336" s="282" t="n"/>
    </row>
    <row customHeight="1" ht="15.75" r="337" s="452" spans="1:45">
      <c r="A337" s="44" t="n"/>
      <c r="G337" s="282" t="n"/>
      <c r="H337" s="282" t="n"/>
      <c r="K337" s="282" t="n"/>
      <c r="L337" s="282" t="n"/>
      <c r="O337" s="282" t="n"/>
      <c r="P337" s="282" t="n"/>
      <c r="S337" s="282" t="n"/>
      <c r="T337" s="282" t="n"/>
      <c r="W337" s="282" t="n"/>
      <c r="X337" s="282" t="n"/>
      <c r="Y337" s="282" t="n"/>
      <c r="Z337" s="282" t="n"/>
      <c r="AA337" s="282" t="n"/>
      <c r="AB337" s="282" t="n"/>
      <c r="AC337" s="529" t="n"/>
      <c r="AE337" s="282" t="n"/>
      <c r="AF337" s="282" t="n"/>
      <c r="AI337" s="282" t="n"/>
      <c r="AJ337" s="282" t="n"/>
      <c r="AM337" s="282" t="n"/>
      <c r="AN337" s="282" t="n"/>
      <c r="AQ337" s="282" t="n"/>
      <c r="AR337" s="282" t="n"/>
    </row>
    <row customHeight="1" ht="15.75" r="338" s="452" spans="1:45">
      <c r="A338" s="44" t="n"/>
      <c r="G338" s="282" t="n"/>
      <c r="H338" s="282" t="n"/>
      <c r="K338" s="282" t="n"/>
      <c r="L338" s="282" t="n"/>
      <c r="O338" s="282" t="n"/>
      <c r="P338" s="282" t="n"/>
      <c r="S338" s="282" t="n"/>
      <c r="T338" s="282" t="n"/>
      <c r="W338" s="282" t="n"/>
      <c r="X338" s="282" t="n"/>
      <c r="Y338" s="282" t="n"/>
      <c r="Z338" s="282" t="n"/>
      <c r="AA338" s="282" t="n"/>
      <c r="AB338" s="282" t="n"/>
      <c r="AC338" s="529" t="n"/>
      <c r="AE338" s="282" t="n"/>
      <c r="AF338" s="282" t="n"/>
      <c r="AI338" s="282" t="n"/>
      <c r="AJ338" s="282" t="n"/>
      <c r="AM338" s="282" t="n"/>
      <c r="AN338" s="282" t="n"/>
      <c r="AQ338" s="282" t="n"/>
      <c r="AR338" s="282" t="n"/>
    </row>
    <row customHeight="1" ht="15.75" r="339" s="452" spans="1:45">
      <c r="A339" s="44" t="n"/>
      <c r="G339" s="282" t="n"/>
      <c r="H339" s="282" t="n"/>
      <c r="K339" s="282" t="n"/>
      <c r="L339" s="282" t="n"/>
      <c r="O339" s="282" t="n"/>
      <c r="P339" s="282" t="n"/>
      <c r="S339" s="282" t="n"/>
      <c r="T339" s="282" t="n"/>
      <c r="W339" s="282" t="n"/>
      <c r="X339" s="282" t="n"/>
      <c r="Y339" s="282" t="n"/>
      <c r="Z339" s="282" t="n"/>
      <c r="AA339" s="282" t="n"/>
      <c r="AB339" s="282" t="n"/>
      <c r="AC339" s="529" t="n"/>
      <c r="AE339" s="282" t="n"/>
      <c r="AF339" s="282" t="n"/>
      <c r="AI339" s="282" t="n"/>
      <c r="AJ339" s="282" t="n"/>
      <c r="AM339" s="282" t="n"/>
      <c r="AN339" s="282" t="n"/>
      <c r="AQ339" s="282" t="n"/>
      <c r="AR339" s="282" t="n"/>
    </row>
    <row customHeight="1" ht="15.75" r="340" s="452" spans="1:45">
      <c r="A340" s="44" t="n"/>
      <c r="G340" s="282" t="n"/>
      <c r="H340" s="282" t="n"/>
      <c r="K340" s="282" t="n"/>
      <c r="L340" s="282" t="n"/>
      <c r="O340" s="282" t="n"/>
      <c r="P340" s="282" t="n"/>
      <c r="S340" s="282" t="n"/>
      <c r="T340" s="282" t="n"/>
      <c r="W340" s="282" t="n"/>
      <c r="X340" s="282" t="n"/>
      <c r="Y340" s="282" t="n"/>
      <c r="Z340" s="282" t="n"/>
      <c r="AA340" s="282" t="n"/>
      <c r="AB340" s="282" t="n"/>
      <c r="AC340" s="529" t="n"/>
      <c r="AE340" s="282" t="n"/>
      <c r="AF340" s="282" t="n"/>
      <c r="AI340" s="282" t="n"/>
      <c r="AJ340" s="282" t="n"/>
      <c r="AM340" s="282" t="n"/>
      <c r="AN340" s="282" t="n"/>
      <c r="AQ340" s="282" t="n"/>
      <c r="AR340" s="282" t="n"/>
    </row>
    <row customHeight="1" ht="15.75" r="341" s="452" spans="1:45">
      <c r="A341" s="44" t="n"/>
      <c r="G341" s="282" t="n"/>
      <c r="H341" s="282" t="n"/>
      <c r="K341" s="282" t="n"/>
      <c r="L341" s="282" t="n"/>
      <c r="O341" s="282" t="n"/>
      <c r="P341" s="282" t="n"/>
      <c r="S341" s="282" t="n"/>
      <c r="T341" s="282" t="n"/>
      <c r="W341" s="282" t="n"/>
      <c r="X341" s="282" t="n"/>
      <c r="Y341" s="282" t="n"/>
      <c r="Z341" s="282" t="n"/>
      <c r="AA341" s="282" t="n"/>
      <c r="AB341" s="282" t="n"/>
      <c r="AC341" s="529" t="n"/>
      <c r="AE341" s="282" t="n"/>
      <c r="AF341" s="282" t="n"/>
      <c r="AI341" s="282" t="n"/>
      <c r="AJ341" s="282" t="n"/>
      <c r="AM341" s="282" t="n"/>
      <c r="AN341" s="282" t="n"/>
      <c r="AQ341" s="282" t="n"/>
      <c r="AR341" s="282" t="n"/>
    </row>
    <row customHeight="1" ht="15.75" r="342" s="452" spans="1:45">
      <c r="A342" s="44" t="n"/>
      <c r="G342" s="282" t="n"/>
      <c r="H342" s="282" t="n"/>
      <c r="K342" s="282" t="n"/>
      <c r="L342" s="282" t="n"/>
      <c r="O342" s="282" t="n"/>
      <c r="P342" s="282" t="n"/>
      <c r="S342" s="282" t="n"/>
      <c r="T342" s="282" t="n"/>
      <c r="W342" s="282" t="n"/>
      <c r="X342" s="282" t="n"/>
      <c r="Y342" s="282" t="n"/>
      <c r="Z342" s="282" t="n"/>
      <c r="AA342" s="282" t="n"/>
      <c r="AB342" s="282" t="n"/>
      <c r="AC342" s="529" t="n"/>
      <c r="AE342" s="282" t="n"/>
      <c r="AF342" s="282" t="n"/>
      <c r="AI342" s="282" t="n"/>
      <c r="AJ342" s="282" t="n"/>
      <c r="AM342" s="282" t="n"/>
      <c r="AN342" s="282" t="n"/>
      <c r="AQ342" s="282" t="n"/>
      <c r="AR342" s="282" t="n"/>
    </row>
    <row customHeight="1" ht="15.75" r="343" s="452" spans="1:45">
      <c r="A343" s="44" t="n"/>
      <c r="G343" s="282" t="n"/>
      <c r="H343" s="282" t="n"/>
      <c r="K343" s="282" t="n"/>
      <c r="L343" s="282" t="n"/>
      <c r="O343" s="282" t="n"/>
      <c r="P343" s="282" t="n"/>
      <c r="S343" s="282" t="n"/>
      <c r="T343" s="282" t="n"/>
      <c r="W343" s="282" t="n"/>
      <c r="X343" s="282" t="n"/>
      <c r="Y343" s="282" t="n"/>
      <c r="Z343" s="282" t="n"/>
      <c r="AA343" s="282" t="n"/>
      <c r="AB343" s="282" t="n"/>
      <c r="AC343" s="529" t="n"/>
      <c r="AE343" s="282" t="n"/>
      <c r="AF343" s="282" t="n"/>
      <c r="AI343" s="282" t="n"/>
      <c r="AJ343" s="282" t="n"/>
      <c r="AM343" s="282" t="n"/>
      <c r="AN343" s="282" t="n"/>
      <c r="AQ343" s="282" t="n"/>
      <c r="AR343" s="282" t="n"/>
    </row>
    <row customHeight="1" ht="15.75" r="344" s="452" spans="1:45">
      <c r="A344" s="44" t="n"/>
      <c r="G344" s="282" t="n"/>
      <c r="H344" s="282" t="n"/>
      <c r="K344" s="282" t="n"/>
      <c r="L344" s="282" t="n"/>
      <c r="O344" s="282" t="n"/>
      <c r="P344" s="282" t="n"/>
      <c r="S344" s="282" t="n"/>
      <c r="T344" s="282" t="n"/>
      <c r="W344" s="282" t="n"/>
      <c r="X344" s="282" t="n"/>
      <c r="Y344" s="282" t="n"/>
      <c r="Z344" s="282" t="n"/>
      <c r="AA344" s="282" t="n"/>
      <c r="AB344" s="282" t="n"/>
      <c r="AC344" s="529" t="n"/>
      <c r="AE344" s="282" t="n"/>
      <c r="AF344" s="282" t="n"/>
      <c r="AI344" s="282" t="n"/>
      <c r="AJ344" s="282" t="n"/>
      <c r="AM344" s="282" t="n"/>
      <c r="AN344" s="282" t="n"/>
      <c r="AQ344" s="282" t="n"/>
      <c r="AR344" s="282" t="n"/>
    </row>
    <row customHeight="1" ht="15.75" r="345" s="452" spans="1:45">
      <c r="A345" s="44" t="n"/>
      <c r="G345" s="282" t="n"/>
      <c r="H345" s="282" t="n"/>
      <c r="K345" s="282" t="n"/>
      <c r="L345" s="282" t="n"/>
      <c r="O345" s="282" t="n"/>
      <c r="P345" s="282" t="n"/>
      <c r="S345" s="282" t="n"/>
      <c r="T345" s="282" t="n"/>
      <c r="W345" s="282" t="n"/>
      <c r="X345" s="282" t="n"/>
      <c r="Y345" s="282" t="n"/>
      <c r="Z345" s="282" t="n"/>
      <c r="AA345" s="282" t="n"/>
      <c r="AB345" s="282" t="n"/>
      <c r="AC345" s="529" t="n"/>
      <c r="AE345" s="282" t="n"/>
      <c r="AF345" s="282" t="n"/>
      <c r="AI345" s="282" t="n"/>
      <c r="AJ345" s="282" t="n"/>
      <c r="AM345" s="282" t="n"/>
      <c r="AN345" s="282" t="n"/>
      <c r="AQ345" s="282" t="n"/>
      <c r="AR345" s="282" t="n"/>
    </row>
    <row customHeight="1" ht="15.75" r="346" s="452" spans="1:45">
      <c r="A346" s="44" t="n"/>
      <c r="G346" s="282" t="n"/>
      <c r="H346" s="282" t="n"/>
      <c r="K346" s="282" t="n"/>
      <c r="L346" s="282" t="n"/>
      <c r="O346" s="282" t="n"/>
      <c r="P346" s="282" t="n"/>
      <c r="S346" s="282" t="n"/>
      <c r="T346" s="282" t="n"/>
      <c r="W346" s="282" t="n"/>
      <c r="X346" s="282" t="n"/>
      <c r="Y346" s="282" t="n"/>
      <c r="Z346" s="282" t="n"/>
      <c r="AA346" s="282" t="n"/>
      <c r="AB346" s="282" t="n"/>
      <c r="AC346" s="529" t="n"/>
      <c r="AE346" s="282" t="n"/>
      <c r="AF346" s="282" t="n"/>
      <c r="AI346" s="282" t="n"/>
      <c r="AJ346" s="282" t="n"/>
      <c r="AM346" s="282" t="n"/>
      <c r="AN346" s="282" t="n"/>
      <c r="AQ346" s="282" t="n"/>
      <c r="AR346" s="282" t="n"/>
    </row>
    <row customHeight="1" ht="15.75" r="347" s="452" spans="1:45">
      <c r="A347" s="44" t="n"/>
      <c r="G347" s="282" t="n"/>
      <c r="H347" s="282" t="n"/>
      <c r="K347" s="282" t="n"/>
      <c r="L347" s="282" t="n"/>
      <c r="O347" s="282" t="n"/>
      <c r="P347" s="282" t="n"/>
      <c r="S347" s="282" t="n"/>
      <c r="T347" s="282" t="n"/>
      <c r="W347" s="282" t="n"/>
      <c r="X347" s="282" t="n"/>
      <c r="Y347" s="282" t="n"/>
      <c r="Z347" s="282" t="n"/>
      <c r="AA347" s="282" t="n"/>
      <c r="AB347" s="282" t="n"/>
      <c r="AC347" s="529" t="n"/>
      <c r="AE347" s="282" t="n"/>
      <c r="AF347" s="282" t="n"/>
      <c r="AI347" s="282" t="n"/>
      <c r="AJ347" s="282" t="n"/>
      <c r="AM347" s="282" t="n"/>
      <c r="AN347" s="282" t="n"/>
      <c r="AQ347" s="282" t="n"/>
      <c r="AR347" s="282" t="n"/>
    </row>
    <row customHeight="1" ht="15.75" r="348" s="452" spans="1:45">
      <c r="A348" s="44" t="n"/>
      <c r="G348" s="282" t="n"/>
      <c r="H348" s="282" t="n"/>
      <c r="K348" s="282" t="n"/>
      <c r="L348" s="282" t="n"/>
      <c r="O348" s="282" t="n"/>
      <c r="P348" s="282" t="n"/>
      <c r="S348" s="282" t="n"/>
      <c r="T348" s="282" t="n"/>
      <c r="W348" s="282" t="n"/>
      <c r="X348" s="282" t="n"/>
      <c r="Y348" s="282" t="n"/>
      <c r="Z348" s="282" t="n"/>
      <c r="AA348" s="282" t="n"/>
      <c r="AB348" s="282" t="n"/>
      <c r="AC348" s="529" t="n"/>
      <c r="AE348" s="282" t="n"/>
      <c r="AF348" s="282" t="n"/>
      <c r="AI348" s="282" t="n"/>
      <c r="AJ348" s="282" t="n"/>
      <c r="AM348" s="282" t="n"/>
      <c r="AN348" s="282" t="n"/>
      <c r="AQ348" s="282" t="n"/>
      <c r="AR348" s="282" t="n"/>
    </row>
    <row customHeight="1" ht="15.75" r="349" s="452" spans="1:45">
      <c r="A349" s="44" t="n"/>
      <c r="G349" s="282" t="n"/>
      <c r="H349" s="282" t="n"/>
      <c r="K349" s="282" t="n"/>
      <c r="L349" s="282" t="n"/>
      <c r="O349" s="282" t="n"/>
      <c r="P349" s="282" t="n"/>
      <c r="S349" s="282" t="n"/>
      <c r="T349" s="282" t="n"/>
      <c r="W349" s="282" t="n"/>
      <c r="X349" s="282" t="n"/>
      <c r="Y349" s="282" t="n"/>
      <c r="Z349" s="282" t="n"/>
      <c r="AA349" s="282" t="n"/>
      <c r="AB349" s="282" t="n"/>
      <c r="AC349" s="529" t="n"/>
      <c r="AE349" s="282" t="n"/>
      <c r="AF349" s="282" t="n"/>
      <c r="AI349" s="282" t="n"/>
      <c r="AJ349" s="282" t="n"/>
      <c r="AM349" s="282" t="n"/>
      <c r="AN349" s="282" t="n"/>
      <c r="AQ349" s="282" t="n"/>
      <c r="AR349" s="282" t="n"/>
    </row>
    <row customHeight="1" ht="15.75" r="350" s="452" spans="1:45">
      <c r="A350" s="44" t="n"/>
      <c r="G350" s="282" t="n"/>
      <c r="H350" s="282" t="n"/>
      <c r="K350" s="282" t="n"/>
      <c r="L350" s="282" t="n"/>
      <c r="O350" s="282" t="n"/>
      <c r="P350" s="282" t="n"/>
      <c r="S350" s="282" t="n"/>
      <c r="T350" s="282" t="n"/>
      <c r="W350" s="282" t="n"/>
      <c r="X350" s="282" t="n"/>
      <c r="Y350" s="282" t="n"/>
      <c r="Z350" s="282" t="n"/>
      <c r="AA350" s="282" t="n"/>
      <c r="AB350" s="282" t="n"/>
      <c r="AC350" s="529" t="n"/>
      <c r="AE350" s="282" t="n"/>
      <c r="AF350" s="282" t="n"/>
      <c r="AI350" s="282" t="n"/>
      <c r="AJ350" s="282" t="n"/>
      <c r="AM350" s="282" t="n"/>
      <c r="AN350" s="282" t="n"/>
      <c r="AQ350" s="282" t="n"/>
      <c r="AR350" s="282" t="n"/>
    </row>
    <row customHeight="1" ht="15.75" r="351" s="452" spans="1:45">
      <c r="A351" s="44" t="n"/>
      <c r="G351" s="282" t="n"/>
      <c r="H351" s="282" t="n"/>
      <c r="K351" s="282" t="n"/>
      <c r="L351" s="282" t="n"/>
      <c r="O351" s="282" t="n"/>
      <c r="P351" s="282" t="n"/>
      <c r="S351" s="282" t="n"/>
      <c r="T351" s="282" t="n"/>
      <c r="W351" s="282" t="n"/>
      <c r="X351" s="282" t="n"/>
      <c r="Y351" s="282" t="n"/>
      <c r="Z351" s="282" t="n"/>
      <c r="AA351" s="282" t="n"/>
      <c r="AB351" s="282" t="n"/>
      <c r="AC351" s="529" t="n"/>
      <c r="AE351" s="282" t="n"/>
      <c r="AF351" s="282" t="n"/>
      <c r="AI351" s="282" t="n"/>
      <c r="AJ351" s="282" t="n"/>
      <c r="AM351" s="282" t="n"/>
      <c r="AN351" s="282" t="n"/>
      <c r="AQ351" s="282" t="n"/>
      <c r="AR351" s="282" t="n"/>
    </row>
    <row customHeight="1" ht="15.75" r="352" s="452" spans="1:45">
      <c r="A352" s="44" t="n"/>
      <c r="G352" s="282" t="n"/>
      <c r="H352" s="282" t="n"/>
      <c r="K352" s="282" t="n"/>
      <c r="L352" s="282" t="n"/>
      <c r="O352" s="282" t="n"/>
      <c r="P352" s="282" t="n"/>
      <c r="S352" s="282" t="n"/>
      <c r="T352" s="282" t="n"/>
      <c r="W352" s="282" t="n"/>
      <c r="X352" s="282" t="n"/>
      <c r="Y352" s="282" t="n"/>
      <c r="Z352" s="282" t="n"/>
      <c r="AA352" s="282" t="n"/>
      <c r="AB352" s="282" t="n"/>
      <c r="AC352" s="529" t="n"/>
      <c r="AE352" s="282" t="n"/>
      <c r="AF352" s="282" t="n"/>
      <c r="AI352" s="282" t="n"/>
      <c r="AJ352" s="282" t="n"/>
      <c r="AM352" s="282" t="n"/>
      <c r="AN352" s="282" t="n"/>
      <c r="AQ352" s="282" t="n"/>
      <c r="AR352" s="282" t="n"/>
    </row>
    <row customHeight="1" ht="15.75" r="353" s="452" spans="1:45">
      <c r="A353" s="44" t="n"/>
      <c r="G353" s="282" t="n"/>
      <c r="H353" s="282" t="n"/>
      <c r="K353" s="282" t="n"/>
      <c r="L353" s="282" t="n"/>
      <c r="O353" s="282" t="n"/>
      <c r="P353" s="282" t="n"/>
      <c r="S353" s="282" t="n"/>
      <c r="T353" s="282" t="n"/>
      <c r="W353" s="282" t="n"/>
      <c r="X353" s="282" t="n"/>
      <c r="Y353" s="282" t="n"/>
      <c r="Z353" s="282" t="n"/>
      <c r="AA353" s="282" t="n"/>
      <c r="AB353" s="282" t="n"/>
      <c r="AC353" s="529" t="n"/>
      <c r="AE353" s="282" t="n"/>
      <c r="AF353" s="282" t="n"/>
      <c r="AI353" s="282" t="n"/>
      <c r="AJ353" s="282" t="n"/>
      <c r="AM353" s="282" t="n"/>
      <c r="AN353" s="282" t="n"/>
      <c r="AQ353" s="282" t="n"/>
      <c r="AR353" s="282" t="n"/>
    </row>
    <row customHeight="1" ht="15.75" r="354" s="452" spans="1:45">
      <c r="A354" s="44" t="n"/>
      <c r="G354" s="282" t="n"/>
      <c r="H354" s="282" t="n"/>
      <c r="K354" s="282" t="n"/>
      <c r="L354" s="282" t="n"/>
      <c r="O354" s="282" t="n"/>
      <c r="P354" s="282" t="n"/>
      <c r="S354" s="282" t="n"/>
      <c r="T354" s="282" t="n"/>
      <c r="W354" s="282" t="n"/>
      <c r="X354" s="282" t="n"/>
      <c r="Y354" s="282" t="n"/>
      <c r="Z354" s="282" t="n"/>
      <c r="AA354" s="282" t="n"/>
      <c r="AB354" s="282" t="n"/>
      <c r="AC354" s="529" t="n"/>
      <c r="AE354" s="282" t="n"/>
      <c r="AF354" s="282" t="n"/>
      <c r="AI354" s="282" t="n"/>
      <c r="AJ354" s="282" t="n"/>
      <c r="AM354" s="282" t="n"/>
      <c r="AN354" s="282" t="n"/>
      <c r="AQ354" s="282" t="n"/>
      <c r="AR354" s="282" t="n"/>
    </row>
    <row customHeight="1" ht="15.75" r="355" s="452" spans="1:45">
      <c r="A355" s="44" t="n"/>
      <c r="G355" s="282" t="n"/>
      <c r="H355" s="282" t="n"/>
      <c r="K355" s="282" t="n"/>
      <c r="L355" s="282" t="n"/>
      <c r="O355" s="282" t="n"/>
      <c r="P355" s="282" t="n"/>
      <c r="S355" s="282" t="n"/>
      <c r="T355" s="282" t="n"/>
      <c r="W355" s="282" t="n"/>
      <c r="X355" s="282" t="n"/>
      <c r="Y355" s="282" t="n"/>
      <c r="Z355" s="282" t="n"/>
      <c r="AA355" s="282" t="n"/>
      <c r="AB355" s="282" t="n"/>
      <c r="AC355" s="529" t="n"/>
      <c r="AE355" s="282" t="n"/>
      <c r="AF355" s="282" t="n"/>
      <c r="AI355" s="282" t="n"/>
      <c r="AJ355" s="282" t="n"/>
      <c r="AM355" s="282" t="n"/>
      <c r="AN355" s="282" t="n"/>
      <c r="AQ355" s="282" t="n"/>
      <c r="AR355" s="282" t="n"/>
    </row>
    <row customHeight="1" ht="15.75" r="356" s="452" spans="1:45">
      <c r="A356" s="44" t="n"/>
      <c r="G356" s="282" t="n"/>
      <c r="H356" s="282" t="n"/>
      <c r="K356" s="282" t="n"/>
      <c r="L356" s="282" t="n"/>
      <c r="O356" s="282" t="n"/>
      <c r="P356" s="282" t="n"/>
      <c r="S356" s="282" t="n"/>
      <c r="T356" s="282" t="n"/>
      <c r="W356" s="282" t="n"/>
      <c r="X356" s="282" t="n"/>
      <c r="Y356" s="282" t="n"/>
      <c r="Z356" s="282" t="n"/>
      <c r="AA356" s="282" t="n"/>
      <c r="AB356" s="282" t="n"/>
      <c r="AC356" s="529" t="n"/>
      <c r="AE356" s="282" t="n"/>
      <c r="AF356" s="282" t="n"/>
      <c r="AI356" s="282" t="n"/>
      <c r="AJ356" s="282" t="n"/>
      <c r="AM356" s="282" t="n"/>
      <c r="AN356" s="282" t="n"/>
      <c r="AQ356" s="282" t="n"/>
      <c r="AR356" s="282" t="n"/>
    </row>
    <row customHeight="1" ht="15.75" r="357" s="452" spans="1:45">
      <c r="A357" s="44" t="n"/>
      <c r="G357" s="282" t="n"/>
      <c r="H357" s="282" t="n"/>
      <c r="K357" s="282" t="n"/>
      <c r="L357" s="282" t="n"/>
      <c r="O357" s="282" t="n"/>
      <c r="P357" s="282" t="n"/>
      <c r="S357" s="282" t="n"/>
      <c r="T357" s="282" t="n"/>
      <c r="W357" s="282" t="n"/>
      <c r="X357" s="282" t="n"/>
      <c r="Y357" s="282" t="n"/>
      <c r="Z357" s="282" t="n"/>
      <c r="AA357" s="282" t="n"/>
      <c r="AB357" s="282" t="n"/>
      <c r="AC357" s="529" t="n"/>
      <c r="AE357" s="282" t="n"/>
      <c r="AF357" s="282" t="n"/>
      <c r="AI357" s="282" t="n"/>
      <c r="AJ357" s="282" t="n"/>
      <c r="AM357" s="282" t="n"/>
      <c r="AN357" s="282" t="n"/>
      <c r="AQ357" s="282" t="n"/>
      <c r="AR357" s="282" t="n"/>
    </row>
    <row customHeight="1" ht="15.75" r="358" s="452" spans="1:45">
      <c r="A358" s="44" t="n"/>
      <c r="G358" s="282" t="n"/>
      <c r="H358" s="282" t="n"/>
      <c r="K358" s="282" t="n"/>
      <c r="L358" s="282" t="n"/>
      <c r="O358" s="282" t="n"/>
      <c r="P358" s="282" t="n"/>
      <c r="S358" s="282" t="n"/>
      <c r="T358" s="282" t="n"/>
      <c r="W358" s="282" t="n"/>
      <c r="X358" s="282" t="n"/>
      <c r="Y358" s="282" t="n"/>
      <c r="Z358" s="282" t="n"/>
      <c r="AA358" s="282" t="n"/>
      <c r="AB358" s="282" t="n"/>
      <c r="AC358" s="529" t="n"/>
      <c r="AE358" s="282" t="n"/>
      <c r="AF358" s="282" t="n"/>
      <c r="AI358" s="282" t="n"/>
      <c r="AJ358" s="282" t="n"/>
      <c r="AM358" s="282" t="n"/>
      <c r="AN358" s="282" t="n"/>
      <c r="AQ358" s="282" t="n"/>
      <c r="AR358" s="282" t="n"/>
    </row>
    <row customHeight="1" ht="15.75" r="359" s="452" spans="1:45">
      <c r="A359" s="44" t="n"/>
      <c r="G359" s="282" t="n"/>
      <c r="H359" s="282" t="n"/>
      <c r="K359" s="282" t="n"/>
      <c r="L359" s="282" t="n"/>
      <c r="O359" s="282" t="n"/>
      <c r="P359" s="282" t="n"/>
      <c r="S359" s="282" t="n"/>
      <c r="T359" s="282" t="n"/>
      <c r="W359" s="282" t="n"/>
      <c r="X359" s="282" t="n"/>
      <c r="Y359" s="282" t="n"/>
      <c r="Z359" s="282" t="n"/>
      <c r="AA359" s="282" t="n"/>
      <c r="AB359" s="282" t="n"/>
      <c r="AC359" s="529" t="n"/>
      <c r="AE359" s="282" t="n"/>
      <c r="AF359" s="282" t="n"/>
      <c r="AI359" s="282" t="n"/>
      <c r="AJ359" s="282" t="n"/>
      <c r="AM359" s="282" t="n"/>
      <c r="AN359" s="282" t="n"/>
      <c r="AQ359" s="282" t="n"/>
      <c r="AR359" s="282" t="n"/>
    </row>
    <row customHeight="1" ht="15.75" r="360" s="452" spans="1:45">
      <c r="A360" s="44" t="n"/>
      <c r="G360" s="282" t="n"/>
      <c r="H360" s="282" t="n"/>
      <c r="K360" s="282" t="n"/>
      <c r="L360" s="282" t="n"/>
      <c r="O360" s="282" t="n"/>
      <c r="P360" s="282" t="n"/>
      <c r="S360" s="282" t="n"/>
      <c r="T360" s="282" t="n"/>
      <c r="W360" s="282" t="n"/>
      <c r="X360" s="282" t="n"/>
      <c r="Y360" s="282" t="n"/>
      <c r="Z360" s="282" t="n"/>
      <c r="AA360" s="282" t="n"/>
      <c r="AB360" s="282" t="n"/>
      <c r="AC360" s="529" t="n"/>
      <c r="AE360" s="282" t="n"/>
      <c r="AF360" s="282" t="n"/>
      <c r="AI360" s="282" t="n"/>
      <c r="AJ360" s="282" t="n"/>
      <c r="AM360" s="282" t="n"/>
      <c r="AN360" s="282" t="n"/>
      <c r="AQ360" s="282" t="n"/>
      <c r="AR360" s="282" t="n"/>
    </row>
    <row customHeight="1" ht="15.75" r="361" s="452" spans="1:45">
      <c r="A361" s="44" t="n"/>
      <c r="G361" s="282" t="n"/>
      <c r="H361" s="282" t="n"/>
      <c r="K361" s="282" t="n"/>
      <c r="L361" s="282" t="n"/>
      <c r="O361" s="282" t="n"/>
      <c r="P361" s="282" t="n"/>
      <c r="S361" s="282" t="n"/>
      <c r="T361" s="282" t="n"/>
      <c r="W361" s="282" t="n"/>
      <c r="X361" s="282" t="n"/>
      <c r="Y361" s="282" t="n"/>
      <c r="Z361" s="282" t="n"/>
      <c r="AA361" s="282" t="n"/>
      <c r="AB361" s="282" t="n"/>
      <c r="AC361" s="529" t="n"/>
      <c r="AE361" s="282" t="n"/>
      <c r="AF361" s="282" t="n"/>
      <c r="AI361" s="282" t="n"/>
      <c r="AJ361" s="282" t="n"/>
      <c r="AM361" s="282" t="n"/>
      <c r="AN361" s="282" t="n"/>
      <c r="AQ361" s="282" t="n"/>
      <c r="AR361" s="282" t="n"/>
    </row>
    <row customHeight="1" ht="15.75" r="362" s="452" spans="1:45">
      <c r="A362" s="44" t="n"/>
      <c r="G362" s="282" t="n"/>
      <c r="H362" s="282" t="n"/>
      <c r="K362" s="282" t="n"/>
      <c r="L362" s="282" t="n"/>
      <c r="O362" s="282" t="n"/>
      <c r="P362" s="282" t="n"/>
      <c r="S362" s="282" t="n"/>
      <c r="T362" s="282" t="n"/>
      <c r="W362" s="282" t="n"/>
      <c r="X362" s="282" t="n"/>
      <c r="Y362" s="282" t="n"/>
      <c r="Z362" s="282" t="n"/>
      <c r="AA362" s="282" t="n"/>
      <c r="AB362" s="282" t="n"/>
      <c r="AC362" s="529" t="n"/>
      <c r="AE362" s="282" t="n"/>
      <c r="AF362" s="282" t="n"/>
      <c r="AI362" s="282" t="n"/>
      <c r="AJ362" s="282" t="n"/>
      <c r="AM362" s="282" t="n"/>
      <c r="AN362" s="282" t="n"/>
      <c r="AQ362" s="282" t="n"/>
      <c r="AR362" s="282" t="n"/>
    </row>
    <row customHeight="1" ht="15.75" r="363" s="452" spans="1:45">
      <c r="A363" s="44" t="n"/>
      <c r="G363" s="282" t="n"/>
      <c r="H363" s="282" t="n"/>
      <c r="K363" s="282" t="n"/>
      <c r="L363" s="282" t="n"/>
      <c r="O363" s="282" t="n"/>
      <c r="P363" s="282" t="n"/>
      <c r="S363" s="282" t="n"/>
      <c r="T363" s="282" t="n"/>
      <c r="W363" s="282" t="n"/>
      <c r="X363" s="282" t="n"/>
      <c r="Y363" s="282" t="n"/>
      <c r="Z363" s="282" t="n"/>
      <c r="AA363" s="282" t="n"/>
      <c r="AB363" s="282" t="n"/>
      <c r="AC363" s="529" t="n"/>
      <c r="AE363" s="282" t="n"/>
      <c r="AF363" s="282" t="n"/>
      <c r="AI363" s="282" t="n"/>
      <c r="AJ363" s="282" t="n"/>
      <c r="AM363" s="282" t="n"/>
      <c r="AN363" s="282" t="n"/>
      <c r="AQ363" s="282" t="n"/>
      <c r="AR363" s="282" t="n"/>
    </row>
    <row customHeight="1" ht="15.75" r="364" s="452" spans="1:45">
      <c r="A364" s="44" t="n"/>
      <c r="G364" s="282" t="n"/>
      <c r="H364" s="282" t="n"/>
      <c r="K364" s="282" t="n"/>
      <c r="L364" s="282" t="n"/>
      <c r="O364" s="282" t="n"/>
      <c r="P364" s="282" t="n"/>
      <c r="S364" s="282" t="n"/>
      <c r="T364" s="282" t="n"/>
      <c r="W364" s="282" t="n"/>
      <c r="X364" s="282" t="n"/>
      <c r="Y364" s="282" t="n"/>
      <c r="Z364" s="282" t="n"/>
      <c r="AA364" s="282" t="n"/>
      <c r="AB364" s="282" t="n"/>
      <c r="AC364" s="529" t="n"/>
      <c r="AE364" s="282" t="n"/>
      <c r="AF364" s="282" t="n"/>
      <c r="AI364" s="282" t="n"/>
      <c r="AJ364" s="282" t="n"/>
      <c r="AM364" s="282" t="n"/>
      <c r="AN364" s="282" t="n"/>
      <c r="AQ364" s="282" t="n"/>
      <c r="AR364" s="282" t="n"/>
    </row>
    <row customHeight="1" ht="15.75" r="365" s="452" spans="1:45">
      <c r="A365" s="44" t="n"/>
      <c r="G365" s="282" t="n"/>
      <c r="H365" s="282" t="n"/>
      <c r="K365" s="282" t="n"/>
      <c r="L365" s="282" t="n"/>
      <c r="O365" s="282" t="n"/>
      <c r="P365" s="282" t="n"/>
      <c r="S365" s="282" t="n"/>
      <c r="T365" s="282" t="n"/>
      <c r="W365" s="282" t="n"/>
      <c r="X365" s="282" t="n"/>
      <c r="Y365" s="282" t="n"/>
      <c r="Z365" s="282" t="n"/>
      <c r="AA365" s="282" t="n"/>
      <c r="AB365" s="282" t="n"/>
      <c r="AC365" s="529" t="n"/>
      <c r="AE365" s="282" t="n"/>
      <c r="AF365" s="282" t="n"/>
      <c r="AI365" s="282" t="n"/>
      <c r="AJ365" s="282" t="n"/>
      <c r="AM365" s="282" t="n"/>
      <c r="AN365" s="282" t="n"/>
      <c r="AQ365" s="282" t="n"/>
      <c r="AR365" s="282" t="n"/>
    </row>
    <row customHeight="1" ht="15.75" r="366" s="452" spans="1:45">
      <c r="A366" s="44" t="n"/>
      <c r="G366" s="282" t="n"/>
      <c r="H366" s="282" t="n"/>
      <c r="K366" s="282" t="n"/>
      <c r="L366" s="282" t="n"/>
      <c r="O366" s="282" t="n"/>
      <c r="P366" s="282" t="n"/>
      <c r="S366" s="282" t="n"/>
      <c r="T366" s="282" t="n"/>
      <c r="W366" s="282" t="n"/>
      <c r="X366" s="282" t="n"/>
      <c r="Y366" s="282" t="n"/>
      <c r="Z366" s="282" t="n"/>
      <c r="AA366" s="282" t="n"/>
      <c r="AB366" s="282" t="n"/>
      <c r="AC366" s="529" t="n"/>
      <c r="AE366" s="282" t="n"/>
      <c r="AF366" s="282" t="n"/>
      <c r="AI366" s="282" t="n"/>
      <c r="AJ366" s="282" t="n"/>
      <c r="AM366" s="282" t="n"/>
      <c r="AN366" s="282" t="n"/>
      <c r="AQ366" s="282" t="n"/>
      <c r="AR366" s="282" t="n"/>
    </row>
    <row customHeight="1" ht="15.75" r="367" s="452" spans="1:45">
      <c r="A367" s="44" t="n"/>
      <c r="G367" s="282" t="n"/>
      <c r="H367" s="282" t="n"/>
      <c r="K367" s="282" t="n"/>
      <c r="L367" s="282" t="n"/>
      <c r="O367" s="282" t="n"/>
      <c r="P367" s="282" t="n"/>
      <c r="S367" s="282" t="n"/>
      <c r="T367" s="282" t="n"/>
      <c r="W367" s="282" t="n"/>
      <c r="X367" s="282" t="n"/>
      <c r="Y367" s="282" t="n"/>
      <c r="Z367" s="282" t="n"/>
      <c r="AA367" s="282" t="n"/>
      <c r="AB367" s="282" t="n"/>
      <c r="AC367" s="529" t="n"/>
      <c r="AE367" s="282" t="n"/>
      <c r="AF367" s="282" t="n"/>
      <c r="AI367" s="282" t="n"/>
      <c r="AJ367" s="282" t="n"/>
      <c r="AM367" s="282" t="n"/>
      <c r="AN367" s="282" t="n"/>
      <c r="AQ367" s="282" t="n"/>
      <c r="AR367" s="282" t="n"/>
    </row>
    <row customHeight="1" ht="15.75" r="368" s="452" spans="1:45">
      <c r="A368" s="44" t="n"/>
      <c r="G368" s="282" t="n"/>
      <c r="H368" s="282" t="n"/>
      <c r="K368" s="282" t="n"/>
      <c r="L368" s="282" t="n"/>
      <c r="O368" s="282" t="n"/>
      <c r="P368" s="282" t="n"/>
      <c r="S368" s="282" t="n"/>
      <c r="T368" s="282" t="n"/>
      <c r="W368" s="282" t="n"/>
      <c r="X368" s="282" t="n"/>
      <c r="Y368" s="282" t="n"/>
      <c r="Z368" s="282" t="n"/>
      <c r="AA368" s="282" t="n"/>
      <c r="AB368" s="282" t="n"/>
      <c r="AC368" s="529" t="n"/>
      <c r="AE368" s="282" t="n"/>
      <c r="AF368" s="282" t="n"/>
      <c r="AI368" s="282" t="n"/>
      <c r="AJ368" s="282" t="n"/>
      <c r="AM368" s="282" t="n"/>
      <c r="AN368" s="282" t="n"/>
      <c r="AQ368" s="282" t="n"/>
      <c r="AR368" s="282" t="n"/>
    </row>
    <row customHeight="1" ht="15.75" r="369" s="452" spans="1:45">
      <c r="A369" s="44" t="n"/>
      <c r="G369" s="282" t="n"/>
      <c r="H369" s="282" t="n"/>
      <c r="K369" s="282" t="n"/>
      <c r="L369" s="282" t="n"/>
      <c r="O369" s="282" t="n"/>
      <c r="P369" s="282" t="n"/>
      <c r="S369" s="282" t="n"/>
      <c r="T369" s="282" t="n"/>
      <c r="W369" s="282" t="n"/>
      <c r="X369" s="282" t="n"/>
      <c r="Y369" s="282" t="n"/>
      <c r="Z369" s="282" t="n"/>
      <c r="AA369" s="282" t="n"/>
      <c r="AB369" s="282" t="n"/>
      <c r="AC369" s="529" t="n"/>
      <c r="AE369" s="282" t="n"/>
      <c r="AF369" s="282" t="n"/>
      <c r="AI369" s="282" t="n"/>
      <c r="AJ369" s="282" t="n"/>
      <c r="AM369" s="282" t="n"/>
      <c r="AN369" s="282" t="n"/>
      <c r="AQ369" s="282" t="n"/>
      <c r="AR369" s="282" t="n"/>
    </row>
    <row customHeight="1" ht="15.75" r="370" s="452" spans="1:45">
      <c r="A370" s="44" t="n"/>
      <c r="G370" s="282" t="n"/>
      <c r="H370" s="282" t="n"/>
      <c r="K370" s="282" t="n"/>
      <c r="L370" s="282" t="n"/>
      <c r="O370" s="282" t="n"/>
      <c r="P370" s="282" t="n"/>
      <c r="S370" s="282" t="n"/>
      <c r="T370" s="282" t="n"/>
      <c r="W370" s="282" t="n"/>
      <c r="X370" s="282" t="n"/>
      <c r="Y370" s="282" t="n"/>
      <c r="Z370" s="282" t="n"/>
      <c r="AA370" s="282" t="n"/>
      <c r="AB370" s="282" t="n"/>
      <c r="AC370" s="529" t="n"/>
      <c r="AE370" s="282" t="n"/>
      <c r="AF370" s="282" t="n"/>
      <c r="AI370" s="282" t="n"/>
      <c r="AJ370" s="282" t="n"/>
      <c r="AM370" s="282" t="n"/>
      <c r="AN370" s="282" t="n"/>
      <c r="AQ370" s="282" t="n"/>
      <c r="AR370" s="282" t="n"/>
    </row>
    <row customHeight="1" ht="15.75" r="371" s="452" spans="1:45">
      <c r="A371" s="44" t="n"/>
      <c r="G371" s="282" t="n"/>
      <c r="H371" s="282" t="n"/>
      <c r="K371" s="282" t="n"/>
      <c r="L371" s="282" t="n"/>
      <c r="O371" s="282" t="n"/>
      <c r="P371" s="282" t="n"/>
      <c r="S371" s="282" t="n"/>
      <c r="T371" s="282" t="n"/>
      <c r="W371" s="282" t="n"/>
      <c r="X371" s="282" t="n"/>
      <c r="Y371" s="282" t="n"/>
      <c r="Z371" s="282" t="n"/>
      <c r="AA371" s="282" t="n"/>
      <c r="AB371" s="282" t="n"/>
      <c r="AC371" s="529" t="n"/>
      <c r="AE371" s="282" t="n"/>
      <c r="AF371" s="282" t="n"/>
      <c r="AI371" s="282" t="n"/>
      <c r="AJ371" s="282" t="n"/>
      <c r="AM371" s="282" t="n"/>
      <c r="AN371" s="282" t="n"/>
      <c r="AQ371" s="282" t="n"/>
      <c r="AR371" s="282" t="n"/>
    </row>
    <row customHeight="1" ht="15.75" r="372" s="452" spans="1:45">
      <c r="A372" s="44" t="n"/>
      <c r="G372" s="282" t="n"/>
      <c r="H372" s="282" t="n"/>
      <c r="K372" s="282" t="n"/>
      <c r="L372" s="282" t="n"/>
      <c r="O372" s="282" t="n"/>
      <c r="P372" s="282" t="n"/>
      <c r="S372" s="282" t="n"/>
      <c r="T372" s="282" t="n"/>
      <c r="W372" s="282" t="n"/>
      <c r="X372" s="282" t="n"/>
      <c r="Y372" s="282" t="n"/>
      <c r="Z372" s="282" t="n"/>
      <c r="AA372" s="282" t="n"/>
      <c r="AB372" s="282" t="n"/>
      <c r="AC372" s="529" t="n"/>
      <c r="AE372" s="282" t="n"/>
      <c r="AF372" s="282" t="n"/>
      <c r="AI372" s="282" t="n"/>
      <c r="AJ372" s="282" t="n"/>
      <c r="AM372" s="282" t="n"/>
      <c r="AN372" s="282" t="n"/>
      <c r="AQ372" s="282" t="n"/>
      <c r="AR372" s="282" t="n"/>
    </row>
    <row customHeight="1" ht="15.75" r="373" s="452" spans="1:45">
      <c r="A373" s="44" t="n"/>
      <c r="G373" s="282" t="n"/>
      <c r="H373" s="282" t="n"/>
      <c r="K373" s="282" t="n"/>
      <c r="L373" s="282" t="n"/>
      <c r="O373" s="282" t="n"/>
      <c r="P373" s="282" t="n"/>
      <c r="S373" s="282" t="n"/>
      <c r="T373" s="282" t="n"/>
      <c r="W373" s="282" t="n"/>
      <c r="X373" s="282" t="n"/>
      <c r="Y373" s="282" t="n"/>
      <c r="Z373" s="282" t="n"/>
      <c r="AA373" s="282" t="n"/>
      <c r="AB373" s="282" t="n"/>
      <c r="AC373" s="529" t="n"/>
      <c r="AE373" s="282" t="n"/>
      <c r="AF373" s="282" t="n"/>
      <c r="AI373" s="282" t="n"/>
      <c r="AJ373" s="282" t="n"/>
      <c r="AM373" s="282" t="n"/>
      <c r="AN373" s="282" t="n"/>
      <c r="AQ373" s="282" t="n"/>
      <c r="AR373" s="282" t="n"/>
    </row>
    <row customHeight="1" ht="15.75" r="374" s="452" spans="1:45">
      <c r="A374" s="44" t="n"/>
      <c r="G374" s="282" t="n"/>
      <c r="H374" s="282" t="n"/>
      <c r="K374" s="282" t="n"/>
      <c r="L374" s="282" t="n"/>
      <c r="O374" s="282" t="n"/>
      <c r="P374" s="282" t="n"/>
      <c r="S374" s="282" t="n"/>
      <c r="T374" s="282" t="n"/>
      <c r="W374" s="282" t="n"/>
      <c r="X374" s="282" t="n"/>
      <c r="Y374" s="282" t="n"/>
      <c r="Z374" s="282" t="n"/>
      <c r="AA374" s="282" t="n"/>
      <c r="AB374" s="282" t="n"/>
      <c r="AC374" s="529" t="n"/>
      <c r="AE374" s="282" t="n"/>
      <c r="AF374" s="282" t="n"/>
      <c r="AI374" s="282" t="n"/>
      <c r="AJ374" s="282" t="n"/>
      <c r="AM374" s="282" t="n"/>
      <c r="AN374" s="282" t="n"/>
      <c r="AQ374" s="282" t="n"/>
      <c r="AR374" s="282" t="n"/>
    </row>
    <row customHeight="1" ht="15.75" r="375" s="452" spans="1:45">
      <c r="A375" s="44" t="n"/>
      <c r="G375" s="282" t="n"/>
      <c r="H375" s="282" t="n"/>
      <c r="K375" s="282" t="n"/>
      <c r="L375" s="282" t="n"/>
      <c r="O375" s="282" t="n"/>
      <c r="P375" s="282" t="n"/>
      <c r="S375" s="282" t="n"/>
      <c r="T375" s="282" t="n"/>
      <c r="W375" s="282" t="n"/>
      <c r="X375" s="282" t="n"/>
      <c r="Y375" s="282" t="n"/>
      <c r="Z375" s="282" t="n"/>
      <c r="AA375" s="282" t="n"/>
      <c r="AB375" s="282" t="n"/>
      <c r="AC375" s="529" t="n"/>
      <c r="AE375" s="282" t="n"/>
      <c r="AF375" s="282" t="n"/>
      <c r="AI375" s="282" t="n"/>
      <c r="AJ375" s="282" t="n"/>
      <c r="AM375" s="282" t="n"/>
      <c r="AN375" s="282" t="n"/>
      <c r="AQ375" s="282" t="n"/>
      <c r="AR375" s="282" t="n"/>
    </row>
    <row customHeight="1" ht="15.75" r="376" s="452" spans="1:45">
      <c r="A376" s="44" t="n"/>
      <c r="G376" s="282" t="n"/>
      <c r="H376" s="282" t="n"/>
      <c r="K376" s="282" t="n"/>
      <c r="L376" s="282" t="n"/>
      <c r="O376" s="282" t="n"/>
      <c r="P376" s="282" t="n"/>
      <c r="S376" s="282" t="n"/>
      <c r="T376" s="282" t="n"/>
      <c r="W376" s="282" t="n"/>
      <c r="X376" s="282" t="n"/>
      <c r="Y376" s="282" t="n"/>
      <c r="Z376" s="282" t="n"/>
      <c r="AA376" s="282" t="n"/>
      <c r="AB376" s="282" t="n"/>
      <c r="AC376" s="529" t="n"/>
      <c r="AE376" s="282" t="n"/>
      <c r="AF376" s="282" t="n"/>
      <c r="AI376" s="282" t="n"/>
      <c r="AJ376" s="282" t="n"/>
      <c r="AM376" s="282" t="n"/>
      <c r="AN376" s="282" t="n"/>
      <c r="AQ376" s="282" t="n"/>
      <c r="AR376" s="282" t="n"/>
    </row>
    <row customHeight="1" ht="15.75" r="377" s="452" spans="1:45">
      <c r="A377" s="44" t="n"/>
      <c r="G377" s="282" t="n"/>
      <c r="H377" s="282" t="n"/>
      <c r="K377" s="282" t="n"/>
      <c r="L377" s="282" t="n"/>
      <c r="O377" s="282" t="n"/>
      <c r="P377" s="282" t="n"/>
      <c r="S377" s="282" t="n"/>
      <c r="T377" s="282" t="n"/>
      <c r="W377" s="282" t="n"/>
      <c r="X377" s="282" t="n"/>
      <c r="Y377" s="282" t="n"/>
      <c r="Z377" s="282" t="n"/>
      <c r="AA377" s="282" t="n"/>
      <c r="AB377" s="282" t="n"/>
      <c r="AC377" s="529" t="n"/>
      <c r="AE377" s="282" t="n"/>
      <c r="AF377" s="282" t="n"/>
      <c r="AI377" s="282" t="n"/>
      <c r="AJ377" s="282" t="n"/>
      <c r="AM377" s="282" t="n"/>
      <c r="AN377" s="282" t="n"/>
      <c r="AQ377" s="282" t="n"/>
      <c r="AR377" s="282" t="n"/>
    </row>
    <row customHeight="1" ht="15.75" r="378" s="452" spans="1:45">
      <c r="A378" s="44" t="n"/>
      <c r="G378" s="282" t="n"/>
      <c r="H378" s="282" t="n"/>
      <c r="K378" s="282" t="n"/>
      <c r="L378" s="282" t="n"/>
      <c r="O378" s="282" t="n"/>
      <c r="P378" s="282" t="n"/>
      <c r="S378" s="282" t="n"/>
      <c r="T378" s="282" t="n"/>
      <c r="W378" s="282" t="n"/>
      <c r="X378" s="282" t="n"/>
      <c r="Y378" s="282" t="n"/>
      <c r="Z378" s="282" t="n"/>
      <c r="AA378" s="282" t="n"/>
      <c r="AB378" s="282" t="n"/>
      <c r="AC378" s="529" t="n"/>
      <c r="AE378" s="282" t="n"/>
      <c r="AF378" s="282" t="n"/>
      <c r="AI378" s="282" t="n"/>
      <c r="AJ378" s="282" t="n"/>
      <c r="AM378" s="282" t="n"/>
      <c r="AN378" s="282" t="n"/>
      <c r="AQ378" s="282" t="n"/>
      <c r="AR378" s="282" t="n"/>
    </row>
    <row customHeight="1" ht="15.75" r="379" s="452" spans="1:45">
      <c r="A379" s="44" t="n"/>
      <c r="G379" s="282" t="n"/>
      <c r="H379" s="282" t="n"/>
      <c r="K379" s="282" t="n"/>
      <c r="L379" s="282" t="n"/>
      <c r="O379" s="282" t="n"/>
      <c r="P379" s="282" t="n"/>
      <c r="S379" s="282" t="n"/>
      <c r="T379" s="282" t="n"/>
      <c r="W379" s="282" t="n"/>
      <c r="X379" s="282" t="n"/>
      <c r="Y379" s="282" t="n"/>
      <c r="Z379" s="282" t="n"/>
      <c r="AA379" s="282" t="n"/>
      <c r="AB379" s="282" t="n"/>
      <c r="AC379" s="529" t="n"/>
      <c r="AE379" s="282" t="n"/>
      <c r="AF379" s="282" t="n"/>
      <c r="AI379" s="282" t="n"/>
      <c r="AJ379" s="282" t="n"/>
      <c r="AM379" s="282" t="n"/>
      <c r="AN379" s="282" t="n"/>
      <c r="AQ379" s="282" t="n"/>
      <c r="AR379" s="282" t="n"/>
    </row>
    <row customHeight="1" ht="15.75" r="380" s="452" spans="1:45">
      <c r="A380" s="44" t="n"/>
      <c r="G380" s="282" t="n"/>
      <c r="H380" s="282" t="n"/>
      <c r="K380" s="282" t="n"/>
      <c r="L380" s="282" t="n"/>
      <c r="O380" s="282" t="n"/>
      <c r="P380" s="282" t="n"/>
      <c r="S380" s="282" t="n"/>
      <c r="T380" s="282" t="n"/>
      <c r="W380" s="282" t="n"/>
      <c r="X380" s="282" t="n"/>
      <c r="Y380" s="282" t="n"/>
      <c r="Z380" s="282" t="n"/>
      <c r="AA380" s="282" t="n"/>
      <c r="AB380" s="282" t="n"/>
      <c r="AC380" s="529" t="n"/>
      <c r="AE380" s="282" t="n"/>
      <c r="AF380" s="282" t="n"/>
      <c r="AI380" s="282" t="n"/>
      <c r="AJ380" s="282" t="n"/>
      <c r="AM380" s="282" t="n"/>
      <c r="AN380" s="282" t="n"/>
      <c r="AQ380" s="282" t="n"/>
      <c r="AR380" s="282" t="n"/>
    </row>
    <row customHeight="1" ht="15.75" r="381" s="452" spans="1:45">
      <c r="A381" s="44" t="n"/>
      <c r="G381" s="282" t="n"/>
      <c r="H381" s="282" t="n"/>
      <c r="K381" s="282" t="n"/>
      <c r="L381" s="282" t="n"/>
      <c r="O381" s="282" t="n"/>
      <c r="P381" s="282" t="n"/>
      <c r="S381" s="282" t="n"/>
      <c r="T381" s="282" t="n"/>
      <c r="W381" s="282" t="n"/>
      <c r="X381" s="282" t="n"/>
      <c r="Y381" s="282" t="n"/>
      <c r="Z381" s="282" t="n"/>
      <c r="AA381" s="282" t="n"/>
      <c r="AB381" s="282" t="n"/>
      <c r="AC381" s="529" t="n"/>
      <c r="AE381" s="282" t="n"/>
      <c r="AF381" s="282" t="n"/>
      <c r="AI381" s="282" t="n"/>
      <c r="AJ381" s="282" t="n"/>
      <c r="AM381" s="282" t="n"/>
      <c r="AN381" s="282" t="n"/>
      <c r="AQ381" s="282" t="n"/>
      <c r="AR381" s="282" t="n"/>
    </row>
    <row customHeight="1" ht="15.75" r="382" s="452" spans="1:45">
      <c r="A382" s="44" t="n"/>
      <c r="G382" s="282" t="n"/>
      <c r="H382" s="282" t="n"/>
      <c r="K382" s="282" t="n"/>
      <c r="L382" s="282" t="n"/>
      <c r="O382" s="282" t="n"/>
      <c r="P382" s="282" t="n"/>
      <c r="S382" s="282" t="n"/>
      <c r="T382" s="282" t="n"/>
      <c r="W382" s="282" t="n"/>
      <c r="X382" s="282" t="n"/>
      <c r="Y382" s="282" t="n"/>
      <c r="Z382" s="282" t="n"/>
      <c r="AA382" s="282" t="n"/>
      <c r="AB382" s="282" t="n"/>
      <c r="AC382" s="529" t="n"/>
      <c r="AE382" s="282" t="n"/>
      <c r="AF382" s="282" t="n"/>
      <c r="AI382" s="282" t="n"/>
      <c r="AJ382" s="282" t="n"/>
      <c r="AM382" s="282" t="n"/>
      <c r="AN382" s="282" t="n"/>
      <c r="AQ382" s="282" t="n"/>
      <c r="AR382" s="282" t="n"/>
    </row>
    <row customHeight="1" ht="15.75" r="383" s="452" spans="1:45">
      <c r="A383" s="44" t="n"/>
      <c r="G383" s="282" t="n"/>
      <c r="H383" s="282" t="n"/>
      <c r="K383" s="282" t="n"/>
      <c r="L383" s="282" t="n"/>
      <c r="O383" s="282" t="n"/>
      <c r="P383" s="282" t="n"/>
      <c r="S383" s="282" t="n"/>
      <c r="T383" s="282" t="n"/>
      <c r="W383" s="282" t="n"/>
      <c r="X383" s="282" t="n"/>
      <c r="Y383" s="282" t="n"/>
      <c r="Z383" s="282" t="n"/>
      <c r="AA383" s="282" t="n"/>
      <c r="AB383" s="282" t="n"/>
      <c r="AC383" s="529" t="n"/>
      <c r="AE383" s="282" t="n"/>
      <c r="AF383" s="282" t="n"/>
      <c r="AI383" s="282" t="n"/>
      <c r="AJ383" s="282" t="n"/>
      <c r="AM383" s="282" t="n"/>
      <c r="AN383" s="282" t="n"/>
      <c r="AQ383" s="282" t="n"/>
      <c r="AR383" s="282" t="n"/>
    </row>
    <row customHeight="1" ht="15.75" r="384" s="452" spans="1:45">
      <c r="A384" s="44" t="n"/>
      <c r="G384" s="282" t="n"/>
      <c r="H384" s="282" t="n"/>
      <c r="K384" s="282" t="n"/>
      <c r="L384" s="282" t="n"/>
      <c r="O384" s="282" t="n"/>
      <c r="P384" s="282" t="n"/>
      <c r="S384" s="282" t="n"/>
      <c r="T384" s="282" t="n"/>
      <c r="W384" s="282" t="n"/>
      <c r="X384" s="282" t="n"/>
      <c r="Y384" s="282" t="n"/>
      <c r="Z384" s="282" t="n"/>
      <c r="AA384" s="282" t="n"/>
      <c r="AB384" s="282" t="n"/>
      <c r="AC384" s="529" t="n"/>
      <c r="AE384" s="282" t="n"/>
      <c r="AF384" s="282" t="n"/>
      <c r="AI384" s="282" t="n"/>
      <c r="AJ384" s="282" t="n"/>
      <c r="AM384" s="282" t="n"/>
      <c r="AN384" s="282" t="n"/>
      <c r="AQ384" s="282" t="n"/>
      <c r="AR384" s="282" t="n"/>
    </row>
    <row customHeight="1" ht="15.75" r="385" s="452" spans="1:45">
      <c r="A385" s="44" t="n"/>
      <c r="G385" s="282" t="n"/>
      <c r="H385" s="282" t="n"/>
      <c r="K385" s="282" t="n"/>
      <c r="L385" s="282" t="n"/>
      <c r="O385" s="282" t="n"/>
      <c r="P385" s="282" t="n"/>
      <c r="S385" s="282" t="n"/>
      <c r="T385" s="282" t="n"/>
      <c r="W385" s="282" t="n"/>
      <c r="X385" s="282" t="n"/>
      <c r="Y385" s="282" t="n"/>
      <c r="Z385" s="282" t="n"/>
      <c r="AA385" s="282" t="n"/>
      <c r="AB385" s="282" t="n"/>
      <c r="AC385" s="529" t="n"/>
      <c r="AE385" s="282" t="n"/>
      <c r="AF385" s="282" t="n"/>
      <c r="AI385" s="282" t="n"/>
      <c r="AJ385" s="282" t="n"/>
      <c r="AM385" s="282" t="n"/>
      <c r="AN385" s="282" t="n"/>
      <c r="AQ385" s="282" t="n"/>
      <c r="AR385" s="282" t="n"/>
    </row>
    <row customHeight="1" ht="15.75" r="386" s="452" spans="1:45">
      <c r="A386" s="44" t="n"/>
      <c r="G386" s="282" t="n"/>
      <c r="H386" s="282" t="n"/>
      <c r="K386" s="282" t="n"/>
      <c r="L386" s="282" t="n"/>
      <c r="O386" s="282" t="n"/>
      <c r="P386" s="282" t="n"/>
      <c r="S386" s="282" t="n"/>
      <c r="T386" s="282" t="n"/>
      <c r="W386" s="282" t="n"/>
      <c r="X386" s="282" t="n"/>
      <c r="Y386" s="282" t="n"/>
      <c r="Z386" s="282" t="n"/>
      <c r="AA386" s="282" t="n"/>
      <c r="AB386" s="282" t="n"/>
      <c r="AC386" s="529" t="n"/>
      <c r="AE386" s="282" t="n"/>
      <c r="AF386" s="282" t="n"/>
      <c r="AI386" s="282" t="n"/>
      <c r="AJ386" s="282" t="n"/>
      <c r="AM386" s="282" t="n"/>
      <c r="AN386" s="282" t="n"/>
      <c r="AQ386" s="282" t="n"/>
      <c r="AR386" s="282" t="n"/>
    </row>
    <row customHeight="1" ht="15.75" r="387" s="452" spans="1:45">
      <c r="A387" s="44" t="n"/>
      <c r="G387" s="282" t="n"/>
      <c r="H387" s="282" t="n"/>
      <c r="K387" s="282" t="n"/>
      <c r="L387" s="282" t="n"/>
      <c r="O387" s="282" t="n"/>
      <c r="P387" s="282" t="n"/>
      <c r="S387" s="282" t="n"/>
      <c r="T387" s="282" t="n"/>
      <c r="W387" s="282" t="n"/>
      <c r="X387" s="282" t="n"/>
      <c r="Y387" s="282" t="n"/>
      <c r="Z387" s="282" t="n"/>
      <c r="AA387" s="282" t="n"/>
      <c r="AB387" s="282" t="n"/>
      <c r="AC387" s="529" t="n"/>
      <c r="AE387" s="282" t="n"/>
      <c r="AF387" s="282" t="n"/>
      <c r="AI387" s="282" t="n"/>
      <c r="AJ387" s="282" t="n"/>
      <c r="AM387" s="282" t="n"/>
      <c r="AN387" s="282" t="n"/>
      <c r="AQ387" s="282" t="n"/>
      <c r="AR387" s="282" t="n"/>
    </row>
    <row customHeight="1" ht="15.75" r="388" s="452" spans="1:45">
      <c r="A388" s="44" t="n"/>
      <c r="G388" s="282" t="n"/>
      <c r="H388" s="282" t="n"/>
      <c r="K388" s="282" t="n"/>
      <c r="L388" s="282" t="n"/>
      <c r="O388" s="282" t="n"/>
      <c r="P388" s="282" t="n"/>
      <c r="S388" s="282" t="n"/>
      <c r="T388" s="282" t="n"/>
      <c r="W388" s="282" t="n"/>
      <c r="X388" s="282" t="n"/>
      <c r="Y388" s="282" t="n"/>
      <c r="Z388" s="282" t="n"/>
      <c r="AA388" s="282" t="n"/>
      <c r="AB388" s="282" t="n"/>
      <c r="AC388" s="529" t="n"/>
      <c r="AE388" s="282" t="n"/>
      <c r="AF388" s="282" t="n"/>
      <c r="AI388" s="282" t="n"/>
      <c r="AJ388" s="282" t="n"/>
      <c r="AM388" s="282" t="n"/>
      <c r="AN388" s="282" t="n"/>
      <c r="AQ388" s="282" t="n"/>
      <c r="AR388" s="282" t="n"/>
    </row>
    <row customHeight="1" ht="15.75" r="389" s="452" spans="1:45">
      <c r="A389" s="44" t="n"/>
      <c r="G389" s="282" t="n"/>
      <c r="H389" s="282" t="n"/>
      <c r="K389" s="282" t="n"/>
      <c r="L389" s="282" t="n"/>
      <c r="O389" s="282" t="n"/>
      <c r="P389" s="282" t="n"/>
      <c r="S389" s="282" t="n"/>
      <c r="T389" s="282" t="n"/>
      <c r="W389" s="282" t="n"/>
      <c r="X389" s="282" t="n"/>
      <c r="Y389" s="282" t="n"/>
      <c r="Z389" s="282" t="n"/>
      <c r="AA389" s="282" t="n"/>
      <c r="AB389" s="282" t="n"/>
      <c r="AC389" s="529" t="n"/>
      <c r="AE389" s="282" t="n"/>
      <c r="AF389" s="282" t="n"/>
      <c r="AI389" s="282" t="n"/>
      <c r="AJ389" s="282" t="n"/>
      <c r="AM389" s="282" t="n"/>
      <c r="AN389" s="282" t="n"/>
      <c r="AQ389" s="282" t="n"/>
      <c r="AR389" s="282" t="n"/>
    </row>
    <row customHeight="1" ht="15.75" r="390" s="452" spans="1:45">
      <c r="A390" s="44" t="n"/>
      <c r="G390" s="282" t="n"/>
      <c r="H390" s="282" t="n"/>
      <c r="K390" s="282" t="n"/>
      <c r="L390" s="282" t="n"/>
      <c r="O390" s="282" t="n"/>
      <c r="P390" s="282" t="n"/>
      <c r="S390" s="282" t="n"/>
      <c r="T390" s="282" t="n"/>
      <c r="W390" s="282" t="n"/>
      <c r="X390" s="282" t="n"/>
      <c r="Y390" s="282" t="n"/>
      <c r="Z390" s="282" t="n"/>
      <c r="AA390" s="282" t="n"/>
      <c r="AB390" s="282" t="n"/>
      <c r="AC390" s="529" t="n"/>
      <c r="AE390" s="282" t="n"/>
      <c r="AF390" s="282" t="n"/>
      <c r="AI390" s="282" t="n"/>
      <c r="AJ390" s="282" t="n"/>
      <c r="AM390" s="282" t="n"/>
      <c r="AN390" s="282" t="n"/>
      <c r="AQ390" s="282" t="n"/>
      <c r="AR390" s="282" t="n"/>
    </row>
    <row customHeight="1" ht="15.75" r="391" s="452" spans="1:45">
      <c r="A391" s="44" t="n"/>
      <c r="G391" s="282" t="n"/>
      <c r="H391" s="282" t="n"/>
      <c r="K391" s="282" t="n"/>
      <c r="L391" s="282" t="n"/>
      <c r="O391" s="282" t="n"/>
      <c r="P391" s="282" t="n"/>
      <c r="S391" s="282" t="n"/>
      <c r="T391" s="282" t="n"/>
      <c r="W391" s="282" t="n"/>
      <c r="X391" s="282" t="n"/>
      <c r="Y391" s="282" t="n"/>
      <c r="Z391" s="282" t="n"/>
      <c r="AA391" s="282" t="n"/>
      <c r="AB391" s="282" t="n"/>
      <c r="AC391" s="529" t="n"/>
      <c r="AE391" s="282" t="n"/>
      <c r="AF391" s="282" t="n"/>
      <c r="AI391" s="282" t="n"/>
      <c r="AJ391" s="282" t="n"/>
      <c r="AM391" s="282" t="n"/>
      <c r="AN391" s="282" t="n"/>
      <c r="AQ391" s="282" t="n"/>
      <c r="AR391" s="282" t="n"/>
    </row>
    <row customHeight="1" ht="15.75" r="392" s="452" spans="1:45">
      <c r="A392" s="44" t="n"/>
      <c r="G392" s="282" t="n"/>
      <c r="H392" s="282" t="n"/>
      <c r="K392" s="282" t="n"/>
      <c r="L392" s="282" t="n"/>
      <c r="O392" s="282" t="n"/>
      <c r="P392" s="282" t="n"/>
      <c r="S392" s="282" t="n"/>
      <c r="T392" s="282" t="n"/>
      <c r="W392" s="282" t="n"/>
      <c r="X392" s="282" t="n"/>
      <c r="Y392" s="282" t="n"/>
      <c r="Z392" s="282" t="n"/>
      <c r="AA392" s="282" t="n"/>
      <c r="AB392" s="282" t="n"/>
      <c r="AC392" s="529" t="n"/>
      <c r="AE392" s="282" t="n"/>
      <c r="AF392" s="282" t="n"/>
      <c r="AI392" s="282" t="n"/>
      <c r="AJ392" s="282" t="n"/>
      <c r="AM392" s="282" t="n"/>
      <c r="AN392" s="282" t="n"/>
      <c r="AQ392" s="282" t="n"/>
      <c r="AR392" s="282" t="n"/>
    </row>
    <row customHeight="1" ht="15.75" r="393" s="452" spans="1:45">
      <c r="A393" s="44" t="n"/>
      <c r="G393" s="282" t="n"/>
      <c r="H393" s="282" t="n"/>
      <c r="K393" s="282" t="n"/>
      <c r="L393" s="282" t="n"/>
      <c r="O393" s="282" t="n"/>
      <c r="P393" s="282" t="n"/>
      <c r="S393" s="282" t="n"/>
      <c r="T393" s="282" t="n"/>
      <c r="W393" s="282" t="n"/>
      <c r="X393" s="282" t="n"/>
      <c r="Y393" s="282" t="n"/>
      <c r="Z393" s="282" t="n"/>
      <c r="AA393" s="282" t="n"/>
      <c r="AB393" s="282" t="n"/>
      <c r="AC393" s="529" t="n"/>
      <c r="AE393" s="282" t="n"/>
      <c r="AF393" s="282" t="n"/>
      <c r="AI393" s="282" t="n"/>
      <c r="AJ393" s="282" t="n"/>
      <c r="AM393" s="282" t="n"/>
      <c r="AN393" s="282" t="n"/>
      <c r="AQ393" s="282" t="n"/>
      <c r="AR393" s="282" t="n"/>
    </row>
    <row customHeight="1" ht="15.75" r="394" s="452" spans="1:45">
      <c r="A394" s="44" t="n"/>
      <c r="G394" s="282" t="n"/>
      <c r="H394" s="282" t="n"/>
      <c r="K394" s="282" t="n"/>
      <c r="L394" s="282" t="n"/>
      <c r="O394" s="282" t="n"/>
      <c r="P394" s="282" t="n"/>
      <c r="S394" s="282" t="n"/>
      <c r="T394" s="282" t="n"/>
      <c r="W394" s="282" t="n"/>
      <c r="X394" s="282" t="n"/>
      <c r="Y394" s="282" t="n"/>
      <c r="Z394" s="282" t="n"/>
      <c r="AA394" s="282" t="n"/>
      <c r="AB394" s="282" t="n"/>
      <c r="AC394" s="529" t="n"/>
      <c r="AE394" s="282" t="n"/>
      <c r="AF394" s="282" t="n"/>
      <c r="AI394" s="282" t="n"/>
      <c r="AJ394" s="282" t="n"/>
      <c r="AM394" s="282" t="n"/>
      <c r="AN394" s="282" t="n"/>
      <c r="AQ394" s="282" t="n"/>
      <c r="AR394" s="282" t="n"/>
    </row>
    <row customHeight="1" ht="15.75" r="395" s="452" spans="1:45">
      <c r="A395" s="44" t="n"/>
      <c r="G395" s="282" t="n"/>
      <c r="H395" s="282" t="n"/>
      <c r="K395" s="282" t="n"/>
      <c r="L395" s="282" t="n"/>
      <c r="O395" s="282" t="n"/>
      <c r="P395" s="282" t="n"/>
      <c r="S395" s="282" t="n"/>
      <c r="T395" s="282" t="n"/>
      <c r="W395" s="282" t="n"/>
      <c r="X395" s="282" t="n"/>
      <c r="Y395" s="282" t="n"/>
      <c r="Z395" s="282" t="n"/>
      <c r="AA395" s="282" t="n"/>
      <c r="AB395" s="282" t="n"/>
      <c r="AC395" s="529" t="n"/>
      <c r="AE395" s="282" t="n"/>
      <c r="AF395" s="282" t="n"/>
      <c r="AI395" s="282" t="n"/>
      <c r="AJ395" s="282" t="n"/>
      <c r="AM395" s="282" t="n"/>
      <c r="AN395" s="282" t="n"/>
      <c r="AQ395" s="282" t="n"/>
      <c r="AR395" s="282" t="n"/>
    </row>
    <row customHeight="1" ht="15.75" r="396" s="452" spans="1:45">
      <c r="A396" s="44" t="n"/>
      <c r="G396" s="282" t="n"/>
      <c r="H396" s="282" t="n"/>
      <c r="K396" s="282" t="n"/>
      <c r="L396" s="282" t="n"/>
      <c r="O396" s="282" t="n"/>
      <c r="P396" s="282" t="n"/>
      <c r="S396" s="282" t="n"/>
      <c r="T396" s="282" t="n"/>
      <c r="W396" s="282" t="n"/>
      <c r="X396" s="282" t="n"/>
      <c r="Y396" s="282" t="n"/>
      <c r="Z396" s="282" t="n"/>
      <c r="AA396" s="282" t="n"/>
      <c r="AB396" s="282" t="n"/>
      <c r="AC396" s="529" t="n"/>
      <c r="AE396" s="282" t="n"/>
      <c r="AF396" s="282" t="n"/>
      <c r="AI396" s="282" t="n"/>
      <c r="AJ396" s="282" t="n"/>
      <c r="AM396" s="282" t="n"/>
      <c r="AN396" s="282" t="n"/>
      <c r="AQ396" s="282" t="n"/>
      <c r="AR396" s="282" t="n"/>
    </row>
    <row customHeight="1" ht="15.75" r="397" s="452" spans="1:45">
      <c r="A397" s="44" t="n"/>
      <c r="G397" s="282" t="n"/>
      <c r="H397" s="282" t="n"/>
      <c r="K397" s="282" t="n"/>
      <c r="L397" s="282" t="n"/>
      <c r="O397" s="282" t="n"/>
      <c r="P397" s="282" t="n"/>
      <c r="S397" s="282" t="n"/>
      <c r="T397" s="282" t="n"/>
      <c r="W397" s="282" t="n"/>
      <c r="X397" s="282" t="n"/>
      <c r="Y397" s="282" t="n"/>
      <c r="Z397" s="282" t="n"/>
      <c r="AA397" s="282" t="n"/>
      <c r="AB397" s="282" t="n"/>
      <c r="AC397" s="529" t="n"/>
      <c r="AE397" s="282" t="n"/>
      <c r="AF397" s="282" t="n"/>
      <c r="AI397" s="282" t="n"/>
      <c r="AJ397" s="282" t="n"/>
      <c r="AM397" s="282" t="n"/>
      <c r="AN397" s="282" t="n"/>
      <c r="AQ397" s="282" t="n"/>
      <c r="AR397" s="282" t="n"/>
    </row>
    <row customHeight="1" ht="15.75" r="398" s="452" spans="1:45">
      <c r="A398" s="44" t="n"/>
      <c r="G398" s="282" t="n"/>
      <c r="H398" s="282" t="n"/>
      <c r="K398" s="282" t="n"/>
      <c r="L398" s="282" t="n"/>
      <c r="O398" s="282" t="n"/>
      <c r="P398" s="282" t="n"/>
      <c r="S398" s="282" t="n"/>
      <c r="T398" s="282" t="n"/>
      <c r="W398" s="282" t="n"/>
      <c r="X398" s="282" t="n"/>
      <c r="Y398" s="282" t="n"/>
      <c r="Z398" s="282" t="n"/>
      <c r="AA398" s="282" t="n"/>
      <c r="AB398" s="282" t="n"/>
      <c r="AC398" s="529" t="n"/>
      <c r="AE398" s="282" t="n"/>
      <c r="AF398" s="282" t="n"/>
      <c r="AI398" s="282" t="n"/>
      <c r="AJ398" s="282" t="n"/>
      <c r="AM398" s="282" t="n"/>
      <c r="AN398" s="282" t="n"/>
      <c r="AQ398" s="282" t="n"/>
      <c r="AR398" s="282" t="n"/>
    </row>
    <row customHeight="1" ht="15.75" r="399" s="452" spans="1:45">
      <c r="A399" s="44" t="n"/>
      <c r="G399" s="282" t="n"/>
      <c r="H399" s="282" t="n"/>
      <c r="K399" s="282" t="n"/>
      <c r="L399" s="282" t="n"/>
      <c r="O399" s="282" t="n"/>
      <c r="P399" s="282" t="n"/>
      <c r="S399" s="282" t="n"/>
      <c r="T399" s="282" t="n"/>
      <c r="W399" s="282" t="n"/>
      <c r="X399" s="282" t="n"/>
      <c r="Y399" s="282" t="n"/>
      <c r="Z399" s="282" t="n"/>
      <c r="AA399" s="282" t="n"/>
      <c r="AB399" s="282" t="n"/>
      <c r="AC399" s="529" t="n"/>
      <c r="AE399" s="282" t="n"/>
      <c r="AF399" s="282" t="n"/>
      <c r="AI399" s="282" t="n"/>
      <c r="AJ399" s="282" t="n"/>
      <c r="AM399" s="282" t="n"/>
      <c r="AN399" s="282" t="n"/>
      <c r="AQ399" s="282" t="n"/>
      <c r="AR399" s="282" t="n"/>
    </row>
    <row customHeight="1" ht="15.75" r="400" s="452" spans="1:45">
      <c r="A400" s="44" t="n"/>
      <c r="G400" s="282" t="n"/>
      <c r="H400" s="282" t="n"/>
      <c r="K400" s="282" t="n"/>
      <c r="L400" s="282" t="n"/>
      <c r="O400" s="282" t="n"/>
      <c r="P400" s="282" t="n"/>
      <c r="S400" s="282" t="n"/>
      <c r="T400" s="282" t="n"/>
      <c r="W400" s="282" t="n"/>
      <c r="X400" s="282" t="n"/>
      <c r="Y400" s="282" t="n"/>
      <c r="Z400" s="282" t="n"/>
      <c r="AA400" s="282" t="n"/>
      <c r="AB400" s="282" t="n"/>
      <c r="AC400" s="529" t="n"/>
      <c r="AE400" s="282" t="n"/>
      <c r="AF400" s="282" t="n"/>
      <c r="AI400" s="282" t="n"/>
      <c r="AJ400" s="282" t="n"/>
      <c r="AM400" s="282" t="n"/>
      <c r="AN400" s="282" t="n"/>
      <c r="AQ400" s="282" t="n"/>
      <c r="AR400" s="282" t="n"/>
    </row>
    <row customHeight="1" ht="15.75" r="401" s="452" spans="1:45">
      <c r="A401" s="44" t="n"/>
      <c r="G401" s="282" t="n"/>
      <c r="H401" s="282" t="n"/>
      <c r="K401" s="282" t="n"/>
      <c r="L401" s="282" t="n"/>
      <c r="O401" s="282" t="n"/>
      <c r="P401" s="282" t="n"/>
      <c r="S401" s="282" t="n"/>
      <c r="T401" s="282" t="n"/>
      <c r="W401" s="282" t="n"/>
      <c r="X401" s="282" t="n"/>
      <c r="Y401" s="282" t="n"/>
      <c r="Z401" s="282" t="n"/>
      <c r="AA401" s="282" t="n"/>
      <c r="AB401" s="282" t="n"/>
      <c r="AC401" s="529" t="n"/>
      <c r="AE401" s="282" t="n"/>
      <c r="AF401" s="282" t="n"/>
      <c r="AI401" s="282" t="n"/>
      <c r="AJ401" s="282" t="n"/>
      <c r="AM401" s="282" t="n"/>
      <c r="AN401" s="282" t="n"/>
      <c r="AQ401" s="282" t="n"/>
      <c r="AR401" s="282" t="n"/>
    </row>
    <row customHeight="1" ht="15.75" r="402" s="452" spans="1:45">
      <c r="A402" s="44" t="n"/>
      <c r="G402" s="282" t="n"/>
      <c r="H402" s="282" t="n"/>
      <c r="K402" s="282" t="n"/>
      <c r="L402" s="282" t="n"/>
      <c r="O402" s="282" t="n"/>
      <c r="P402" s="282" t="n"/>
      <c r="S402" s="282" t="n"/>
      <c r="T402" s="282" t="n"/>
      <c r="W402" s="282" t="n"/>
      <c r="X402" s="282" t="n"/>
      <c r="Y402" s="282" t="n"/>
      <c r="Z402" s="282" t="n"/>
      <c r="AA402" s="282" t="n"/>
      <c r="AB402" s="282" t="n"/>
      <c r="AC402" s="529" t="n"/>
      <c r="AE402" s="282" t="n"/>
      <c r="AF402" s="282" t="n"/>
      <c r="AI402" s="282" t="n"/>
      <c r="AJ402" s="282" t="n"/>
      <c r="AM402" s="282" t="n"/>
      <c r="AN402" s="282" t="n"/>
      <c r="AQ402" s="282" t="n"/>
      <c r="AR402" s="282" t="n"/>
    </row>
    <row customHeight="1" ht="15.75" r="403" s="452" spans="1:45">
      <c r="A403" s="44" t="n"/>
      <c r="G403" s="282" t="n"/>
      <c r="H403" s="282" t="n"/>
      <c r="K403" s="282" t="n"/>
      <c r="L403" s="282" t="n"/>
      <c r="O403" s="282" t="n"/>
      <c r="P403" s="282" t="n"/>
      <c r="S403" s="282" t="n"/>
      <c r="T403" s="282" t="n"/>
      <c r="W403" s="282" t="n"/>
      <c r="X403" s="282" t="n"/>
      <c r="Y403" s="282" t="n"/>
      <c r="Z403" s="282" t="n"/>
      <c r="AA403" s="282" t="n"/>
      <c r="AB403" s="282" t="n"/>
      <c r="AC403" s="529" t="n"/>
      <c r="AE403" s="282" t="n"/>
      <c r="AF403" s="282" t="n"/>
      <c r="AI403" s="282" t="n"/>
      <c r="AJ403" s="282" t="n"/>
      <c r="AM403" s="282" t="n"/>
      <c r="AN403" s="282" t="n"/>
      <c r="AQ403" s="282" t="n"/>
      <c r="AR403" s="282" t="n"/>
    </row>
    <row customHeight="1" ht="15.75" r="404" s="452" spans="1:45">
      <c r="A404" s="44" t="n"/>
      <c r="G404" s="282" t="n"/>
      <c r="H404" s="282" t="n"/>
      <c r="K404" s="282" t="n"/>
      <c r="L404" s="282" t="n"/>
      <c r="O404" s="282" t="n"/>
      <c r="P404" s="282" t="n"/>
      <c r="S404" s="282" t="n"/>
      <c r="T404" s="282" t="n"/>
      <c r="W404" s="282" t="n"/>
      <c r="X404" s="282" t="n"/>
      <c r="Y404" s="282" t="n"/>
      <c r="Z404" s="282" t="n"/>
      <c r="AA404" s="282" t="n"/>
      <c r="AB404" s="282" t="n"/>
      <c r="AC404" s="529" t="n"/>
      <c r="AE404" s="282" t="n"/>
      <c r="AF404" s="282" t="n"/>
      <c r="AI404" s="282" t="n"/>
      <c r="AJ404" s="282" t="n"/>
      <c r="AM404" s="282" t="n"/>
      <c r="AN404" s="282" t="n"/>
      <c r="AQ404" s="282" t="n"/>
      <c r="AR404" s="282" t="n"/>
    </row>
    <row customHeight="1" ht="15.75" r="405" s="452" spans="1:45">
      <c r="A405" s="44" t="n"/>
      <c r="G405" s="282" t="n"/>
      <c r="H405" s="282" t="n"/>
      <c r="K405" s="282" t="n"/>
      <c r="L405" s="282" t="n"/>
      <c r="O405" s="282" t="n"/>
      <c r="P405" s="282" t="n"/>
      <c r="S405" s="282" t="n"/>
      <c r="T405" s="282" t="n"/>
      <c r="W405" s="282" t="n"/>
      <c r="X405" s="282" t="n"/>
      <c r="Y405" s="282" t="n"/>
      <c r="Z405" s="282" t="n"/>
      <c r="AA405" s="282" t="n"/>
      <c r="AB405" s="282" t="n"/>
      <c r="AC405" s="529" t="n"/>
      <c r="AE405" s="282" t="n"/>
      <c r="AF405" s="282" t="n"/>
      <c r="AI405" s="282" t="n"/>
      <c r="AJ405" s="282" t="n"/>
      <c r="AM405" s="282" t="n"/>
      <c r="AN405" s="282" t="n"/>
      <c r="AQ405" s="282" t="n"/>
      <c r="AR405" s="282" t="n"/>
    </row>
    <row customHeight="1" ht="15.75" r="406" s="452" spans="1:45">
      <c r="A406" s="44" t="n"/>
      <c r="G406" s="282" t="n"/>
      <c r="H406" s="282" t="n"/>
      <c r="K406" s="282" t="n"/>
      <c r="L406" s="282" t="n"/>
      <c r="O406" s="282" t="n"/>
      <c r="P406" s="282" t="n"/>
      <c r="S406" s="282" t="n"/>
      <c r="T406" s="282" t="n"/>
      <c r="W406" s="282" t="n"/>
      <c r="X406" s="282" t="n"/>
      <c r="Y406" s="282" t="n"/>
      <c r="Z406" s="282" t="n"/>
      <c r="AA406" s="282" t="n"/>
      <c r="AB406" s="282" t="n"/>
      <c r="AC406" s="529" t="n"/>
      <c r="AE406" s="282" t="n"/>
      <c r="AF406" s="282" t="n"/>
      <c r="AI406" s="282" t="n"/>
      <c r="AJ406" s="282" t="n"/>
      <c r="AM406" s="282" t="n"/>
      <c r="AN406" s="282" t="n"/>
      <c r="AQ406" s="282" t="n"/>
      <c r="AR406" s="282" t="n"/>
    </row>
    <row customHeight="1" ht="15.75" r="407" s="452" spans="1:45">
      <c r="A407" s="44" t="n"/>
      <c r="G407" s="282" t="n"/>
      <c r="H407" s="282" t="n"/>
      <c r="K407" s="282" t="n"/>
      <c r="L407" s="282" t="n"/>
      <c r="O407" s="282" t="n"/>
      <c r="P407" s="282" t="n"/>
      <c r="S407" s="282" t="n"/>
      <c r="T407" s="282" t="n"/>
      <c r="W407" s="282" t="n"/>
      <c r="X407" s="282" t="n"/>
      <c r="Y407" s="282" t="n"/>
      <c r="Z407" s="282" t="n"/>
      <c r="AA407" s="282" t="n"/>
      <c r="AB407" s="282" t="n"/>
      <c r="AC407" s="529" t="n"/>
      <c r="AE407" s="282" t="n"/>
      <c r="AF407" s="282" t="n"/>
      <c r="AI407" s="282" t="n"/>
      <c r="AJ407" s="282" t="n"/>
      <c r="AM407" s="282" t="n"/>
      <c r="AN407" s="282" t="n"/>
      <c r="AQ407" s="282" t="n"/>
      <c r="AR407" s="282" t="n"/>
    </row>
    <row customHeight="1" ht="15.75" r="408" s="452" spans="1:45">
      <c r="A408" s="44" t="n"/>
      <c r="G408" s="282" t="n"/>
      <c r="H408" s="282" t="n"/>
      <c r="K408" s="282" t="n"/>
      <c r="L408" s="282" t="n"/>
      <c r="O408" s="282" t="n"/>
      <c r="P408" s="282" t="n"/>
      <c r="S408" s="282" t="n"/>
      <c r="T408" s="282" t="n"/>
      <c r="W408" s="282" t="n"/>
      <c r="X408" s="282" t="n"/>
      <c r="Y408" s="282" t="n"/>
      <c r="Z408" s="282" t="n"/>
      <c r="AA408" s="282" t="n"/>
      <c r="AB408" s="282" t="n"/>
      <c r="AC408" s="529" t="n"/>
      <c r="AE408" s="282" t="n"/>
      <c r="AF408" s="282" t="n"/>
      <c r="AI408" s="282" t="n"/>
      <c r="AJ408" s="282" t="n"/>
      <c r="AM408" s="282" t="n"/>
      <c r="AN408" s="282" t="n"/>
      <c r="AQ408" s="282" t="n"/>
      <c r="AR408" s="282" t="n"/>
    </row>
    <row customHeight="1" ht="15.75" r="409" s="452" spans="1:45">
      <c r="A409" s="44" t="n"/>
      <c r="G409" s="282" t="n"/>
      <c r="H409" s="282" t="n"/>
      <c r="K409" s="282" t="n"/>
      <c r="L409" s="282" t="n"/>
      <c r="O409" s="282" t="n"/>
      <c r="P409" s="282" t="n"/>
      <c r="S409" s="282" t="n"/>
      <c r="T409" s="282" t="n"/>
      <c r="W409" s="282" t="n"/>
      <c r="X409" s="282" t="n"/>
      <c r="Y409" s="282" t="n"/>
      <c r="Z409" s="282" t="n"/>
      <c r="AA409" s="282" t="n"/>
      <c r="AB409" s="282" t="n"/>
      <c r="AC409" s="529" t="n"/>
      <c r="AE409" s="282" t="n"/>
      <c r="AF409" s="282" t="n"/>
      <c r="AI409" s="282" t="n"/>
      <c r="AJ409" s="282" t="n"/>
      <c r="AM409" s="282" t="n"/>
      <c r="AN409" s="282" t="n"/>
      <c r="AQ409" s="282" t="n"/>
      <c r="AR409" s="282" t="n"/>
    </row>
    <row customHeight="1" ht="15.75" r="410" s="452" spans="1:45">
      <c r="A410" s="44" t="n"/>
      <c r="G410" s="282" t="n"/>
      <c r="H410" s="282" t="n"/>
      <c r="K410" s="282" t="n"/>
      <c r="L410" s="282" t="n"/>
      <c r="O410" s="282" t="n"/>
      <c r="P410" s="282" t="n"/>
      <c r="S410" s="282" t="n"/>
      <c r="T410" s="282" t="n"/>
      <c r="W410" s="282" t="n"/>
      <c r="X410" s="282" t="n"/>
      <c r="Y410" s="282" t="n"/>
      <c r="Z410" s="282" t="n"/>
      <c r="AA410" s="282" t="n"/>
      <c r="AB410" s="282" t="n"/>
      <c r="AC410" s="529" t="n"/>
      <c r="AE410" s="282" t="n"/>
      <c r="AF410" s="282" t="n"/>
      <c r="AI410" s="282" t="n"/>
      <c r="AJ410" s="282" t="n"/>
      <c r="AM410" s="282" t="n"/>
      <c r="AN410" s="282" t="n"/>
      <c r="AQ410" s="282" t="n"/>
      <c r="AR410" s="282" t="n"/>
    </row>
    <row customHeight="1" ht="15.75" r="411" s="452" spans="1:45">
      <c r="A411" s="44" t="n"/>
      <c r="G411" s="282" t="n"/>
      <c r="H411" s="282" t="n"/>
      <c r="K411" s="282" t="n"/>
      <c r="L411" s="282" t="n"/>
      <c r="O411" s="282" t="n"/>
      <c r="P411" s="282" t="n"/>
      <c r="S411" s="282" t="n"/>
      <c r="T411" s="282" t="n"/>
      <c r="W411" s="282" t="n"/>
      <c r="X411" s="282" t="n"/>
      <c r="Y411" s="282" t="n"/>
      <c r="Z411" s="282" t="n"/>
      <c r="AA411" s="282" t="n"/>
      <c r="AB411" s="282" t="n"/>
      <c r="AC411" s="529" t="n"/>
      <c r="AE411" s="282" t="n"/>
      <c r="AF411" s="282" t="n"/>
      <c r="AI411" s="282" t="n"/>
      <c r="AJ411" s="282" t="n"/>
      <c r="AM411" s="282" t="n"/>
      <c r="AN411" s="282" t="n"/>
      <c r="AQ411" s="282" t="n"/>
      <c r="AR411" s="282" t="n"/>
    </row>
    <row customHeight="1" ht="15.75" r="412" s="452" spans="1:45">
      <c r="A412" s="44" t="n"/>
      <c r="G412" s="282" t="n"/>
      <c r="H412" s="282" t="n"/>
      <c r="K412" s="282" t="n"/>
      <c r="L412" s="282" t="n"/>
      <c r="O412" s="282" t="n"/>
      <c r="P412" s="282" t="n"/>
      <c r="S412" s="282" t="n"/>
      <c r="T412" s="282" t="n"/>
      <c r="W412" s="282" t="n"/>
      <c r="X412" s="282" t="n"/>
      <c r="Y412" s="282" t="n"/>
      <c r="Z412" s="282" t="n"/>
      <c r="AA412" s="282" t="n"/>
      <c r="AB412" s="282" t="n"/>
      <c r="AC412" s="529" t="n"/>
      <c r="AE412" s="282" t="n"/>
      <c r="AF412" s="282" t="n"/>
      <c r="AI412" s="282" t="n"/>
      <c r="AJ412" s="282" t="n"/>
      <c r="AM412" s="282" t="n"/>
      <c r="AN412" s="282" t="n"/>
      <c r="AQ412" s="282" t="n"/>
      <c r="AR412" s="282" t="n"/>
    </row>
    <row customHeight="1" ht="15.75" r="413" s="452" spans="1:45">
      <c r="A413" s="44" t="n"/>
      <c r="G413" s="282" t="n"/>
      <c r="H413" s="282" t="n"/>
      <c r="K413" s="282" t="n"/>
      <c r="L413" s="282" t="n"/>
      <c r="O413" s="282" t="n"/>
      <c r="P413" s="282" t="n"/>
      <c r="S413" s="282" t="n"/>
      <c r="T413" s="282" t="n"/>
      <c r="W413" s="282" t="n"/>
      <c r="X413" s="282" t="n"/>
      <c r="Y413" s="282" t="n"/>
      <c r="Z413" s="282" t="n"/>
      <c r="AA413" s="282" t="n"/>
      <c r="AB413" s="282" t="n"/>
      <c r="AC413" s="529" t="n"/>
      <c r="AE413" s="282" t="n"/>
      <c r="AF413" s="282" t="n"/>
      <c r="AI413" s="282" t="n"/>
      <c r="AJ413" s="282" t="n"/>
      <c r="AM413" s="282" t="n"/>
      <c r="AN413" s="282" t="n"/>
      <c r="AQ413" s="282" t="n"/>
      <c r="AR413" s="282" t="n"/>
    </row>
    <row customHeight="1" ht="15.75" r="414" s="452" spans="1:45">
      <c r="A414" s="44" t="n"/>
      <c r="G414" s="282" t="n"/>
      <c r="H414" s="282" t="n"/>
      <c r="K414" s="282" t="n"/>
      <c r="L414" s="282" t="n"/>
      <c r="O414" s="282" t="n"/>
      <c r="P414" s="282" t="n"/>
      <c r="S414" s="282" t="n"/>
      <c r="T414" s="282" t="n"/>
      <c r="W414" s="282" t="n"/>
      <c r="X414" s="282" t="n"/>
      <c r="Y414" s="282" t="n"/>
      <c r="Z414" s="282" t="n"/>
      <c r="AA414" s="282" t="n"/>
      <c r="AB414" s="282" t="n"/>
      <c r="AC414" s="529" t="n"/>
      <c r="AE414" s="282" t="n"/>
      <c r="AF414" s="282" t="n"/>
      <c r="AI414" s="282" t="n"/>
      <c r="AJ414" s="282" t="n"/>
      <c r="AM414" s="282" t="n"/>
      <c r="AN414" s="282" t="n"/>
      <c r="AQ414" s="282" t="n"/>
      <c r="AR414" s="282" t="n"/>
    </row>
    <row customHeight="1" ht="15.75" r="415" s="452" spans="1:45">
      <c r="A415" s="44" t="n"/>
      <c r="G415" s="282" t="n"/>
      <c r="H415" s="282" t="n"/>
      <c r="K415" s="282" t="n"/>
      <c r="L415" s="282" t="n"/>
      <c r="O415" s="282" t="n"/>
      <c r="P415" s="282" t="n"/>
      <c r="S415" s="282" t="n"/>
      <c r="T415" s="282" t="n"/>
      <c r="W415" s="282" t="n"/>
      <c r="X415" s="282" t="n"/>
      <c r="Y415" s="282" t="n"/>
      <c r="Z415" s="282" t="n"/>
      <c r="AA415" s="282" t="n"/>
      <c r="AB415" s="282" t="n"/>
      <c r="AC415" s="529" t="n"/>
      <c r="AE415" s="282" t="n"/>
      <c r="AF415" s="282" t="n"/>
      <c r="AI415" s="282" t="n"/>
      <c r="AJ415" s="282" t="n"/>
      <c r="AM415" s="282" t="n"/>
      <c r="AN415" s="282" t="n"/>
      <c r="AQ415" s="282" t="n"/>
      <c r="AR415" s="282" t="n"/>
    </row>
    <row customHeight="1" ht="15.75" r="416" s="452" spans="1:45">
      <c r="A416" s="44" t="n"/>
      <c r="G416" s="282" t="n"/>
      <c r="H416" s="282" t="n"/>
      <c r="K416" s="282" t="n"/>
      <c r="L416" s="282" t="n"/>
      <c r="O416" s="282" t="n"/>
      <c r="P416" s="282" t="n"/>
      <c r="S416" s="282" t="n"/>
      <c r="T416" s="282" t="n"/>
      <c r="W416" s="282" t="n"/>
      <c r="X416" s="282" t="n"/>
      <c r="Y416" s="282" t="n"/>
      <c r="Z416" s="282" t="n"/>
      <c r="AA416" s="282" t="n"/>
      <c r="AB416" s="282" t="n"/>
      <c r="AC416" s="529" t="n"/>
      <c r="AE416" s="282" t="n"/>
      <c r="AF416" s="282" t="n"/>
      <c r="AI416" s="282" t="n"/>
      <c r="AJ416" s="282" t="n"/>
      <c r="AM416" s="282" t="n"/>
      <c r="AN416" s="282" t="n"/>
      <c r="AQ416" s="282" t="n"/>
      <c r="AR416" s="282" t="n"/>
    </row>
    <row customHeight="1" ht="15.75" r="417" s="452" spans="1:45">
      <c r="A417" s="44" t="n"/>
      <c r="G417" s="282" t="n"/>
      <c r="H417" s="282" t="n"/>
      <c r="K417" s="282" t="n"/>
      <c r="L417" s="282" t="n"/>
      <c r="O417" s="282" t="n"/>
      <c r="P417" s="282" t="n"/>
      <c r="S417" s="282" t="n"/>
      <c r="T417" s="282" t="n"/>
      <c r="W417" s="282" t="n"/>
      <c r="X417" s="282" t="n"/>
      <c r="Y417" s="282" t="n"/>
      <c r="Z417" s="282" t="n"/>
      <c r="AA417" s="282" t="n"/>
      <c r="AB417" s="282" t="n"/>
      <c r="AC417" s="529" t="n"/>
      <c r="AE417" s="282" t="n"/>
      <c r="AF417" s="282" t="n"/>
      <c r="AI417" s="282" t="n"/>
      <c r="AJ417" s="282" t="n"/>
      <c r="AM417" s="282" t="n"/>
      <c r="AN417" s="282" t="n"/>
      <c r="AQ417" s="282" t="n"/>
      <c r="AR417" s="282" t="n"/>
    </row>
    <row customHeight="1" ht="15.75" r="418" s="452" spans="1:45">
      <c r="A418" s="44" t="n"/>
      <c r="G418" s="282" t="n"/>
      <c r="H418" s="282" t="n"/>
      <c r="K418" s="282" t="n"/>
      <c r="L418" s="282" t="n"/>
      <c r="O418" s="282" t="n"/>
      <c r="P418" s="282" t="n"/>
      <c r="S418" s="282" t="n"/>
      <c r="T418" s="282" t="n"/>
      <c r="W418" s="282" t="n"/>
      <c r="X418" s="282" t="n"/>
      <c r="Y418" s="282" t="n"/>
      <c r="Z418" s="282" t="n"/>
      <c r="AA418" s="282" t="n"/>
      <c r="AB418" s="282" t="n"/>
      <c r="AC418" s="529" t="n"/>
      <c r="AE418" s="282" t="n"/>
      <c r="AF418" s="282" t="n"/>
      <c r="AI418" s="282" t="n"/>
      <c r="AJ418" s="282" t="n"/>
      <c r="AM418" s="282" t="n"/>
      <c r="AN418" s="282" t="n"/>
      <c r="AQ418" s="282" t="n"/>
      <c r="AR418" s="282" t="n"/>
    </row>
    <row customHeight="1" ht="15.75" r="419" s="452" spans="1:45">
      <c r="A419" s="44" t="n"/>
      <c r="G419" s="282" t="n"/>
      <c r="H419" s="282" t="n"/>
      <c r="K419" s="282" t="n"/>
      <c r="L419" s="282" t="n"/>
      <c r="O419" s="282" t="n"/>
      <c r="P419" s="282" t="n"/>
      <c r="S419" s="282" t="n"/>
      <c r="T419" s="282" t="n"/>
      <c r="W419" s="282" t="n"/>
      <c r="X419" s="282" t="n"/>
      <c r="Y419" s="282" t="n"/>
      <c r="Z419" s="282" t="n"/>
      <c r="AA419" s="282" t="n"/>
      <c r="AB419" s="282" t="n"/>
      <c r="AC419" s="529" t="n"/>
      <c r="AE419" s="282" t="n"/>
      <c r="AF419" s="282" t="n"/>
      <c r="AI419" s="282" t="n"/>
      <c r="AJ419" s="282" t="n"/>
      <c r="AM419" s="282" t="n"/>
      <c r="AN419" s="282" t="n"/>
      <c r="AQ419" s="282" t="n"/>
      <c r="AR419" s="282" t="n"/>
    </row>
    <row customHeight="1" ht="15.75" r="420" s="452" spans="1:45">
      <c r="A420" s="44" t="n"/>
      <c r="G420" s="282" t="n"/>
      <c r="H420" s="282" t="n"/>
      <c r="K420" s="282" t="n"/>
      <c r="L420" s="282" t="n"/>
      <c r="O420" s="282" t="n"/>
      <c r="P420" s="282" t="n"/>
      <c r="S420" s="282" t="n"/>
      <c r="T420" s="282" t="n"/>
      <c r="W420" s="282" t="n"/>
      <c r="X420" s="282" t="n"/>
      <c r="Y420" s="282" t="n"/>
      <c r="Z420" s="282" t="n"/>
      <c r="AA420" s="282" t="n"/>
      <c r="AB420" s="282" t="n"/>
      <c r="AC420" s="529" t="n"/>
      <c r="AE420" s="282" t="n"/>
      <c r="AF420" s="282" t="n"/>
      <c r="AI420" s="282" t="n"/>
      <c r="AJ420" s="282" t="n"/>
      <c r="AM420" s="282" t="n"/>
      <c r="AN420" s="282" t="n"/>
      <c r="AQ420" s="282" t="n"/>
      <c r="AR420" s="282" t="n"/>
    </row>
    <row customHeight="1" ht="15.75" r="421" s="452" spans="1:45">
      <c r="A421" s="44" t="n"/>
      <c r="G421" s="282" t="n"/>
      <c r="H421" s="282" t="n"/>
      <c r="K421" s="282" t="n"/>
      <c r="L421" s="282" t="n"/>
      <c r="O421" s="282" t="n"/>
      <c r="P421" s="282" t="n"/>
      <c r="S421" s="282" t="n"/>
      <c r="T421" s="282" t="n"/>
      <c r="W421" s="282" t="n"/>
      <c r="X421" s="282" t="n"/>
      <c r="Y421" s="282" t="n"/>
      <c r="Z421" s="282" t="n"/>
      <c r="AA421" s="282" t="n"/>
      <c r="AB421" s="282" t="n"/>
      <c r="AC421" s="529" t="n"/>
      <c r="AE421" s="282" t="n"/>
      <c r="AF421" s="282" t="n"/>
      <c r="AI421" s="282" t="n"/>
      <c r="AJ421" s="282" t="n"/>
      <c r="AM421" s="282" t="n"/>
      <c r="AN421" s="282" t="n"/>
      <c r="AQ421" s="282" t="n"/>
      <c r="AR421" s="282" t="n"/>
    </row>
    <row customHeight="1" ht="15.75" r="422" s="452" spans="1:45">
      <c r="A422" s="44" t="n"/>
      <c r="G422" s="282" t="n"/>
      <c r="H422" s="282" t="n"/>
      <c r="K422" s="282" t="n"/>
      <c r="L422" s="282" t="n"/>
      <c r="O422" s="282" t="n"/>
      <c r="P422" s="282" t="n"/>
      <c r="S422" s="282" t="n"/>
      <c r="T422" s="282" t="n"/>
      <c r="W422" s="282" t="n"/>
      <c r="X422" s="282" t="n"/>
      <c r="Y422" s="282" t="n"/>
      <c r="Z422" s="282" t="n"/>
      <c r="AA422" s="282" t="n"/>
      <c r="AB422" s="282" t="n"/>
      <c r="AC422" s="529" t="n"/>
      <c r="AE422" s="282" t="n"/>
      <c r="AF422" s="282" t="n"/>
      <c r="AI422" s="282" t="n"/>
      <c r="AJ422" s="282" t="n"/>
      <c r="AM422" s="282" t="n"/>
      <c r="AN422" s="282" t="n"/>
      <c r="AQ422" s="282" t="n"/>
      <c r="AR422" s="282" t="n"/>
    </row>
    <row customHeight="1" ht="15.75" r="423" s="452" spans="1:45">
      <c r="A423" s="44" t="n"/>
      <c r="G423" s="282" t="n"/>
      <c r="H423" s="282" t="n"/>
      <c r="K423" s="282" t="n"/>
      <c r="L423" s="282" t="n"/>
      <c r="O423" s="282" t="n"/>
      <c r="P423" s="282" t="n"/>
      <c r="S423" s="282" t="n"/>
      <c r="T423" s="282" t="n"/>
      <c r="W423" s="282" t="n"/>
      <c r="X423" s="282" t="n"/>
      <c r="Y423" s="282" t="n"/>
      <c r="Z423" s="282" t="n"/>
      <c r="AA423" s="282" t="n"/>
      <c r="AB423" s="282" t="n"/>
      <c r="AC423" s="529" t="n"/>
      <c r="AE423" s="282" t="n"/>
      <c r="AF423" s="282" t="n"/>
      <c r="AI423" s="282" t="n"/>
      <c r="AJ423" s="282" t="n"/>
      <c r="AM423" s="282" t="n"/>
      <c r="AN423" s="282" t="n"/>
      <c r="AQ423" s="282" t="n"/>
      <c r="AR423" s="282" t="n"/>
    </row>
    <row customHeight="1" ht="15.75" r="424" s="452" spans="1:45">
      <c r="A424" s="44" t="n"/>
      <c r="G424" s="282" t="n"/>
      <c r="H424" s="282" t="n"/>
      <c r="K424" s="282" t="n"/>
      <c r="L424" s="282" t="n"/>
      <c r="O424" s="282" t="n"/>
      <c r="P424" s="282" t="n"/>
      <c r="S424" s="282" t="n"/>
      <c r="T424" s="282" t="n"/>
      <c r="W424" s="282" t="n"/>
      <c r="X424" s="282" t="n"/>
      <c r="Y424" s="282" t="n"/>
      <c r="Z424" s="282" t="n"/>
      <c r="AA424" s="282" t="n"/>
      <c r="AB424" s="282" t="n"/>
      <c r="AC424" s="529" t="n"/>
      <c r="AE424" s="282" t="n"/>
      <c r="AF424" s="282" t="n"/>
      <c r="AI424" s="282" t="n"/>
      <c r="AJ424" s="282" t="n"/>
      <c r="AM424" s="282" t="n"/>
      <c r="AN424" s="282" t="n"/>
      <c r="AQ424" s="282" t="n"/>
      <c r="AR424" s="282" t="n"/>
    </row>
    <row customHeight="1" ht="15.75" r="425" s="452" spans="1:45">
      <c r="A425" s="44" t="n"/>
      <c r="G425" s="282" t="n"/>
      <c r="H425" s="282" t="n"/>
      <c r="K425" s="282" t="n"/>
      <c r="L425" s="282" t="n"/>
      <c r="O425" s="282" t="n"/>
      <c r="P425" s="282" t="n"/>
      <c r="S425" s="282" t="n"/>
      <c r="T425" s="282" t="n"/>
      <c r="W425" s="282" t="n"/>
      <c r="X425" s="282" t="n"/>
      <c r="Y425" s="282" t="n"/>
      <c r="Z425" s="282" t="n"/>
      <c r="AA425" s="282" t="n"/>
      <c r="AB425" s="282" t="n"/>
      <c r="AC425" s="529" t="n"/>
      <c r="AE425" s="282" t="n"/>
      <c r="AF425" s="282" t="n"/>
      <c r="AI425" s="282" t="n"/>
      <c r="AJ425" s="282" t="n"/>
      <c r="AM425" s="282" t="n"/>
      <c r="AN425" s="282" t="n"/>
      <c r="AQ425" s="282" t="n"/>
      <c r="AR425" s="282" t="n"/>
    </row>
    <row customHeight="1" ht="15.75" r="426" s="452" spans="1:45">
      <c r="A426" s="44" t="n"/>
      <c r="G426" s="282" t="n"/>
      <c r="H426" s="282" t="n"/>
      <c r="K426" s="282" t="n"/>
      <c r="L426" s="282" t="n"/>
      <c r="O426" s="282" t="n"/>
      <c r="P426" s="282" t="n"/>
      <c r="S426" s="282" t="n"/>
      <c r="T426" s="282" t="n"/>
      <c r="W426" s="282" t="n"/>
      <c r="X426" s="282" t="n"/>
      <c r="Y426" s="282" t="n"/>
      <c r="Z426" s="282" t="n"/>
      <c r="AA426" s="282" t="n"/>
      <c r="AB426" s="282" t="n"/>
      <c r="AC426" s="529" t="n"/>
      <c r="AE426" s="282" t="n"/>
      <c r="AF426" s="282" t="n"/>
      <c r="AI426" s="282" t="n"/>
      <c r="AJ426" s="282" t="n"/>
      <c r="AM426" s="282" t="n"/>
      <c r="AN426" s="282" t="n"/>
      <c r="AQ426" s="282" t="n"/>
      <c r="AR426" s="282" t="n"/>
    </row>
    <row customHeight="1" ht="15.75" r="427" s="452" spans="1:45">
      <c r="A427" s="44" t="n"/>
      <c r="G427" s="282" t="n"/>
      <c r="H427" s="282" t="n"/>
      <c r="K427" s="282" t="n"/>
      <c r="L427" s="282" t="n"/>
      <c r="O427" s="282" t="n"/>
      <c r="P427" s="282" t="n"/>
      <c r="S427" s="282" t="n"/>
      <c r="T427" s="282" t="n"/>
      <c r="W427" s="282" t="n"/>
      <c r="X427" s="282" t="n"/>
      <c r="Y427" s="282" t="n"/>
      <c r="Z427" s="282" t="n"/>
      <c r="AA427" s="282" t="n"/>
      <c r="AB427" s="282" t="n"/>
      <c r="AC427" s="529" t="n"/>
      <c r="AE427" s="282" t="n"/>
      <c r="AF427" s="282" t="n"/>
      <c r="AI427" s="282" t="n"/>
      <c r="AJ427" s="282" t="n"/>
      <c r="AM427" s="282" t="n"/>
      <c r="AN427" s="282" t="n"/>
      <c r="AQ427" s="282" t="n"/>
      <c r="AR427" s="282" t="n"/>
    </row>
    <row customHeight="1" ht="15.75" r="428" s="452" spans="1:45">
      <c r="A428" s="44" t="n"/>
      <c r="G428" s="282" t="n"/>
      <c r="H428" s="282" t="n"/>
      <c r="K428" s="282" t="n"/>
      <c r="L428" s="282" t="n"/>
      <c r="O428" s="282" t="n"/>
      <c r="P428" s="282" t="n"/>
      <c r="S428" s="282" t="n"/>
      <c r="T428" s="282" t="n"/>
      <c r="W428" s="282" t="n"/>
      <c r="X428" s="282" t="n"/>
      <c r="Y428" s="282" t="n"/>
      <c r="Z428" s="282" t="n"/>
      <c r="AA428" s="282" t="n"/>
      <c r="AB428" s="282" t="n"/>
      <c r="AC428" s="529" t="n"/>
      <c r="AE428" s="282" t="n"/>
      <c r="AF428" s="282" t="n"/>
      <c r="AI428" s="282" t="n"/>
      <c r="AJ428" s="282" t="n"/>
      <c r="AM428" s="282" t="n"/>
      <c r="AN428" s="282" t="n"/>
      <c r="AQ428" s="282" t="n"/>
      <c r="AR428" s="282" t="n"/>
    </row>
    <row customHeight="1" ht="15.75" r="429" s="452" spans="1:45">
      <c r="A429" s="44" t="n"/>
      <c r="G429" s="282" t="n"/>
      <c r="H429" s="282" t="n"/>
      <c r="K429" s="282" t="n"/>
      <c r="L429" s="282" t="n"/>
      <c r="O429" s="282" t="n"/>
      <c r="P429" s="282" t="n"/>
      <c r="S429" s="282" t="n"/>
      <c r="T429" s="282" t="n"/>
      <c r="W429" s="282" t="n"/>
      <c r="X429" s="282" t="n"/>
      <c r="Y429" s="282" t="n"/>
      <c r="Z429" s="282" t="n"/>
      <c r="AA429" s="282" t="n"/>
      <c r="AB429" s="282" t="n"/>
      <c r="AC429" s="529" t="n"/>
      <c r="AE429" s="282" t="n"/>
      <c r="AF429" s="282" t="n"/>
      <c r="AI429" s="282" t="n"/>
      <c r="AJ429" s="282" t="n"/>
      <c r="AM429" s="282" t="n"/>
      <c r="AN429" s="282" t="n"/>
      <c r="AQ429" s="282" t="n"/>
      <c r="AR429" s="282" t="n"/>
    </row>
    <row customHeight="1" ht="15.75" r="430" s="452" spans="1:45">
      <c r="A430" s="44" t="n"/>
      <c r="G430" s="282" t="n"/>
      <c r="H430" s="282" t="n"/>
      <c r="K430" s="282" t="n"/>
      <c r="L430" s="282" t="n"/>
      <c r="O430" s="282" t="n"/>
      <c r="P430" s="282" t="n"/>
      <c r="S430" s="282" t="n"/>
      <c r="T430" s="282" t="n"/>
      <c r="W430" s="282" t="n"/>
      <c r="X430" s="282" t="n"/>
      <c r="Y430" s="282" t="n"/>
      <c r="Z430" s="282" t="n"/>
      <c r="AA430" s="282" t="n"/>
      <c r="AB430" s="282" t="n"/>
      <c r="AC430" s="529" t="n"/>
      <c r="AE430" s="282" t="n"/>
      <c r="AF430" s="282" t="n"/>
      <c r="AI430" s="282" t="n"/>
      <c r="AJ430" s="282" t="n"/>
      <c r="AM430" s="282" t="n"/>
      <c r="AN430" s="282" t="n"/>
      <c r="AQ430" s="282" t="n"/>
      <c r="AR430" s="282" t="n"/>
    </row>
    <row customHeight="1" ht="15.75" r="431" s="452" spans="1:45">
      <c r="A431" s="44" t="n"/>
      <c r="G431" s="282" t="n"/>
      <c r="H431" s="282" t="n"/>
      <c r="K431" s="282" t="n"/>
      <c r="L431" s="282" t="n"/>
      <c r="O431" s="282" t="n"/>
      <c r="P431" s="282" t="n"/>
      <c r="S431" s="282" t="n"/>
      <c r="T431" s="282" t="n"/>
      <c r="W431" s="282" t="n"/>
      <c r="X431" s="282" t="n"/>
      <c r="Y431" s="282" t="n"/>
      <c r="Z431" s="282" t="n"/>
      <c r="AA431" s="282" t="n"/>
      <c r="AB431" s="282" t="n"/>
      <c r="AC431" s="529" t="n"/>
      <c r="AE431" s="282" t="n"/>
      <c r="AF431" s="282" t="n"/>
      <c r="AI431" s="282" t="n"/>
      <c r="AJ431" s="282" t="n"/>
      <c r="AM431" s="282" t="n"/>
      <c r="AN431" s="282" t="n"/>
      <c r="AQ431" s="282" t="n"/>
      <c r="AR431" s="282" t="n"/>
    </row>
    <row customHeight="1" ht="15.75" r="432" s="452" spans="1:45">
      <c r="A432" s="44" t="n"/>
      <c r="G432" s="282" t="n"/>
      <c r="H432" s="282" t="n"/>
      <c r="K432" s="282" t="n"/>
      <c r="L432" s="282" t="n"/>
      <c r="O432" s="282" t="n"/>
      <c r="P432" s="282" t="n"/>
      <c r="S432" s="282" t="n"/>
      <c r="T432" s="282" t="n"/>
      <c r="W432" s="282" t="n"/>
      <c r="X432" s="282" t="n"/>
      <c r="Y432" s="282" t="n"/>
      <c r="Z432" s="282" t="n"/>
      <c r="AA432" s="282" t="n"/>
      <c r="AB432" s="282" t="n"/>
      <c r="AC432" s="529" t="n"/>
      <c r="AE432" s="282" t="n"/>
      <c r="AF432" s="282" t="n"/>
      <c r="AI432" s="282" t="n"/>
      <c r="AJ432" s="282" t="n"/>
      <c r="AM432" s="282" t="n"/>
      <c r="AN432" s="282" t="n"/>
      <c r="AQ432" s="282" t="n"/>
      <c r="AR432" s="282" t="n"/>
    </row>
    <row customHeight="1" ht="15.75" r="433" s="452" spans="1:45">
      <c r="A433" s="44" t="n"/>
      <c r="G433" s="282" t="n"/>
      <c r="H433" s="282" t="n"/>
      <c r="K433" s="282" t="n"/>
      <c r="L433" s="282" t="n"/>
      <c r="O433" s="282" t="n"/>
      <c r="P433" s="282" t="n"/>
      <c r="S433" s="282" t="n"/>
      <c r="T433" s="282" t="n"/>
      <c r="W433" s="282" t="n"/>
      <c r="X433" s="282" t="n"/>
      <c r="Y433" s="282" t="n"/>
      <c r="Z433" s="282" t="n"/>
      <c r="AA433" s="282" t="n"/>
      <c r="AB433" s="282" t="n"/>
      <c r="AC433" s="529" t="n"/>
      <c r="AE433" s="282" t="n"/>
      <c r="AF433" s="282" t="n"/>
      <c r="AI433" s="282" t="n"/>
      <c r="AJ433" s="282" t="n"/>
      <c r="AM433" s="282" t="n"/>
      <c r="AN433" s="282" t="n"/>
      <c r="AQ433" s="282" t="n"/>
      <c r="AR433" s="282" t="n"/>
    </row>
    <row customHeight="1" ht="15.75" r="434" s="452" spans="1:45">
      <c r="A434" s="44" t="n"/>
      <c r="G434" s="282" t="n"/>
      <c r="H434" s="282" t="n"/>
      <c r="K434" s="282" t="n"/>
      <c r="L434" s="282" t="n"/>
      <c r="O434" s="282" t="n"/>
      <c r="P434" s="282" t="n"/>
      <c r="S434" s="282" t="n"/>
      <c r="T434" s="282" t="n"/>
      <c r="W434" s="282" t="n"/>
      <c r="X434" s="282" t="n"/>
      <c r="Y434" s="282" t="n"/>
      <c r="Z434" s="282" t="n"/>
      <c r="AA434" s="282" t="n"/>
      <c r="AB434" s="282" t="n"/>
      <c r="AC434" s="529" t="n"/>
      <c r="AE434" s="282" t="n"/>
      <c r="AF434" s="282" t="n"/>
      <c r="AI434" s="282" t="n"/>
      <c r="AJ434" s="282" t="n"/>
      <c r="AM434" s="282" t="n"/>
      <c r="AN434" s="282" t="n"/>
      <c r="AQ434" s="282" t="n"/>
      <c r="AR434" s="282" t="n"/>
    </row>
    <row customHeight="1" ht="15.75" r="435" s="452" spans="1:45">
      <c r="A435" s="44" t="n"/>
      <c r="G435" s="282" t="n"/>
      <c r="H435" s="282" t="n"/>
      <c r="K435" s="282" t="n"/>
      <c r="L435" s="282" t="n"/>
      <c r="O435" s="282" t="n"/>
      <c r="P435" s="282" t="n"/>
      <c r="S435" s="282" t="n"/>
      <c r="T435" s="282" t="n"/>
      <c r="W435" s="282" t="n"/>
      <c r="X435" s="282" t="n"/>
      <c r="Y435" s="282" t="n"/>
      <c r="Z435" s="282" t="n"/>
      <c r="AA435" s="282" t="n"/>
      <c r="AB435" s="282" t="n"/>
      <c r="AC435" s="529" t="n"/>
      <c r="AE435" s="282" t="n"/>
      <c r="AF435" s="282" t="n"/>
      <c r="AI435" s="282" t="n"/>
      <c r="AJ435" s="282" t="n"/>
      <c r="AM435" s="282" t="n"/>
      <c r="AN435" s="282" t="n"/>
      <c r="AQ435" s="282" t="n"/>
      <c r="AR435" s="282" t="n"/>
    </row>
    <row customHeight="1" ht="15.75" r="436" s="452" spans="1:45">
      <c r="A436" s="44" t="n"/>
      <c r="G436" s="282" t="n"/>
      <c r="H436" s="282" t="n"/>
      <c r="K436" s="282" t="n"/>
      <c r="L436" s="282" t="n"/>
      <c r="O436" s="282" t="n"/>
      <c r="P436" s="282" t="n"/>
      <c r="S436" s="282" t="n"/>
      <c r="T436" s="282" t="n"/>
      <c r="W436" s="282" t="n"/>
      <c r="X436" s="282" t="n"/>
      <c r="Y436" s="282" t="n"/>
      <c r="Z436" s="282" t="n"/>
      <c r="AA436" s="282" t="n"/>
      <c r="AB436" s="282" t="n"/>
      <c r="AC436" s="529" t="n"/>
      <c r="AE436" s="282" t="n"/>
      <c r="AF436" s="282" t="n"/>
      <c r="AI436" s="282" t="n"/>
      <c r="AJ436" s="282" t="n"/>
      <c r="AM436" s="282" t="n"/>
      <c r="AN436" s="282" t="n"/>
      <c r="AQ436" s="282" t="n"/>
      <c r="AR436" s="282" t="n"/>
    </row>
    <row customHeight="1" ht="15.75" r="437" s="452" spans="1:45">
      <c r="A437" s="44" t="n"/>
      <c r="G437" s="282" t="n"/>
      <c r="H437" s="282" t="n"/>
      <c r="K437" s="282" t="n"/>
      <c r="L437" s="282" t="n"/>
      <c r="O437" s="282" t="n"/>
      <c r="P437" s="282" t="n"/>
      <c r="S437" s="282" t="n"/>
      <c r="T437" s="282" t="n"/>
      <c r="W437" s="282" t="n"/>
      <c r="X437" s="282" t="n"/>
      <c r="Y437" s="282" t="n"/>
      <c r="Z437" s="282" t="n"/>
      <c r="AA437" s="282" t="n"/>
      <c r="AB437" s="282" t="n"/>
      <c r="AC437" s="529" t="n"/>
      <c r="AE437" s="282" t="n"/>
      <c r="AF437" s="282" t="n"/>
      <c r="AI437" s="282" t="n"/>
      <c r="AJ437" s="282" t="n"/>
      <c r="AM437" s="282" t="n"/>
      <c r="AN437" s="282" t="n"/>
      <c r="AQ437" s="282" t="n"/>
      <c r="AR437" s="282" t="n"/>
    </row>
    <row customHeight="1" ht="15.75" r="438" s="452" spans="1:45">
      <c r="A438" s="44" t="n"/>
      <c r="G438" s="282" t="n"/>
      <c r="H438" s="282" t="n"/>
      <c r="K438" s="282" t="n"/>
      <c r="L438" s="282" t="n"/>
      <c r="O438" s="282" t="n"/>
      <c r="P438" s="282" t="n"/>
      <c r="S438" s="282" t="n"/>
      <c r="T438" s="282" t="n"/>
      <c r="W438" s="282" t="n"/>
      <c r="X438" s="282" t="n"/>
      <c r="Y438" s="282" t="n"/>
      <c r="Z438" s="282" t="n"/>
      <c r="AA438" s="282" t="n"/>
      <c r="AB438" s="282" t="n"/>
      <c r="AC438" s="529" t="n"/>
      <c r="AE438" s="282" t="n"/>
      <c r="AF438" s="282" t="n"/>
      <c r="AI438" s="282" t="n"/>
      <c r="AJ438" s="282" t="n"/>
      <c r="AM438" s="282" t="n"/>
      <c r="AN438" s="282" t="n"/>
      <c r="AQ438" s="282" t="n"/>
      <c r="AR438" s="282" t="n"/>
    </row>
    <row customHeight="1" ht="15.75" r="439" s="452" spans="1:45">
      <c r="A439" s="44" t="n"/>
      <c r="G439" s="282" t="n"/>
      <c r="H439" s="282" t="n"/>
      <c r="K439" s="282" t="n"/>
      <c r="L439" s="282" t="n"/>
      <c r="O439" s="282" t="n"/>
      <c r="P439" s="282" t="n"/>
      <c r="S439" s="282" t="n"/>
      <c r="T439" s="282" t="n"/>
      <c r="W439" s="282" t="n"/>
      <c r="X439" s="282" t="n"/>
      <c r="Y439" s="282" t="n"/>
      <c r="Z439" s="282" t="n"/>
      <c r="AA439" s="282" t="n"/>
      <c r="AB439" s="282" t="n"/>
      <c r="AC439" s="529" t="n"/>
      <c r="AE439" s="282" t="n"/>
      <c r="AF439" s="282" t="n"/>
      <c r="AI439" s="282" t="n"/>
      <c r="AJ439" s="282" t="n"/>
      <c r="AM439" s="282" t="n"/>
      <c r="AN439" s="282" t="n"/>
      <c r="AQ439" s="282" t="n"/>
      <c r="AR439" s="282" t="n"/>
    </row>
    <row customHeight="1" ht="15.75" r="440" s="452" spans="1:45">
      <c r="A440" s="44" t="n"/>
      <c r="G440" s="282" t="n"/>
      <c r="H440" s="282" t="n"/>
      <c r="K440" s="282" t="n"/>
      <c r="L440" s="282" t="n"/>
      <c r="O440" s="282" t="n"/>
      <c r="P440" s="282" t="n"/>
      <c r="S440" s="282" t="n"/>
      <c r="T440" s="282" t="n"/>
      <c r="W440" s="282" t="n"/>
      <c r="X440" s="282" t="n"/>
      <c r="Y440" s="282" t="n"/>
      <c r="Z440" s="282" t="n"/>
      <c r="AA440" s="282" t="n"/>
      <c r="AB440" s="282" t="n"/>
      <c r="AC440" s="529" t="n"/>
      <c r="AE440" s="282" t="n"/>
      <c r="AF440" s="282" t="n"/>
      <c r="AI440" s="282" t="n"/>
      <c r="AJ440" s="282" t="n"/>
      <c r="AM440" s="282" t="n"/>
      <c r="AN440" s="282" t="n"/>
      <c r="AQ440" s="282" t="n"/>
      <c r="AR440" s="282" t="n"/>
    </row>
    <row customHeight="1" ht="15.75" r="441" s="452" spans="1:45">
      <c r="A441" s="44" t="n"/>
      <c r="G441" s="282" t="n"/>
      <c r="H441" s="282" t="n"/>
      <c r="K441" s="282" t="n"/>
      <c r="L441" s="282" t="n"/>
      <c r="O441" s="282" t="n"/>
      <c r="P441" s="282" t="n"/>
      <c r="S441" s="282" t="n"/>
      <c r="T441" s="282" t="n"/>
      <c r="W441" s="282" t="n"/>
      <c r="X441" s="282" t="n"/>
      <c r="Y441" s="282" t="n"/>
      <c r="Z441" s="282" t="n"/>
      <c r="AA441" s="282" t="n"/>
      <c r="AB441" s="282" t="n"/>
      <c r="AC441" s="529" t="n"/>
      <c r="AE441" s="282" t="n"/>
      <c r="AF441" s="282" t="n"/>
      <c r="AI441" s="282" t="n"/>
      <c r="AJ441" s="282" t="n"/>
      <c r="AM441" s="282" t="n"/>
      <c r="AN441" s="282" t="n"/>
      <c r="AQ441" s="282" t="n"/>
      <c r="AR441" s="282" t="n"/>
    </row>
    <row customHeight="1" ht="15.75" r="442" s="452" spans="1:45">
      <c r="A442" s="44" t="n"/>
      <c r="G442" s="282" t="n"/>
      <c r="H442" s="282" t="n"/>
      <c r="K442" s="282" t="n"/>
      <c r="L442" s="282" t="n"/>
      <c r="O442" s="282" t="n"/>
      <c r="P442" s="282" t="n"/>
      <c r="S442" s="282" t="n"/>
      <c r="T442" s="282" t="n"/>
      <c r="W442" s="282" t="n"/>
      <c r="X442" s="282" t="n"/>
      <c r="Y442" s="282" t="n"/>
      <c r="Z442" s="282" t="n"/>
      <c r="AA442" s="282" t="n"/>
      <c r="AB442" s="282" t="n"/>
      <c r="AC442" s="529" t="n"/>
      <c r="AE442" s="282" t="n"/>
      <c r="AF442" s="282" t="n"/>
      <c r="AI442" s="282" t="n"/>
      <c r="AJ442" s="282" t="n"/>
      <c r="AM442" s="282" t="n"/>
      <c r="AN442" s="282" t="n"/>
      <c r="AQ442" s="282" t="n"/>
      <c r="AR442" s="282" t="n"/>
    </row>
    <row customHeight="1" ht="15.75" r="443" s="452" spans="1:45">
      <c r="A443" s="44" t="n"/>
      <c r="G443" s="282" t="n"/>
      <c r="H443" s="282" t="n"/>
      <c r="K443" s="282" t="n"/>
      <c r="L443" s="282" t="n"/>
      <c r="O443" s="282" t="n"/>
      <c r="P443" s="282" t="n"/>
      <c r="S443" s="282" t="n"/>
      <c r="T443" s="282" t="n"/>
      <c r="W443" s="282" t="n"/>
      <c r="X443" s="282" t="n"/>
      <c r="Y443" s="282" t="n"/>
      <c r="Z443" s="282" t="n"/>
      <c r="AA443" s="282" t="n"/>
      <c r="AB443" s="282" t="n"/>
      <c r="AC443" s="529" t="n"/>
      <c r="AE443" s="282" t="n"/>
      <c r="AF443" s="282" t="n"/>
      <c r="AI443" s="282" t="n"/>
      <c r="AJ443" s="282" t="n"/>
      <c r="AM443" s="282" t="n"/>
      <c r="AN443" s="282" t="n"/>
      <c r="AQ443" s="282" t="n"/>
      <c r="AR443" s="282" t="n"/>
    </row>
    <row customHeight="1" ht="15.75" r="444" s="452" spans="1:45">
      <c r="A444" s="44" t="n"/>
      <c r="G444" s="282" t="n"/>
      <c r="H444" s="282" t="n"/>
      <c r="K444" s="282" t="n"/>
      <c r="L444" s="282" t="n"/>
      <c r="O444" s="282" t="n"/>
      <c r="P444" s="282" t="n"/>
      <c r="S444" s="282" t="n"/>
      <c r="T444" s="282" t="n"/>
      <c r="W444" s="282" t="n"/>
      <c r="X444" s="282" t="n"/>
      <c r="Y444" s="282" t="n"/>
      <c r="Z444" s="282" t="n"/>
      <c r="AA444" s="282" t="n"/>
      <c r="AB444" s="282" t="n"/>
      <c r="AC444" s="529" t="n"/>
      <c r="AE444" s="282" t="n"/>
      <c r="AF444" s="282" t="n"/>
      <c r="AI444" s="282" t="n"/>
      <c r="AJ444" s="282" t="n"/>
      <c r="AM444" s="282" t="n"/>
      <c r="AN444" s="282" t="n"/>
      <c r="AQ444" s="282" t="n"/>
      <c r="AR444" s="282" t="n"/>
    </row>
    <row customHeight="1" ht="15.75" r="445" s="452" spans="1:45">
      <c r="A445" s="44" t="n"/>
      <c r="G445" s="282" t="n"/>
      <c r="H445" s="282" t="n"/>
      <c r="K445" s="282" t="n"/>
      <c r="L445" s="282" t="n"/>
      <c r="O445" s="282" t="n"/>
      <c r="P445" s="282" t="n"/>
      <c r="S445" s="282" t="n"/>
      <c r="T445" s="282" t="n"/>
      <c r="W445" s="282" t="n"/>
      <c r="X445" s="282" t="n"/>
      <c r="Y445" s="282" t="n"/>
      <c r="Z445" s="282" t="n"/>
      <c r="AA445" s="282" t="n"/>
      <c r="AB445" s="282" t="n"/>
      <c r="AC445" s="529" t="n"/>
      <c r="AE445" s="282" t="n"/>
      <c r="AF445" s="282" t="n"/>
      <c r="AI445" s="282" t="n"/>
      <c r="AJ445" s="282" t="n"/>
      <c r="AM445" s="282" t="n"/>
      <c r="AN445" s="282" t="n"/>
      <c r="AQ445" s="282" t="n"/>
      <c r="AR445" s="282" t="n"/>
    </row>
    <row customHeight="1" ht="15.75" r="446" s="452" spans="1:45">
      <c r="A446" s="44" t="n"/>
      <c r="G446" s="282" t="n"/>
      <c r="H446" s="282" t="n"/>
      <c r="K446" s="282" t="n"/>
      <c r="L446" s="282" t="n"/>
      <c r="O446" s="282" t="n"/>
      <c r="P446" s="282" t="n"/>
      <c r="S446" s="282" t="n"/>
      <c r="T446" s="282" t="n"/>
      <c r="W446" s="282" t="n"/>
      <c r="X446" s="282" t="n"/>
      <c r="Y446" s="282" t="n"/>
      <c r="Z446" s="282" t="n"/>
      <c r="AA446" s="282" t="n"/>
      <c r="AB446" s="282" t="n"/>
      <c r="AC446" s="529" t="n"/>
      <c r="AE446" s="282" t="n"/>
      <c r="AF446" s="282" t="n"/>
      <c r="AI446" s="282" t="n"/>
      <c r="AJ446" s="282" t="n"/>
      <c r="AM446" s="282" t="n"/>
      <c r="AN446" s="282" t="n"/>
      <c r="AQ446" s="282" t="n"/>
      <c r="AR446" s="282" t="n"/>
    </row>
    <row customHeight="1" ht="15.75" r="447" s="452" spans="1:45">
      <c r="A447" s="44" t="n"/>
      <c r="G447" s="282" t="n"/>
      <c r="H447" s="282" t="n"/>
      <c r="K447" s="282" t="n"/>
      <c r="L447" s="282" t="n"/>
      <c r="O447" s="282" t="n"/>
      <c r="P447" s="282" t="n"/>
      <c r="S447" s="282" t="n"/>
      <c r="T447" s="282" t="n"/>
      <c r="W447" s="282" t="n"/>
      <c r="X447" s="282" t="n"/>
      <c r="Y447" s="282" t="n"/>
      <c r="Z447" s="282" t="n"/>
      <c r="AA447" s="282" t="n"/>
      <c r="AB447" s="282" t="n"/>
      <c r="AC447" s="529" t="n"/>
      <c r="AE447" s="282" t="n"/>
      <c r="AF447" s="282" t="n"/>
      <c r="AI447" s="282" t="n"/>
      <c r="AJ447" s="282" t="n"/>
      <c r="AM447" s="282" t="n"/>
      <c r="AN447" s="282" t="n"/>
      <c r="AQ447" s="282" t="n"/>
      <c r="AR447" s="282" t="n"/>
    </row>
    <row customHeight="1" ht="15.75" r="448" s="452" spans="1:45">
      <c r="A448" s="44" t="n"/>
      <c r="G448" s="282" t="n"/>
      <c r="H448" s="282" t="n"/>
      <c r="K448" s="282" t="n"/>
      <c r="L448" s="282" t="n"/>
      <c r="O448" s="282" t="n"/>
      <c r="P448" s="282" t="n"/>
      <c r="S448" s="282" t="n"/>
      <c r="T448" s="282" t="n"/>
      <c r="W448" s="282" t="n"/>
      <c r="X448" s="282" t="n"/>
      <c r="Y448" s="282" t="n"/>
      <c r="Z448" s="282" t="n"/>
      <c r="AA448" s="282" t="n"/>
      <c r="AB448" s="282" t="n"/>
      <c r="AC448" s="529" t="n"/>
      <c r="AE448" s="282" t="n"/>
      <c r="AF448" s="282" t="n"/>
      <c r="AI448" s="282" t="n"/>
      <c r="AJ448" s="282" t="n"/>
      <c r="AM448" s="282" t="n"/>
      <c r="AN448" s="282" t="n"/>
      <c r="AQ448" s="282" t="n"/>
      <c r="AR448" s="282" t="n"/>
    </row>
    <row customHeight="1" ht="15.75" r="449" s="452" spans="1:45">
      <c r="A449" s="44" t="n"/>
      <c r="G449" s="282" t="n"/>
      <c r="H449" s="282" t="n"/>
      <c r="K449" s="282" t="n"/>
      <c r="L449" s="282" t="n"/>
      <c r="O449" s="282" t="n"/>
      <c r="P449" s="282" t="n"/>
      <c r="S449" s="282" t="n"/>
      <c r="T449" s="282" t="n"/>
      <c r="W449" s="282" t="n"/>
      <c r="X449" s="282" t="n"/>
      <c r="Y449" s="282" t="n"/>
      <c r="Z449" s="282" t="n"/>
      <c r="AA449" s="282" t="n"/>
      <c r="AB449" s="282" t="n"/>
      <c r="AC449" s="529" t="n"/>
      <c r="AE449" s="282" t="n"/>
      <c r="AF449" s="282" t="n"/>
      <c r="AI449" s="282" t="n"/>
      <c r="AJ449" s="282" t="n"/>
      <c r="AM449" s="282" t="n"/>
      <c r="AN449" s="282" t="n"/>
      <c r="AQ449" s="282" t="n"/>
      <c r="AR449" s="282" t="n"/>
    </row>
    <row customHeight="1" ht="15.75" r="450" s="452" spans="1:45">
      <c r="A450" s="44" t="n"/>
      <c r="G450" s="282" t="n"/>
      <c r="H450" s="282" t="n"/>
      <c r="K450" s="282" t="n"/>
      <c r="L450" s="282" t="n"/>
      <c r="O450" s="282" t="n"/>
      <c r="P450" s="282" t="n"/>
      <c r="S450" s="282" t="n"/>
      <c r="T450" s="282" t="n"/>
      <c r="W450" s="282" t="n"/>
      <c r="X450" s="282" t="n"/>
      <c r="Y450" s="282" t="n"/>
      <c r="Z450" s="282" t="n"/>
      <c r="AA450" s="282" t="n"/>
      <c r="AB450" s="282" t="n"/>
      <c r="AC450" s="529" t="n"/>
      <c r="AE450" s="282" t="n"/>
      <c r="AF450" s="282" t="n"/>
      <c r="AI450" s="282" t="n"/>
      <c r="AJ450" s="282" t="n"/>
      <c r="AM450" s="282" t="n"/>
      <c r="AN450" s="282" t="n"/>
      <c r="AQ450" s="282" t="n"/>
      <c r="AR450" s="282" t="n"/>
    </row>
    <row customHeight="1" ht="15.75" r="451" s="452" spans="1:45">
      <c r="A451" s="44" t="n"/>
      <c r="G451" s="282" t="n"/>
      <c r="H451" s="282" t="n"/>
      <c r="K451" s="282" t="n"/>
      <c r="L451" s="282" t="n"/>
      <c r="O451" s="282" t="n"/>
      <c r="P451" s="282" t="n"/>
      <c r="S451" s="282" t="n"/>
      <c r="T451" s="282" t="n"/>
      <c r="W451" s="282" t="n"/>
      <c r="X451" s="282" t="n"/>
      <c r="Y451" s="282" t="n"/>
      <c r="Z451" s="282" t="n"/>
      <c r="AA451" s="282" t="n"/>
      <c r="AB451" s="282" t="n"/>
      <c r="AC451" s="529" t="n"/>
      <c r="AE451" s="282" t="n"/>
      <c r="AF451" s="282" t="n"/>
      <c r="AI451" s="282" t="n"/>
      <c r="AJ451" s="282" t="n"/>
      <c r="AM451" s="282" t="n"/>
      <c r="AN451" s="282" t="n"/>
      <c r="AQ451" s="282" t="n"/>
      <c r="AR451" s="282" t="n"/>
    </row>
    <row customHeight="1" ht="15.75" r="452" s="452" spans="1:45">
      <c r="A452" s="44" t="n"/>
      <c r="G452" s="282" t="n"/>
      <c r="H452" s="282" t="n"/>
      <c r="K452" s="282" t="n"/>
      <c r="L452" s="282" t="n"/>
      <c r="O452" s="282" t="n"/>
      <c r="P452" s="282" t="n"/>
      <c r="S452" s="282" t="n"/>
      <c r="T452" s="282" t="n"/>
      <c r="W452" s="282" t="n"/>
      <c r="X452" s="282" t="n"/>
      <c r="Y452" s="282" t="n"/>
      <c r="Z452" s="282" t="n"/>
      <c r="AA452" s="282" t="n"/>
      <c r="AB452" s="282" t="n"/>
      <c r="AC452" s="529" t="n"/>
      <c r="AE452" s="282" t="n"/>
      <c r="AF452" s="282" t="n"/>
      <c r="AI452" s="282" t="n"/>
      <c r="AJ452" s="282" t="n"/>
      <c r="AM452" s="282" t="n"/>
      <c r="AN452" s="282" t="n"/>
      <c r="AQ452" s="282" t="n"/>
      <c r="AR452" s="282" t="n"/>
    </row>
    <row customHeight="1" ht="15.75" r="453" s="452" spans="1:45">
      <c r="A453" s="44" t="n"/>
      <c r="G453" s="282" t="n"/>
      <c r="H453" s="282" t="n"/>
      <c r="K453" s="282" t="n"/>
      <c r="L453" s="282" t="n"/>
      <c r="O453" s="282" t="n"/>
      <c r="P453" s="282" t="n"/>
      <c r="S453" s="282" t="n"/>
      <c r="T453" s="282" t="n"/>
      <c r="W453" s="282" t="n"/>
      <c r="X453" s="282" t="n"/>
      <c r="Y453" s="282" t="n"/>
      <c r="Z453" s="282" t="n"/>
      <c r="AA453" s="282" t="n"/>
      <c r="AB453" s="282" t="n"/>
      <c r="AC453" s="529" t="n"/>
      <c r="AE453" s="282" t="n"/>
      <c r="AF453" s="282" t="n"/>
      <c r="AI453" s="282" t="n"/>
      <c r="AJ453" s="282" t="n"/>
      <c r="AM453" s="282" t="n"/>
      <c r="AN453" s="282" t="n"/>
      <c r="AQ453" s="282" t="n"/>
      <c r="AR453" s="282" t="n"/>
    </row>
    <row customHeight="1" ht="15.75" r="454" s="452" spans="1:45">
      <c r="A454" s="44" t="n"/>
      <c r="G454" s="282" t="n"/>
      <c r="H454" s="282" t="n"/>
      <c r="K454" s="282" t="n"/>
      <c r="L454" s="282" t="n"/>
      <c r="O454" s="282" t="n"/>
      <c r="P454" s="282" t="n"/>
      <c r="S454" s="282" t="n"/>
      <c r="T454" s="282" t="n"/>
      <c r="W454" s="282" t="n"/>
      <c r="X454" s="282" t="n"/>
      <c r="Y454" s="282" t="n"/>
      <c r="Z454" s="282" t="n"/>
      <c r="AA454" s="282" t="n"/>
      <c r="AB454" s="282" t="n"/>
      <c r="AC454" s="529" t="n"/>
      <c r="AE454" s="282" t="n"/>
      <c r="AF454" s="282" t="n"/>
      <c r="AI454" s="282" t="n"/>
      <c r="AJ454" s="282" t="n"/>
      <c r="AM454" s="282" t="n"/>
      <c r="AN454" s="282" t="n"/>
      <c r="AQ454" s="282" t="n"/>
      <c r="AR454" s="282" t="n"/>
    </row>
    <row customHeight="1" ht="15.75" r="455" s="452" spans="1:45">
      <c r="A455" s="44" t="n"/>
      <c r="G455" s="282" t="n"/>
      <c r="H455" s="282" t="n"/>
      <c r="K455" s="282" t="n"/>
      <c r="L455" s="282" t="n"/>
      <c r="O455" s="282" t="n"/>
      <c r="P455" s="282" t="n"/>
      <c r="S455" s="282" t="n"/>
      <c r="T455" s="282" t="n"/>
      <c r="W455" s="282" t="n"/>
      <c r="X455" s="282" t="n"/>
      <c r="Y455" s="282" t="n"/>
      <c r="Z455" s="282" t="n"/>
      <c r="AA455" s="282" t="n"/>
      <c r="AB455" s="282" t="n"/>
      <c r="AC455" s="529" t="n"/>
      <c r="AE455" s="282" t="n"/>
      <c r="AF455" s="282" t="n"/>
      <c r="AI455" s="282" t="n"/>
      <c r="AJ455" s="282" t="n"/>
      <c r="AM455" s="282" t="n"/>
      <c r="AN455" s="282" t="n"/>
      <c r="AQ455" s="282" t="n"/>
      <c r="AR455" s="282" t="n"/>
    </row>
    <row customHeight="1" ht="15.75" r="456" s="452" spans="1:45">
      <c r="A456" s="44" t="n"/>
      <c r="G456" s="282" t="n"/>
      <c r="H456" s="282" t="n"/>
      <c r="K456" s="282" t="n"/>
      <c r="L456" s="282" t="n"/>
      <c r="O456" s="282" t="n"/>
      <c r="P456" s="282" t="n"/>
      <c r="S456" s="282" t="n"/>
      <c r="T456" s="282" t="n"/>
      <c r="W456" s="282" t="n"/>
      <c r="X456" s="282" t="n"/>
      <c r="Y456" s="282" t="n"/>
      <c r="Z456" s="282" t="n"/>
      <c r="AA456" s="282" t="n"/>
      <c r="AB456" s="282" t="n"/>
      <c r="AC456" s="529" t="n"/>
      <c r="AE456" s="282" t="n"/>
      <c r="AF456" s="282" t="n"/>
      <c r="AI456" s="282" t="n"/>
      <c r="AJ456" s="282" t="n"/>
      <c r="AM456" s="282" t="n"/>
      <c r="AN456" s="282" t="n"/>
      <c r="AQ456" s="282" t="n"/>
      <c r="AR456" s="282" t="n"/>
    </row>
    <row customHeight="1" ht="15.75" r="457" s="452" spans="1:45">
      <c r="A457" s="44" t="n"/>
      <c r="G457" s="282" t="n"/>
      <c r="H457" s="282" t="n"/>
      <c r="K457" s="282" t="n"/>
      <c r="L457" s="282" t="n"/>
      <c r="O457" s="282" t="n"/>
      <c r="P457" s="282" t="n"/>
      <c r="S457" s="282" t="n"/>
      <c r="T457" s="282" t="n"/>
      <c r="W457" s="282" t="n"/>
      <c r="X457" s="282" t="n"/>
      <c r="Y457" s="282" t="n"/>
      <c r="Z457" s="282" t="n"/>
      <c r="AA457" s="282" t="n"/>
      <c r="AB457" s="282" t="n"/>
      <c r="AC457" s="529" t="n"/>
      <c r="AE457" s="282" t="n"/>
      <c r="AF457" s="282" t="n"/>
      <c r="AI457" s="282" t="n"/>
      <c r="AJ457" s="282" t="n"/>
      <c r="AM457" s="282" t="n"/>
      <c r="AN457" s="282" t="n"/>
      <c r="AQ457" s="282" t="n"/>
      <c r="AR457" s="282" t="n"/>
    </row>
    <row customHeight="1" ht="15.75" r="458" s="452" spans="1:45">
      <c r="A458" s="44" t="n"/>
      <c r="G458" s="282" t="n"/>
      <c r="H458" s="282" t="n"/>
      <c r="K458" s="282" t="n"/>
      <c r="L458" s="282" t="n"/>
      <c r="O458" s="282" t="n"/>
      <c r="P458" s="282" t="n"/>
      <c r="S458" s="282" t="n"/>
      <c r="T458" s="282" t="n"/>
      <c r="W458" s="282" t="n"/>
      <c r="X458" s="282" t="n"/>
      <c r="Y458" s="282" t="n"/>
      <c r="Z458" s="282" t="n"/>
      <c r="AA458" s="282" t="n"/>
      <c r="AB458" s="282" t="n"/>
      <c r="AC458" s="529" t="n"/>
      <c r="AE458" s="282" t="n"/>
      <c r="AF458" s="282" t="n"/>
      <c r="AI458" s="282" t="n"/>
      <c r="AJ458" s="282" t="n"/>
      <c r="AM458" s="282" t="n"/>
      <c r="AN458" s="282" t="n"/>
      <c r="AQ458" s="282" t="n"/>
      <c r="AR458" s="282" t="n"/>
    </row>
    <row customHeight="1" ht="15.75" r="459" s="452" spans="1:45">
      <c r="A459" s="44" t="n"/>
      <c r="G459" s="282" t="n"/>
      <c r="H459" s="282" t="n"/>
      <c r="K459" s="282" t="n"/>
      <c r="L459" s="282" t="n"/>
      <c r="O459" s="282" t="n"/>
      <c r="P459" s="282" t="n"/>
      <c r="S459" s="282" t="n"/>
      <c r="T459" s="282" t="n"/>
      <c r="W459" s="282" t="n"/>
      <c r="X459" s="282" t="n"/>
      <c r="Y459" s="282" t="n"/>
      <c r="Z459" s="282" t="n"/>
      <c r="AA459" s="282" t="n"/>
      <c r="AB459" s="282" t="n"/>
      <c r="AC459" s="529" t="n"/>
      <c r="AE459" s="282" t="n"/>
      <c r="AF459" s="282" t="n"/>
      <c r="AI459" s="282" t="n"/>
      <c r="AJ459" s="282" t="n"/>
      <c r="AM459" s="282" t="n"/>
      <c r="AN459" s="282" t="n"/>
      <c r="AQ459" s="282" t="n"/>
      <c r="AR459" s="282" t="n"/>
    </row>
    <row customHeight="1" ht="15.75" r="460" s="452" spans="1:45">
      <c r="A460" s="44" t="n"/>
      <c r="G460" s="282" t="n"/>
      <c r="H460" s="282" t="n"/>
      <c r="K460" s="282" t="n"/>
      <c r="L460" s="282" t="n"/>
      <c r="O460" s="282" t="n"/>
      <c r="P460" s="282" t="n"/>
      <c r="S460" s="282" t="n"/>
      <c r="T460" s="282" t="n"/>
      <c r="W460" s="282" t="n"/>
      <c r="X460" s="282" t="n"/>
      <c r="Y460" s="282" t="n"/>
      <c r="Z460" s="282" t="n"/>
      <c r="AA460" s="282" t="n"/>
      <c r="AB460" s="282" t="n"/>
      <c r="AC460" s="529" t="n"/>
      <c r="AE460" s="282" t="n"/>
      <c r="AF460" s="282" t="n"/>
      <c r="AI460" s="282" t="n"/>
      <c r="AJ460" s="282" t="n"/>
      <c r="AM460" s="282" t="n"/>
      <c r="AN460" s="282" t="n"/>
      <c r="AQ460" s="282" t="n"/>
      <c r="AR460" s="282" t="n"/>
    </row>
    <row customHeight="1" ht="15.75" r="461" s="452" spans="1:45">
      <c r="A461" s="44" t="n"/>
      <c r="G461" s="282" t="n"/>
      <c r="H461" s="282" t="n"/>
      <c r="K461" s="282" t="n"/>
      <c r="L461" s="282" t="n"/>
      <c r="O461" s="282" t="n"/>
      <c r="P461" s="282" t="n"/>
      <c r="S461" s="282" t="n"/>
      <c r="T461" s="282" t="n"/>
      <c r="W461" s="282" t="n"/>
      <c r="X461" s="282" t="n"/>
      <c r="Y461" s="282" t="n"/>
      <c r="Z461" s="282" t="n"/>
      <c r="AA461" s="282" t="n"/>
      <c r="AB461" s="282" t="n"/>
      <c r="AC461" s="529" t="n"/>
      <c r="AE461" s="282" t="n"/>
      <c r="AF461" s="282" t="n"/>
      <c r="AI461" s="282" t="n"/>
      <c r="AJ461" s="282" t="n"/>
      <c r="AM461" s="282" t="n"/>
      <c r="AN461" s="282" t="n"/>
      <c r="AQ461" s="282" t="n"/>
      <c r="AR461" s="282" t="n"/>
    </row>
    <row customHeight="1" ht="15.75" r="462" s="452" spans="1:45">
      <c r="A462" s="44" t="n"/>
      <c r="G462" s="282" t="n"/>
      <c r="H462" s="282" t="n"/>
      <c r="K462" s="282" t="n"/>
      <c r="L462" s="282" t="n"/>
      <c r="O462" s="282" t="n"/>
      <c r="P462" s="282" t="n"/>
      <c r="S462" s="282" t="n"/>
      <c r="T462" s="282" t="n"/>
      <c r="W462" s="282" t="n"/>
      <c r="X462" s="282" t="n"/>
      <c r="Y462" s="282" t="n"/>
      <c r="Z462" s="282" t="n"/>
      <c r="AA462" s="282" t="n"/>
      <c r="AB462" s="282" t="n"/>
      <c r="AC462" s="529" t="n"/>
      <c r="AE462" s="282" t="n"/>
      <c r="AF462" s="282" t="n"/>
      <c r="AI462" s="282" t="n"/>
      <c r="AJ462" s="282" t="n"/>
      <c r="AM462" s="282" t="n"/>
      <c r="AN462" s="282" t="n"/>
      <c r="AQ462" s="282" t="n"/>
      <c r="AR462" s="282" t="n"/>
    </row>
    <row customHeight="1" ht="15.75" r="463" s="452" spans="1:45">
      <c r="A463" s="44" t="n"/>
      <c r="G463" s="282" t="n"/>
      <c r="H463" s="282" t="n"/>
      <c r="K463" s="282" t="n"/>
      <c r="L463" s="282" t="n"/>
      <c r="O463" s="282" t="n"/>
      <c r="P463" s="282" t="n"/>
      <c r="S463" s="282" t="n"/>
      <c r="T463" s="282" t="n"/>
      <c r="W463" s="282" t="n"/>
      <c r="X463" s="282" t="n"/>
      <c r="Y463" s="282" t="n"/>
      <c r="Z463" s="282" t="n"/>
      <c r="AA463" s="282" t="n"/>
      <c r="AB463" s="282" t="n"/>
      <c r="AC463" s="529" t="n"/>
      <c r="AE463" s="282" t="n"/>
      <c r="AF463" s="282" t="n"/>
      <c r="AI463" s="282" t="n"/>
      <c r="AJ463" s="282" t="n"/>
      <c r="AM463" s="282" t="n"/>
      <c r="AN463" s="282" t="n"/>
      <c r="AQ463" s="282" t="n"/>
      <c r="AR463" s="282" t="n"/>
    </row>
    <row customHeight="1" ht="15.75" r="464" s="452" spans="1:45">
      <c r="A464" s="44" t="n"/>
      <c r="G464" s="282" t="n"/>
      <c r="H464" s="282" t="n"/>
      <c r="K464" s="282" t="n"/>
      <c r="L464" s="282" t="n"/>
      <c r="O464" s="282" t="n"/>
      <c r="P464" s="282" t="n"/>
      <c r="S464" s="282" t="n"/>
      <c r="T464" s="282" t="n"/>
      <c r="W464" s="282" t="n"/>
      <c r="X464" s="282" t="n"/>
      <c r="Y464" s="282" t="n"/>
      <c r="Z464" s="282" t="n"/>
      <c r="AA464" s="282" t="n"/>
      <c r="AB464" s="282" t="n"/>
      <c r="AC464" s="529" t="n"/>
      <c r="AE464" s="282" t="n"/>
      <c r="AF464" s="282" t="n"/>
      <c r="AI464" s="282" t="n"/>
      <c r="AJ464" s="282" t="n"/>
      <c r="AM464" s="282" t="n"/>
      <c r="AN464" s="282" t="n"/>
      <c r="AQ464" s="282" t="n"/>
      <c r="AR464" s="282" t="n"/>
    </row>
    <row customHeight="1" ht="15.75" r="465" s="452" spans="1:45">
      <c r="A465" s="44" t="n"/>
      <c r="G465" s="282" t="n"/>
      <c r="H465" s="282" t="n"/>
      <c r="K465" s="282" t="n"/>
      <c r="L465" s="282" t="n"/>
      <c r="O465" s="282" t="n"/>
      <c r="P465" s="282" t="n"/>
      <c r="S465" s="282" t="n"/>
      <c r="T465" s="282" t="n"/>
      <c r="W465" s="282" t="n"/>
      <c r="X465" s="282" t="n"/>
      <c r="Y465" s="282" t="n"/>
      <c r="Z465" s="282" t="n"/>
      <c r="AA465" s="282" t="n"/>
      <c r="AB465" s="282" t="n"/>
      <c r="AC465" s="529" t="n"/>
      <c r="AE465" s="282" t="n"/>
      <c r="AF465" s="282" t="n"/>
      <c r="AI465" s="282" t="n"/>
      <c r="AJ465" s="282" t="n"/>
      <c r="AM465" s="282" t="n"/>
      <c r="AN465" s="282" t="n"/>
      <c r="AQ465" s="282" t="n"/>
      <c r="AR465" s="282" t="n"/>
    </row>
    <row customHeight="1" ht="15.75" r="466" s="452" spans="1:45">
      <c r="A466" s="44" t="n"/>
      <c r="G466" s="282" t="n"/>
      <c r="H466" s="282" t="n"/>
      <c r="K466" s="282" t="n"/>
      <c r="L466" s="282" t="n"/>
      <c r="O466" s="282" t="n"/>
      <c r="P466" s="282" t="n"/>
      <c r="S466" s="282" t="n"/>
      <c r="T466" s="282" t="n"/>
      <c r="W466" s="282" t="n"/>
      <c r="X466" s="282" t="n"/>
      <c r="Y466" s="282" t="n"/>
      <c r="Z466" s="282" t="n"/>
      <c r="AA466" s="282" t="n"/>
      <c r="AB466" s="282" t="n"/>
      <c r="AC466" s="529" t="n"/>
      <c r="AE466" s="282" t="n"/>
      <c r="AF466" s="282" t="n"/>
      <c r="AI466" s="282" t="n"/>
      <c r="AJ466" s="282" t="n"/>
      <c r="AM466" s="282" t="n"/>
      <c r="AN466" s="282" t="n"/>
      <c r="AQ466" s="282" t="n"/>
      <c r="AR466" s="282" t="n"/>
    </row>
    <row customHeight="1" ht="15.75" r="467" s="452" spans="1:45">
      <c r="A467" s="44" t="n"/>
      <c r="G467" s="282" t="n"/>
      <c r="H467" s="282" t="n"/>
      <c r="K467" s="282" t="n"/>
      <c r="L467" s="282" t="n"/>
      <c r="O467" s="282" t="n"/>
      <c r="P467" s="282" t="n"/>
      <c r="S467" s="282" t="n"/>
      <c r="T467" s="282" t="n"/>
      <c r="W467" s="282" t="n"/>
      <c r="X467" s="282" t="n"/>
      <c r="Y467" s="282" t="n"/>
      <c r="Z467" s="282" t="n"/>
      <c r="AA467" s="282" t="n"/>
      <c r="AB467" s="282" t="n"/>
      <c r="AC467" s="529" t="n"/>
      <c r="AE467" s="282" t="n"/>
      <c r="AF467" s="282" t="n"/>
      <c r="AI467" s="282" t="n"/>
      <c r="AJ467" s="282" t="n"/>
      <c r="AM467" s="282" t="n"/>
      <c r="AN467" s="282" t="n"/>
      <c r="AQ467" s="282" t="n"/>
      <c r="AR467" s="282" t="n"/>
    </row>
    <row customHeight="1" ht="15.75" r="468" s="452" spans="1:45">
      <c r="A468" s="44" t="n"/>
      <c r="G468" s="282" t="n"/>
      <c r="H468" s="282" t="n"/>
      <c r="K468" s="282" t="n"/>
      <c r="L468" s="282" t="n"/>
      <c r="O468" s="282" t="n"/>
      <c r="P468" s="282" t="n"/>
      <c r="S468" s="282" t="n"/>
      <c r="T468" s="282" t="n"/>
      <c r="W468" s="282" t="n"/>
      <c r="X468" s="282" t="n"/>
      <c r="Y468" s="282" t="n"/>
      <c r="Z468" s="282" t="n"/>
      <c r="AA468" s="282" t="n"/>
      <c r="AB468" s="282" t="n"/>
      <c r="AC468" s="529" t="n"/>
      <c r="AE468" s="282" t="n"/>
      <c r="AF468" s="282" t="n"/>
      <c r="AI468" s="282" t="n"/>
      <c r="AJ468" s="282" t="n"/>
      <c r="AM468" s="282" t="n"/>
      <c r="AN468" s="282" t="n"/>
      <c r="AQ468" s="282" t="n"/>
      <c r="AR468" s="282" t="n"/>
    </row>
    <row customHeight="1" ht="15.75" r="469" s="452" spans="1:45">
      <c r="A469" s="44" t="n"/>
      <c r="G469" s="282" t="n"/>
      <c r="H469" s="282" t="n"/>
      <c r="K469" s="282" t="n"/>
      <c r="L469" s="282" t="n"/>
      <c r="O469" s="282" t="n"/>
      <c r="P469" s="282" t="n"/>
      <c r="S469" s="282" t="n"/>
      <c r="T469" s="282" t="n"/>
      <c r="W469" s="282" t="n"/>
      <c r="X469" s="282" t="n"/>
      <c r="Y469" s="282" t="n"/>
      <c r="Z469" s="282" t="n"/>
      <c r="AA469" s="282" t="n"/>
      <c r="AB469" s="282" t="n"/>
      <c r="AC469" s="529" t="n"/>
      <c r="AE469" s="282" t="n"/>
      <c r="AF469" s="282" t="n"/>
      <c r="AI469" s="282" t="n"/>
      <c r="AJ469" s="282" t="n"/>
      <c r="AM469" s="282" t="n"/>
      <c r="AN469" s="282" t="n"/>
      <c r="AQ469" s="282" t="n"/>
      <c r="AR469" s="282" t="n"/>
    </row>
    <row customHeight="1" ht="15.75" r="470" s="452" spans="1:45">
      <c r="A470" s="44" t="n"/>
      <c r="G470" s="282" t="n"/>
      <c r="H470" s="282" t="n"/>
      <c r="K470" s="282" t="n"/>
      <c r="L470" s="282" t="n"/>
      <c r="O470" s="282" t="n"/>
      <c r="P470" s="282" t="n"/>
      <c r="S470" s="282" t="n"/>
      <c r="T470" s="282" t="n"/>
      <c r="W470" s="282" t="n"/>
      <c r="X470" s="282" t="n"/>
      <c r="Y470" s="282" t="n"/>
      <c r="Z470" s="282" t="n"/>
      <c r="AA470" s="282" t="n"/>
      <c r="AB470" s="282" t="n"/>
      <c r="AC470" s="529" t="n"/>
      <c r="AE470" s="282" t="n"/>
      <c r="AF470" s="282" t="n"/>
      <c r="AI470" s="282" t="n"/>
      <c r="AJ470" s="282" t="n"/>
      <c r="AM470" s="282" t="n"/>
      <c r="AN470" s="282" t="n"/>
      <c r="AQ470" s="282" t="n"/>
      <c r="AR470" s="282" t="n"/>
    </row>
    <row customHeight="1" ht="15.75" r="471" s="452" spans="1:45">
      <c r="A471" s="44" t="n"/>
      <c r="G471" s="282" t="n"/>
      <c r="H471" s="282" t="n"/>
      <c r="K471" s="282" t="n"/>
      <c r="L471" s="282" t="n"/>
      <c r="O471" s="282" t="n"/>
      <c r="P471" s="282" t="n"/>
      <c r="S471" s="282" t="n"/>
      <c r="T471" s="282" t="n"/>
      <c r="W471" s="282" t="n"/>
      <c r="X471" s="282" t="n"/>
      <c r="Y471" s="282" t="n"/>
      <c r="Z471" s="282" t="n"/>
      <c r="AA471" s="282" t="n"/>
      <c r="AB471" s="282" t="n"/>
      <c r="AC471" s="529" t="n"/>
      <c r="AE471" s="282" t="n"/>
      <c r="AF471" s="282" t="n"/>
      <c r="AI471" s="282" t="n"/>
      <c r="AJ471" s="282" t="n"/>
      <c r="AM471" s="282" t="n"/>
      <c r="AN471" s="282" t="n"/>
      <c r="AQ471" s="282" t="n"/>
      <c r="AR471" s="282" t="n"/>
    </row>
    <row customHeight="1" ht="15.75" r="472" s="452" spans="1:45">
      <c r="A472" s="44" t="n"/>
      <c r="G472" s="282" t="n"/>
      <c r="H472" s="282" t="n"/>
      <c r="K472" s="282" t="n"/>
      <c r="L472" s="282" t="n"/>
      <c r="O472" s="282" t="n"/>
      <c r="P472" s="282" t="n"/>
      <c r="S472" s="282" t="n"/>
      <c r="T472" s="282" t="n"/>
      <c r="W472" s="282" t="n"/>
      <c r="X472" s="282" t="n"/>
      <c r="Y472" s="282" t="n"/>
      <c r="Z472" s="282" t="n"/>
      <c r="AA472" s="282" t="n"/>
      <c r="AB472" s="282" t="n"/>
      <c r="AC472" s="529" t="n"/>
      <c r="AE472" s="282" t="n"/>
      <c r="AF472" s="282" t="n"/>
      <c r="AI472" s="282" t="n"/>
      <c r="AJ472" s="282" t="n"/>
      <c r="AM472" s="282" t="n"/>
      <c r="AN472" s="282" t="n"/>
      <c r="AQ472" s="282" t="n"/>
      <c r="AR472" s="282" t="n"/>
    </row>
    <row customHeight="1" ht="15.75" r="473" s="452" spans="1:45">
      <c r="A473" s="44" t="n"/>
      <c r="G473" s="282" t="n"/>
      <c r="H473" s="282" t="n"/>
      <c r="K473" s="282" t="n"/>
      <c r="L473" s="282" t="n"/>
      <c r="O473" s="282" t="n"/>
      <c r="P473" s="282" t="n"/>
      <c r="S473" s="282" t="n"/>
      <c r="T473" s="282" t="n"/>
      <c r="W473" s="282" t="n"/>
      <c r="X473" s="282" t="n"/>
      <c r="Y473" s="282" t="n"/>
      <c r="Z473" s="282" t="n"/>
      <c r="AA473" s="282" t="n"/>
      <c r="AB473" s="282" t="n"/>
      <c r="AC473" s="529" t="n"/>
      <c r="AE473" s="282" t="n"/>
      <c r="AF473" s="282" t="n"/>
      <c r="AI473" s="282" t="n"/>
      <c r="AJ473" s="282" t="n"/>
      <c r="AM473" s="282" t="n"/>
      <c r="AN473" s="282" t="n"/>
      <c r="AQ473" s="282" t="n"/>
      <c r="AR473" s="282" t="n"/>
    </row>
    <row customHeight="1" ht="15.75" r="474" s="452" spans="1:45">
      <c r="A474" s="44" t="n"/>
      <c r="G474" s="282" t="n"/>
      <c r="H474" s="282" t="n"/>
      <c r="K474" s="282" t="n"/>
      <c r="L474" s="282" t="n"/>
      <c r="O474" s="282" t="n"/>
      <c r="P474" s="282" t="n"/>
      <c r="S474" s="282" t="n"/>
      <c r="T474" s="282" t="n"/>
      <c r="W474" s="282" t="n"/>
      <c r="X474" s="282" t="n"/>
      <c r="Y474" s="282" t="n"/>
      <c r="Z474" s="282" t="n"/>
      <c r="AA474" s="282" t="n"/>
      <c r="AB474" s="282" t="n"/>
      <c r="AC474" s="529" t="n"/>
      <c r="AE474" s="282" t="n"/>
      <c r="AF474" s="282" t="n"/>
      <c r="AI474" s="282" t="n"/>
      <c r="AJ474" s="282" t="n"/>
      <c r="AM474" s="282" t="n"/>
      <c r="AN474" s="282" t="n"/>
      <c r="AQ474" s="282" t="n"/>
      <c r="AR474" s="282" t="n"/>
    </row>
    <row customHeight="1" ht="15.75" r="475" s="452" spans="1:45">
      <c r="A475" s="44" t="n"/>
      <c r="G475" s="282" t="n"/>
      <c r="H475" s="282" t="n"/>
      <c r="K475" s="282" t="n"/>
      <c r="L475" s="282" t="n"/>
      <c r="O475" s="282" t="n"/>
      <c r="P475" s="282" t="n"/>
      <c r="S475" s="282" t="n"/>
      <c r="T475" s="282" t="n"/>
      <c r="W475" s="282" t="n"/>
      <c r="X475" s="282" t="n"/>
      <c r="Y475" s="282" t="n"/>
      <c r="Z475" s="282" t="n"/>
      <c r="AA475" s="282" t="n"/>
      <c r="AB475" s="282" t="n"/>
      <c r="AC475" s="529" t="n"/>
      <c r="AE475" s="282" t="n"/>
      <c r="AF475" s="282" t="n"/>
      <c r="AI475" s="282" t="n"/>
      <c r="AJ475" s="282" t="n"/>
      <c r="AM475" s="282" t="n"/>
      <c r="AN475" s="282" t="n"/>
      <c r="AQ475" s="282" t="n"/>
      <c r="AR475" s="282" t="n"/>
    </row>
    <row customHeight="1" ht="15.75" r="476" s="452" spans="1:45">
      <c r="A476" s="44" t="n"/>
      <c r="G476" s="282" t="n"/>
      <c r="H476" s="282" t="n"/>
      <c r="K476" s="282" t="n"/>
      <c r="L476" s="282" t="n"/>
      <c r="O476" s="282" t="n"/>
      <c r="P476" s="282" t="n"/>
      <c r="S476" s="282" t="n"/>
      <c r="T476" s="282" t="n"/>
      <c r="W476" s="282" t="n"/>
      <c r="X476" s="282" t="n"/>
      <c r="Y476" s="282" t="n"/>
      <c r="Z476" s="282" t="n"/>
      <c r="AA476" s="282" t="n"/>
      <c r="AB476" s="282" t="n"/>
      <c r="AC476" s="529" t="n"/>
      <c r="AE476" s="282" t="n"/>
      <c r="AF476" s="282" t="n"/>
      <c r="AI476" s="282" t="n"/>
      <c r="AJ476" s="282" t="n"/>
      <c r="AM476" s="282" t="n"/>
      <c r="AN476" s="282" t="n"/>
      <c r="AQ476" s="282" t="n"/>
      <c r="AR476" s="282" t="n"/>
    </row>
    <row customHeight="1" ht="15.75" r="477" s="452" spans="1:45">
      <c r="A477" s="44" t="n"/>
      <c r="G477" s="282" t="n"/>
      <c r="H477" s="282" t="n"/>
      <c r="K477" s="282" t="n"/>
      <c r="L477" s="282" t="n"/>
      <c r="O477" s="282" t="n"/>
      <c r="P477" s="282" t="n"/>
      <c r="S477" s="282" t="n"/>
      <c r="T477" s="282" t="n"/>
      <c r="W477" s="282" t="n"/>
      <c r="X477" s="282" t="n"/>
      <c r="Y477" s="282" t="n"/>
      <c r="Z477" s="282" t="n"/>
      <c r="AA477" s="282" t="n"/>
      <c r="AB477" s="282" t="n"/>
      <c r="AC477" s="529" t="n"/>
      <c r="AE477" s="282" t="n"/>
      <c r="AF477" s="282" t="n"/>
      <c r="AI477" s="282" t="n"/>
      <c r="AJ477" s="282" t="n"/>
      <c r="AM477" s="282" t="n"/>
      <c r="AN477" s="282" t="n"/>
      <c r="AQ477" s="282" t="n"/>
      <c r="AR477" s="282" t="n"/>
    </row>
    <row customHeight="1" ht="15.75" r="478" s="452" spans="1:45">
      <c r="A478" s="44" t="n"/>
      <c r="G478" s="282" t="n"/>
      <c r="H478" s="282" t="n"/>
      <c r="K478" s="282" t="n"/>
      <c r="L478" s="282" t="n"/>
      <c r="O478" s="282" t="n"/>
      <c r="P478" s="282" t="n"/>
      <c r="S478" s="282" t="n"/>
      <c r="T478" s="282" t="n"/>
      <c r="W478" s="282" t="n"/>
      <c r="X478" s="282" t="n"/>
      <c r="Y478" s="282" t="n"/>
      <c r="Z478" s="282" t="n"/>
      <c r="AA478" s="282" t="n"/>
      <c r="AB478" s="282" t="n"/>
      <c r="AC478" s="529" t="n"/>
      <c r="AE478" s="282" t="n"/>
      <c r="AF478" s="282" t="n"/>
      <c r="AI478" s="282" t="n"/>
      <c r="AJ478" s="282" t="n"/>
      <c r="AM478" s="282" t="n"/>
      <c r="AN478" s="282" t="n"/>
      <c r="AQ478" s="282" t="n"/>
      <c r="AR478" s="282" t="n"/>
    </row>
    <row customHeight="1" ht="15.75" r="479" s="452" spans="1:45">
      <c r="A479" s="44" t="n"/>
      <c r="G479" s="282" t="n"/>
      <c r="H479" s="282" t="n"/>
      <c r="K479" s="282" t="n"/>
      <c r="L479" s="282" t="n"/>
      <c r="O479" s="282" t="n"/>
      <c r="P479" s="282" t="n"/>
      <c r="S479" s="282" t="n"/>
      <c r="T479" s="282" t="n"/>
      <c r="W479" s="282" t="n"/>
      <c r="X479" s="282" t="n"/>
      <c r="Y479" s="282" t="n"/>
      <c r="Z479" s="282" t="n"/>
      <c r="AA479" s="282" t="n"/>
      <c r="AB479" s="282" t="n"/>
      <c r="AC479" s="529" t="n"/>
      <c r="AE479" s="282" t="n"/>
      <c r="AF479" s="282" t="n"/>
      <c r="AI479" s="282" t="n"/>
      <c r="AJ479" s="282" t="n"/>
      <c r="AM479" s="282" t="n"/>
      <c r="AN479" s="282" t="n"/>
      <c r="AQ479" s="282" t="n"/>
      <c r="AR479" s="282" t="n"/>
    </row>
    <row customHeight="1" ht="15.75" r="480" s="452" spans="1:45">
      <c r="A480" s="44" t="n"/>
      <c r="G480" s="282" t="n"/>
      <c r="H480" s="282" t="n"/>
      <c r="K480" s="282" t="n"/>
      <c r="L480" s="282" t="n"/>
      <c r="O480" s="282" t="n"/>
      <c r="P480" s="282" t="n"/>
      <c r="S480" s="282" t="n"/>
      <c r="T480" s="282" t="n"/>
      <c r="W480" s="282" t="n"/>
      <c r="X480" s="282" t="n"/>
      <c r="Y480" s="282" t="n"/>
      <c r="Z480" s="282" t="n"/>
      <c r="AA480" s="282" t="n"/>
      <c r="AB480" s="282" t="n"/>
      <c r="AC480" s="529" t="n"/>
      <c r="AE480" s="282" t="n"/>
      <c r="AF480" s="282" t="n"/>
      <c r="AI480" s="282" t="n"/>
      <c r="AJ480" s="282" t="n"/>
      <c r="AM480" s="282" t="n"/>
      <c r="AN480" s="282" t="n"/>
      <c r="AQ480" s="282" t="n"/>
      <c r="AR480" s="282" t="n"/>
    </row>
    <row customHeight="1" ht="15.75" r="481" s="452" spans="1:45">
      <c r="A481" s="44" t="n"/>
      <c r="G481" s="282" t="n"/>
      <c r="H481" s="282" t="n"/>
      <c r="K481" s="282" t="n"/>
      <c r="L481" s="282" t="n"/>
      <c r="O481" s="282" t="n"/>
      <c r="P481" s="282" t="n"/>
      <c r="S481" s="282" t="n"/>
      <c r="T481" s="282" t="n"/>
      <c r="W481" s="282" t="n"/>
      <c r="X481" s="282" t="n"/>
      <c r="Y481" s="282" t="n"/>
      <c r="Z481" s="282" t="n"/>
      <c r="AA481" s="282" t="n"/>
      <c r="AB481" s="282" t="n"/>
      <c r="AC481" s="529" t="n"/>
      <c r="AE481" s="282" t="n"/>
      <c r="AF481" s="282" t="n"/>
      <c r="AI481" s="282" t="n"/>
      <c r="AJ481" s="282" t="n"/>
      <c r="AM481" s="282" t="n"/>
      <c r="AN481" s="282" t="n"/>
      <c r="AQ481" s="282" t="n"/>
      <c r="AR481" s="282" t="n"/>
    </row>
    <row customHeight="1" ht="15.75" r="482" s="452" spans="1:45">
      <c r="A482" s="44" t="n"/>
      <c r="G482" s="282" t="n"/>
      <c r="H482" s="282" t="n"/>
      <c r="K482" s="282" t="n"/>
      <c r="L482" s="282" t="n"/>
      <c r="O482" s="282" t="n"/>
      <c r="P482" s="282" t="n"/>
      <c r="S482" s="282" t="n"/>
      <c r="T482" s="282" t="n"/>
      <c r="W482" s="282" t="n"/>
      <c r="X482" s="282" t="n"/>
      <c r="Y482" s="282" t="n"/>
      <c r="Z482" s="282" t="n"/>
      <c r="AA482" s="282" t="n"/>
      <c r="AB482" s="282" t="n"/>
      <c r="AC482" s="529" t="n"/>
      <c r="AE482" s="282" t="n"/>
      <c r="AF482" s="282" t="n"/>
      <c r="AI482" s="282" t="n"/>
      <c r="AJ482" s="282" t="n"/>
      <c r="AM482" s="282" t="n"/>
      <c r="AN482" s="282" t="n"/>
      <c r="AQ482" s="282" t="n"/>
      <c r="AR482" s="282" t="n"/>
    </row>
    <row customHeight="1" ht="15.75" r="483" s="452" spans="1:45">
      <c r="A483" s="44" t="n"/>
      <c r="G483" s="282" t="n"/>
      <c r="H483" s="282" t="n"/>
      <c r="K483" s="282" t="n"/>
      <c r="L483" s="282" t="n"/>
      <c r="O483" s="282" t="n"/>
      <c r="P483" s="282" t="n"/>
      <c r="S483" s="282" t="n"/>
      <c r="T483" s="282" t="n"/>
      <c r="W483" s="282" t="n"/>
      <c r="X483" s="282" t="n"/>
      <c r="Y483" s="282" t="n"/>
      <c r="Z483" s="282" t="n"/>
      <c r="AA483" s="282" t="n"/>
      <c r="AB483" s="282" t="n"/>
      <c r="AC483" s="529" t="n"/>
      <c r="AE483" s="282" t="n"/>
      <c r="AF483" s="282" t="n"/>
      <c r="AI483" s="282" t="n"/>
      <c r="AJ483" s="282" t="n"/>
      <c r="AM483" s="282" t="n"/>
      <c r="AN483" s="282" t="n"/>
      <c r="AQ483" s="282" t="n"/>
      <c r="AR483" s="282" t="n"/>
    </row>
    <row customHeight="1" ht="15.75" r="484" s="452" spans="1:45">
      <c r="A484" s="44" t="n"/>
      <c r="G484" s="282" t="n"/>
      <c r="H484" s="282" t="n"/>
      <c r="K484" s="282" t="n"/>
      <c r="L484" s="282" t="n"/>
      <c r="O484" s="282" t="n"/>
      <c r="P484" s="282" t="n"/>
      <c r="S484" s="282" t="n"/>
      <c r="T484" s="282" t="n"/>
      <c r="W484" s="282" t="n"/>
      <c r="X484" s="282" t="n"/>
      <c r="Y484" s="282" t="n"/>
      <c r="Z484" s="282" t="n"/>
      <c r="AA484" s="282" t="n"/>
      <c r="AB484" s="282" t="n"/>
      <c r="AC484" s="529" t="n"/>
      <c r="AE484" s="282" t="n"/>
      <c r="AF484" s="282" t="n"/>
      <c r="AI484" s="282" t="n"/>
      <c r="AJ484" s="282" t="n"/>
      <c r="AM484" s="282" t="n"/>
      <c r="AN484" s="282" t="n"/>
      <c r="AQ484" s="282" t="n"/>
      <c r="AR484" s="282" t="n"/>
    </row>
    <row customHeight="1" ht="15.75" r="485" s="452" spans="1:45">
      <c r="A485" s="44" t="n"/>
      <c r="G485" s="282" t="n"/>
      <c r="H485" s="282" t="n"/>
      <c r="K485" s="282" t="n"/>
      <c r="L485" s="282" t="n"/>
      <c r="O485" s="282" t="n"/>
      <c r="P485" s="282" t="n"/>
      <c r="S485" s="282" t="n"/>
      <c r="T485" s="282" t="n"/>
      <c r="W485" s="282" t="n"/>
      <c r="X485" s="282" t="n"/>
      <c r="Y485" s="282" t="n"/>
      <c r="Z485" s="282" t="n"/>
      <c r="AA485" s="282" t="n"/>
      <c r="AB485" s="282" t="n"/>
      <c r="AC485" s="529" t="n"/>
      <c r="AE485" s="282" t="n"/>
      <c r="AF485" s="282" t="n"/>
      <c r="AI485" s="282" t="n"/>
      <c r="AJ485" s="282" t="n"/>
      <c r="AM485" s="282" t="n"/>
      <c r="AN485" s="282" t="n"/>
      <c r="AQ485" s="282" t="n"/>
      <c r="AR485" s="282" t="n"/>
    </row>
    <row customHeight="1" ht="15.75" r="486" s="452" spans="1:45">
      <c r="A486" s="44" t="n"/>
      <c r="G486" s="282" t="n"/>
      <c r="H486" s="282" t="n"/>
      <c r="K486" s="282" t="n"/>
      <c r="L486" s="282" t="n"/>
      <c r="O486" s="282" t="n"/>
      <c r="P486" s="282" t="n"/>
      <c r="S486" s="282" t="n"/>
      <c r="T486" s="282" t="n"/>
      <c r="W486" s="282" t="n"/>
      <c r="X486" s="282" t="n"/>
      <c r="Y486" s="282" t="n"/>
      <c r="Z486" s="282" t="n"/>
      <c r="AA486" s="282" t="n"/>
      <c r="AB486" s="282" t="n"/>
      <c r="AC486" s="529" t="n"/>
      <c r="AE486" s="282" t="n"/>
      <c r="AF486" s="282" t="n"/>
      <c r="AI486" s="282" t="n"/>
      <c r="AJ486" s="282" t="n"/>
      <c r="AM486" s="282" t="n"/>
      <c r="AN486" s="282" t="n"/>
      <c r="AQ486" s="282" t="n"/>
      <c r="AR486" s="282" t="n"/>
    </row>
    <row customHeight="1" ht="15.75" r="487" s="452" spans="1:45">
      <c r="A487" s="44" t="n"/>
      <c r="G487" s="282" t="n"/>
      <c r="H487" s="282" t="n"/>
      <c r="K487" s="282" t="n"/>
      <c r="L487" s="282" t="n"/>
      <c r="O487" s="282" t="n"/>
      <c r="P487" s="282" t="n"/>
      <c r="S487" s="282" t="n"/>
      <c r="T487" s="282" t="n"/>
      <c r="W487" s="282" t="n"/>
      <c r="X487" s="282" t="n"/>
      <c r="Y487" s="282" t="n"/>
      <c r="Z487" s="282" t="n"/>
      <c r="AA487" s="282" t="n"/>
      <c r="AB487" s="282" t="n"/>
      <c r="AC487" s="529" t="n"/>
      <c r="AE487" s="282" t="n"/>
      <c r="AF487" s="282" t="n"/>
      <c r="AI487" s="282" t="n"/>
      <c r="AJ487" s="282" t="n"/>
      <c r="AM487" s="282" t="n"/>
      <c r="AN487" s="282" t="n"/>
      <c r="AQ487" s="282" t="n"/>
      <c r="AR487" s="282" t="n"/>
    </row>
    <row customHeight="1" ht="15.75" r="488" s="452" spans="1:45">
      <c r="A488" s="44" t="n"/>
      <c r="G488" s="282" t="n"/>
      <c r="H488" s="282" t="n"/>
      <c r="K488" s="282" t="n"/>
      <c r="L488" s="282" t="n"/>
      <c r="O488" s="282" t="n"/>
      <c r="P488" s="282" t="n"/>
      <c r="S488" s="282" t="n"/>
      <c r="T488" s="282" t="n"/>
      <c r="W488" s="282" t="n"/>
      <c r="X488" s="282" t="n"/>
      <c r="Y488" s="282" t="n"/>
      <c r="Z488" s="282" t="n"/>
      <c r="AA488" s="282" t="n"/>
      <c r="AB488" s="282" t="n"/>
      <c r="AC488" s="529" t="n"/>
      <c r="AE488" s="282" t="n"/>
      <c r="AF488" s="282" t="n"/>
      <c r="AI488" s="282" t="n"/>
      <c r="AJ488" s="282" t="n"/>
      <c r="AM488" s="282" t="n"/>
      <c r="AN488" s="282" t="n"/>
      <c r="AQ488" s="282" t="n"/>
      <c r="AR488" s="282" t="n"/>
    </row>
    <row customHeight="1" ht="15.75" r="489" s="452" spans="1:45">
      <c r="A489" s="44" t="n"/>
      <c r="G489" s="282" t="n"/>
      <c r="H489" s="282" t="n"/>
      <c r="K489" s="282" t="n"/>
      <c r="L489" s="282" t="n"/>
      <c r="O489" s="282" t="n"/>
      <c r="P489" s="282" t="n"/>
      <c r="S489" s="282" t="n"/>
      <c r="T489" s="282" t="n"/>
      <c r="W489" s="282" t="n"/>
      <c r="X489" s="282" t="n"/>
      <c r="Y489" s="282" t="n"/>
      <c r="Z489" s="282" t="n"/>
      <c r="AA489" s="282" t="n"/>
      <c r="AB489" s="282" t="n"/>
      <c r="AC489" s="529" t="n"/>
      <c r="AE489" s="282" t="n"/>
      <c r="AF489" s="282" t="n"/>
      <c r="AI489" s="282" t="n"/>
      <c r="AJ489" s="282" t="n"/>
      <c r="AM489" s="282" t="n"/>
      <c r="AN489" s="282" t="n"/>
      <c r="AQ489" s="282" t="n"/>
      <c r="AR489" s="282" t="n"/>
    </row>
    <row customHeight="1" ht="15.75" r="490" s="452" spans="1:45">
      <c r="A490" s="44" t="n"/>
      <c r="G490" s="282" t="n"/>
      <c r="H490" s="282" t="n"/>
      <c r="K490" s="282" t="n"/>
      <c r="L490" s="282" t="n"/>
      <c r="O490" s="282" t="n"/>
      <c r="P490" s="282" t="n"/>
      <c r="S490" s="282" t="n"/>
      <c r="T490" s="282" t="n"/>
      <c r="W490" s="282" t="n"/>
      <c r="X490" s="282" t="n"/>
      <c r="Y490" s="282" t="n"/>
      <c r="Z490" s="282" t="n"/>
      <c r="AA490" s="282" t="n"/>
      <c r="AB490" s="282" t="n"/>
      <c r="AC490" s="529" t="n"/>
      <c r="AE490" s="282" t="n"/>
      <c r="AF490" s="282" t="n"/>
      <c r="AI490" s="282" t="n"/>
      <c r="AJ490" s="282" t="n"/>
      <c r="AM490" s="282" t="n"/>
      <c r="AN490" s="282" t="n"/>
      <c r="AQ490" s="282" t="n"/>
      <c r="AR490" s="282" t="n"/>
    </row>
    <row customHeight="1" ht="15.75" r="491" s="452" spans="1:45">
      <c r="A491" s="44" t="n"/>
      <c r="G491" s="282" t="n"/>
      <c r="H491" s="282" t="n"/>
      <c r="K491" s="282" t="n"/>
      <c r="L491" s="282" t="n"/>
      <c r="O491" s="282" t="n"/>
      <c r="P491" s="282" t="n"/>
      <c r="S491" s="282" t="n"/>
      <c r="T491" s="282" t="n"/>
      <c r="W491" s="282" t="n"/>
      <c r="X491" s="282" t="n"/>
      <c r="Y491" s="282" t="n"/>
      <c r="Z491" s="282" t="n"/>
      <c r="AA491" s="282" t="n"/>
      <c r="AB491" s="282" t="n"/>
      <c r="AC491" s="529" t="n"/>
      <c r="AE491" s="282" t="n"/>
      <c r="AF491" s="282" t="n"/>
      <c r="AI491" s="282" t="n"/>
      <c r="AJ491" s="282" t="n"/>
      <c r="AM491" s="282" t="n"/>
      <c r="AN491" s="282" t="n"/>
      <c r="AQ491" s="282" t="n"/>
      <c r="AR491" s="282" t="n"/>
    </row>
    <row customHeight="1" ht="15.75" r="492" s="452" spans="1:45">
      <c r="A492" s="44" t="n"/>
      <c r="G492" s="282" t="n"/>
      <c r="H492" s="282" t="n"/>
      <c r="K492" s="282" t="n"/>
      <c r="L492" s="282" t="n"/>
      <c r="O492" s="282" t="n"/>
      <c r="P492" s="282" t="n"/>
      <c r="S492" s="282" t="n"/>
      <c r="T492" s="282" t="n"/>
      <c r="W492" s="282" t="n"/>
      <c r="X492" s="282" t="n"/>
      <c r="Y492" s="282" t="n"/>
      <c r="Z492" s="282" t="n"/>
      <c r="AA492" s="282" t="n"/>
      <c r="AB492" s="282" t="n"/>
      <c r="AC492" s="529" t="n"/>
      <c r="AE492" s="282" t="n"/>
      <c r="AF492" s="282" t="n"/>
      <c r="AI492" s="282" t="n"/>
      <c r="AJ492" s="282" t="n"/>
      <c r="AM492" s="282" t="n"/>
      <c r="AN492" s="282" t="n"/>
      <c r="AQ492" s="282" t="n"/>
      <c r="AR492" s="282" t="n"/>
    </row>
    <row customHeight="1" ht="15.75" r="493" s="452" spans="1:45">
      <c r="A493" s="44" t="n"/>
      <c r="G493" s="282" t="n"/>
      <c r="H493" s="282" t="n"/>
      <c r="K493" s="282" t="n"/>
      <c r="L493" s="282" t="n"/>
      <c r="O493" s="282" t="n"/>
      <c r="P493" s="282" t="n"/>
      <c r="S493" s="282" t="n"/>
      <c r="T493" s="282" t="n"/>
      <c r="W493" s="282" t="n"/>
      <c r="X493" s="282" t="n"/>
      <c r="Y493" s="282" t="n"/>
      <c r="Z493" s="282" t="n"/>
      <c r="AA493" s="282" t="n"/>
      <c r="AB493" s="282" t="n"/>
      <c r="AC493" s="529" t="n"/>
      <c r="AE493" s="282" t="n"/>
      <c r="AF493" s="282" t="n"/>
      <c r="AI493" s="282" t="n"/>
      <c r="AJ493" s="282" t="n"/>
      <c r="AM493" s="282" t="n"/>
      <c r="AN493" s="282" t="n"/>
      <c r="AQ493" s="282" t="n"/>
      <c r="AR493" s="282" t="n"/>
    </row>
    <row customHeight="1" ht="15.75" r="494" s="452" spans="1:45">
      <c r="A494" s="44" t="n"/>
      <c r="G494" s="282" t="n"/>
      <c r="H494" s="282" t="n"/>
      <c r="K494" s="282" t="n"/>
      <c r="L494" s="282" t="n"/>
      <c r="O494" s="282" t="n"/>
      <c r="P494" s="282" t="n"/>
      <c r="S494" s="282" t="n"/>
      <c r="T494" s="282" t="n"/>
      <c r="W494" s="282" t="n"/>
      <c r="X494" s="282" t="n"/>
      <c r="Y494" s="282" t="n"/>
      <c r="Z494" s="282" t="n"/>
      <c r="AA494" s="282" t="n"/>
      <c r="AB494" s="282" t="n"/>
      <c r="AC494" s="529" t="n"/>
      <c r="AE494" s="282" t="n"/>
      <c r="AF494" s="282" t="n"/>
      <c r="AI494" s="282" t="n"/>
      <c r="AJ494" s="282" t="n"/>
      <c r="AM494" s="282" t="n"/>
      <c r="AN494" s="282" t="n"/>
      <c r="AQ494" s="282" t="n"/>
      <c r="AR494" s="282" t="n"/>
    </row>
    <row customHeight="1" ht="15.75" r="495" s="452" spans="1:45">
      <c r="A495" s="44" t="n"/>
      <c r="G495" s="282" t="n"/>
      <c r="H495" s="282" t="n"/>
      <c r="K495" s="282" t="n"/>
      <c r="L495" s="282" t="n"/>
      <c r="O495" s="282" t="n"/>
      <c r="P495" s="282" t="n"/>
      <c r="S495" s="282" t="n"/>
      <c r="T495" s="282" t="n"/>
      <c r="W495" s="282" t="n"/>
      <c r="X495" s="282" t="n"/>
      <c r="Y495" s="282" t="n"/>
      <c r="Z495" s="282" t="n"/>
      <c r="AA495" s="282" t="n"/>
      <c r="AB495" s="282" t="n"/>
      <c r="AC495" s="529" t="n"/>
      <c r="AE495" s="282" t="n"/>
      <c r="AF495" s="282" t="n"/>
      <c r="AI495" s="282" t="n"/>
      <c r="AJ495" s="282" t="n"/>
      <c r="AM495" s="282" t="n"/>
      <c r="AN495" s="282" t="n"/>
      <c r="AQ495" s="282" t="n"/>
      <c r="AR495" s="282" t="n"/>
    </row>
    <row customHeight="1" ht="15.75" r="496" s="452" spans="1:45">
      <c r="A496" s="44" t="n"/>
      <c r="G496" s="282" t="n"/>
      <c r="H496" s="282" t="n"/>
      <c r="K496" s="282" t="n"/>
      <c r="L496" s="282" t="n"/>
      <c r="O496" s="282" t="n"/>
      <c r="P496" s="282" t="n"/>
      <c r="S496" s="282" t="n"/>
      <c r="T496" s="282" t="n"/>
      <c r="W496" s="282" t="n"/>
      <c r="X496" s="282" t="n"/>
      <c r="Y496" s="282" t="n"/>
      <c r="Z496" s="282" t="n"/>
      <c r="AA496" s="282" t="n"/>
      <c r="AB496" s="282" t="n"/>
      <c r="AC496" s="529" t="n"/>
      <c r="AE496" s="282" t="n"/>
      <c r="AF496" s="282" t="n"/>
      <c r="AI496" s="282" t="n"/>
      <c r="AJ496" s="282" t="n"/>
      <c r="AM496" s="282" t="n"/>
      <c r="AN496" s="282" t="n"/>
      <c r="AQ496" s="282" t="n"/>
      <c r="AR496" s="282" t="n"/>
    </row>
    <row customHeight="1" ht="15.75" r="497" s="452" spans="1:45">
      <c r="A497" s="44" t="n"/>
      <c r="G497" s="282" t="n"/>
      <c r="H497" s="282" t="n"/>
      <c r="K497" s="282" t="n"/>
      <c r="L497" s="282" t="n"/>
      <c r="O497" s="282" t="n"/>
      <c r="P497" s="282" t="n"/>
      <c r="S497" s="282" t="n"/>
      <c r="T497" s="282" t="n"/>
      <c r="W497" s="282" t="n"/>
      <c r="X497" s="282" t="n"/>
      <c r="Y497" s="282" t="n"/>
      <c r="Z497" s="282" t="n"/>
      <c r="AA497" s="282" t="n"/>
      <c r="AB497" s="282" t="n"/>
      <c r="AC497" s="529" t="n"/>
      <c r="AE497" s="282" t="n"/>
      <c r="AF497" s="282" t="n"/>
      <c r="AI497" s="282" t="n"/>
      <c r="AJ497" s="282" t="n"/>
      <c r="AM497" s="282" t="n"/>
      <c r="AN497" s="282" t="n"/>
      <c r="AQ497" s="282" t="n"/>
      <c r="AR497" s="282" t="n"/>
    </row>
    <row customHeight="1" ht="15.75" r="498" s="452" spans="1:45">
      <c r="A498" s="44" t="n"/>
      <c r="G498" s="282" t="n"/>
      <c r="H498" s="282" t="n"/>
      <c r="K498" s="282" t="n"/>
      <c r="L498" s="282" t="n"/>
      <c r="O498" s="282" t="n"/>
      <c r="P498" s="282" t="n"/>
      <c r="S498" s="282" t="n"/>
      <c r="T498" s="282" t="n"/>
      <c r="W498" s="282" t="n"/>
      <c r="X498" s="282" t="n"/>
      <c r="Y498" s="282" t="n"/>
      <c r="Z498" s="282" t="n"/>
      <c r="AA498" s="282" t="n"/>
      <c r="AB498" s="282" t="n"/>
      <c r="AC498" s="529" t="n"/>
      <c r="AE498" s="282" t="n"/>
      <c r="AF498" s="282" t="n"/>
      <c r="AI498" s="282" t="n"/>
      <c r="AJ498" s="282" t="n"/>
      <c r="AM498" s="282" t="n"/>
      <c r="AN498" s="282" t="n"/>
      <c r="AQ498" s="282" t="n"/>
      <c r="AR498" s="282" t="n"/>
    </row>
    <row customHeight="1" ht="15.75" r="499" s="452" spans="1:45">
      <c r="A499" s="44" t="n"/>
      <c r="G499" s="282" t="n"/>
      <c r="H499" s="282" t="n"/>
      <c r="K499" s="282" t="n"/>
      <c r="L499" s="282" t="n"/>
      <c r="O499" s="282" t="n"/>
      <c r="P499" s="282" t="n"/>
      <c r="S499" s="282" t="n"/>
      <c r="T499" s="282" t="n"/>
      <c r="W499" s="282" t="n"/>
      <c r="X499" s="282" t="n"/>
      <c r="Y499" s="282" t="n"/>
      <c r="Z499" s="282" t="n"/>
      <c r="AA499" s="282" t="n"/>
      <c r="AB499" s="282" t="n"/>
      <c r="AC499" s="529" t="n"/>
      <c r="AE499" s="282" t="n"/>
      <c r="AF499" s="282" t="n"/>
      <c r="AI499" s="282" t="n"/>
      <c r="AJ499" s="282" t="n"/>
      <c r="AM499" s="282" t="n"/>
      <c r="AN499" s="282" t="n"/>
      <c r="AQ499" s="282" t="n"/>
      <c r="AR499" s="282" t="n"/>
    </row>
    <row customHeight="1" ht="15.75" r="500" s="452" spans="1:45">
      <c r="A500" s="44" t="n"/>
      <c r="G500" s="282" t="n"/>
      <c r="H500" s="282" t="n"/>
      <c r="K500" s="282" t="n"/>
      <c r="L500" s="282" t="n"/>
      <c r="O500" s="282" t="n"/>
      <c r="P500" s="282" t="n"/>
      <c r="S500" s="282" t="n"/>
      <c r="T500" s="282" t="n"/>
      <c r="W500" s="282" t="n"/>
      <c r="X500" s="282" t="n"/>
      <c r="Y500" s="282" t="n"/>
      <c r="Z500" s="282" t="n"/>
      <c r="AA500" s="282" t="n"/>
      <c r="AB500" s="282" t="n"/>
      <c r="AC500" s="529" t="n"/>
      <c r="AE500" s="282" t="n"/>
      <c r="AF500" s="282" t="n"/>
      <c r="AI500" s="282" t="n"/>
      <c r="AJ500" s="282" t="n"/>
      <c r="AM500" s="282" t="n"/>
      <c r="AN500" s="282" t="n"/>
      <c r="AQ500" s="282" t="n"/>
      <c r="AR500" s="282" t="n"/>
    </row>
    <row customHeight="1" ht="15.75" r="501" s="452" spans="1:45">
      <c r="A501" s="44" t="n"/>
      <c r="G501" s="282" t="n"/>
      <c r="H501" s="282" t="n"/>
      <c r="K501" s="282" t="n"/>
      <c r="L501" s="282" t="n"/>
      <c r="O501" s="282" t="n"/>
      <c r="P501" s="282" t="n"/>
      <c r="S501" s="282" t="n"/>
      <c r="T501" s="282" t="n"/>
      <c r="W501" s="282" t="n"/>
      <c r="X501" s="282" t="n"/>
      <c r="Y501" s="282" t="n"/>
      <c r="Z501" s="282" t="n"/>
      <c r="AA501" s="282" t="n"/>
      <c r="AB501" s="282" t="n"/>
      <c r="AC501" s="529" t="n"/>
      <c r="AE501" s="282" t="n"/>
      <c r="AF501" s="282" t="n"/>
      <c r="AI501" s="282" t="n"/>
      <c r="AJ501" s="282" t="n"/>
      <c r="AM501" s="282" t="n"/>
      <c r="AN501" s="282" t="n"/>
      <c r="AQ501" s="282" t="n"/>
      <c r="AR501" s="282" t="n"/>
    </row>
    <row customHeight="1" ht="15.75" r="502" s="452" spans="1:45">
      <c r="A502" s="44" t="n"/>
      <c r="G502" s="282" t="n"/>
      <c r="H502" s="282" t="n"/>
      <c r="K502" s="282" t="n"/>
      <c r="L502" s="282" t="n"/>
      <c r="O502" s="282" t="n"/>
      <c r="P502" s="282" t="n"/>
      <c r="S502" s="282" t="n"/>
      <c r="T502" s="282" t="n"/>
      <c r="W502" s="282" t="n"/>
      <c r="X502" s="282" t="n"/>
      <c r="Y502" s="282" t="n"/>
      <c r="Z502" s="282" t="n"/>
      <c r="AA502" s="282" t="n"/>
      <c r="AB502" s="282" t="n"/>
      <c r="AC502" s="529" t="n"/>
      <c r="AE502" s="282" t="n"/>
      <c r="AF502" s="282" t="n"/>
      <c r="AI502" s="282" t="n"/>
      <c r="AJ502" s="282" t="n"/>
      <c r="AM502" s="282" t="n"/>
      <c r="AN502" s="282" t="n"/>
      <c r="AQ502" s="282" t="n"/>
      <c r="AR502" s="282" t="n"/>
    </row>
    <row customHeight="1" ht="15.75" r="503" s="452" spans="1:45">
      <c r="A503" s="44" t="n"/>
      <c r="G503" s="282" t="n"/>
      <c r="H503" s="282" t="n"/>
      <c r="K503" s="282" t="n"/>
      <c r="L503" s="282" t="n"/>
      <c r="O503" s="282" t="n"/>
      <c r="P503" s="282" t="n"/>
      <c r="S503" s="282" t="n"/>
      <c r="T503" s="282" t="n"/>
      <c r="W503" s="282" t="n"/>
      <c r="X503" s="282" t="n"/>
      <c r="Y503" s="282" t="n"/>
      <c r="Z503" s="282" t="n"/>
      <c r="AA503" s="282" t="n"/>
      <c r="AB503" s="282" t="n"/>
      <c r="AC503" s="529" t="n"/>
      <c r="AE503" s="282" t="n"/>
      <c r="AF503" s="282" t="n"/>
      <c r="AI503" s="282" t="n"/>
      <c r="AJ503" s="282" t="n"/>
      <c r="AM503" s="282" t="n"/>
      <c r="AN503" s="282" t="n"/>
      <c r="AQ503" s="282" t="n"/>
      <c r="AR503" s="282" t="n"/>
    </row>
    <row customHeight="1" ht="15.75" r="504" s="452" spans="1:45">
      <c r="A504" s="44" t="n"/>
      <c r="G504" s="282" t="n"/>
      <c r="H504" s="282" t="n"/>
      <c r="K504" s="282" t="n"/>
      <c r="L504" s="282" t="n"/>
      <c r="O504" s="282" t="n"/>
      <c r="P504" s="282" t="n"/>
      <c r="S504" s="282" t="n"/>
      <c r="T504" s="282" t="n"/>
      <c r="W504" s="282" t="n"/>
      <c r="X504" s="282" t="n"/>
      <c r="Y504" s="282" t="n"/>
      <c r="Z504" s="282" t="n"/>
      <c r="AA504" s="282" t="n"/>
      <c r="AB504" s="282" t="n"/>
      <c r="AC504" s="529" t="n"/>
      <c r="AE504" s="282" t="n"/>
      <c r="AF504" s="282" t="n"/>
      <c r="AI504" s="282" t="n"/>
      <c r="AJ504" s="282" t="n"/>
      <c r="AM504" s="282" t="n"/>
      <c r="AN504" s="282" t="n"/>
      <c r="AQ504" s="282" t="n"/>
      <c r="AR504" s="282" t="n"/>
    </row>
    <row customHeight="1" ht="15.75" r="505" s="452" spans="1:45">
      <c r="A505" s="44" t="n"/>
      <c r="G505" s="282" t="n"/>
      <c r="H505" s="282" t="n"/>
      <c r="K505" s="282" t="n"/>
      <c r="L505" s="282" t="n"/>
      <c r="O505" s="282" t="n"/>
      <c r="P505" s="282" t="n"/>
      <c r="S505" s="282" t="n"/>
      <c r="T505" s="282" t="n"/>
      <c r="W505" s="282" t="n"/>
      <c r="X505" s="282" t="n"/>
      <c r="Y505" s="282" t="n"/>
      <c r="Z505" s="282" t="n"/>
      <c r="AA505" s="282" t="n"/>
      <c r="AB505" s="282" t="n"/>
      <c r="AC505" s="529" t="n"/>
      <c r="AE505" s="282" t="n"/>
      <c r="AF505" s="282" t="n"/>
      <c r="AI505" s="282" t="n"/>
      <c r="AJ505" s="282" t="n"/>
      <c r="AM505" s="282" t="n"/>
      <c r="AN505" s="282" t="n"/>
      <c r="AQ505" s="282" t="n"/>
      <c r="AR505" s="282" t="n"/>
    </row>
    <row customHeight="1" ht="15.75" r="506" s="452" spans="1:45">
      <c r="A506" s="44" t="n"/>
      <c r="G506" s="282" t="n"/>
      <c r="H506" s="282" t="n"/>
      <c r="K506" s="282" t="n"/>
      <c r="L506" s="282" t="n"/>
      <c r="O506" s="282" t="n"/>
      <c r="P506" s="282" t="n"/>
      <c r="S506" s="282" t="n"/>
      <c r="T506" s="282" t="n"/>
      <c r="W506" s="282" t="n"/>
      <c r="X506" s="282" t="n"/>
      <c r="Y506" s="282" t="n"/>
      <c r="Z506" s="282" t="n"/>
      <c r="AA506" s="282" t="n"/>
      <c r="AB506" s="282" t="n"/>
      <c r="AC506" s="529" t="n"/>
      <c r="AE506" s="282" t="n"/>
      <c r="AF506" s="282" t="n"/>
      <c r="AI506" s="282" t="n"/>
      <c r="AJ506" s="282" t="n"/>
      <c r="AM506" s="282" t="n"/>
      <c r="AN506" s="282" t="n"/>
      <c r="AQ506" s="282" t="n"/>
      <c r="AR506" s="282" t="n"/>
    </row>
    <row customHeight="1" ht="15.75" r="507" s="452" spans="1:45">
      <c r="A507" s="44" t="n"/>
      <c r="G507" s="282" t="n"/>
      <c r="H507" s="282" t="n"/>
      <c r="K507" s="282" t="n"/>
      <c r="L507" s="282" t="n"/>
      <c r="O507" s="282" t="n"/>
      <c r="P507" s="282" t="n"/>
      <c r="S507" s="282" t="n"/>
      <c r="T507" s="282" t="n"/>
      <c r="W507" s="282" t="n"/>
      <c r="X507" s="282" t="n"/>
      <c r="Y507" s="282" t="n"/>
      <c r="Z507" s="282" t="n"/>
      <c r="AA507" s="282" t="n"/>
      <c r="AB507" s="282" t="n"/>
      <c r="AC507" s="529" t="n"/>
      <c r="AE507" s="282" t="n"/>
      <c r="AF507" s="282" t="n"/>
      <c r="AI507" s="282" t="n"/>
      <c r="AJ507" s="282" t="n"/>
      <c r="AM507" s="282" t="n"/>
      <c r="AN507" s="282" t="n"/>
      <c r="AQ507" s="282" t="n"/>
      <c r="AR507" s="282" t="n"/>
    </row>
    <row customHeight="1" ht="15.75" r="508" s="452" spans="1:45">
      <c r="A508" s="44" t="n"/>
      <c r="G508" s="282" t="n"/>
      <c r="H508" s="282" t="n"/>
      <c r="K508" s="282" t="n"/>
      <c r="L508" s="282" t="n"/>
      <c r="O508" s="282" t="n"/>
      <c r="P508" s="282" t="n"/>
      <c r="S508" s="282" t="n"/>
      <c r="T508" s="282" t="n"/>
      <c r="W508" s="282" t="n"/>
      <c r="X508" s="282" t="n"/>
      <c r="Y508" s="282" t="n"/>
      <c r="Z508" s="282" t="n"/>
      <c r="AA508" s="282" t="n"/>
      <c r="AB508" s="282" t="n"/>
      <c r="AC508" s="529" t="n"/>
      <c r="AE508" s="282" t="n"/>
      <c r="AF508" s="282" t="n"/>
      <c r="AI508" s="282" t="n"/>
      <c r="AJ508" s="282" t="n"/>
      <c r="AM508" s="282" t="n"/>
      <c r="AN508" s="282" t="n"/>
      <c r="AQ508" s="282" t="n"/>
      <c r="AR508" s="282" t="n"/>
    </row>
    <row customHeight="1" ht="15.75" r="509" s="452" spans="1:45">
      <c r="A509" s="44" t="n"/>
      <c r="G509" s="282" t="n"/>
      <c r="H509" s="282" t="n"/>
      <c r="K509" s="282" t="n"/>
      <c r="L509" s="282" t="n"/>
      <c r="O509" s="282" t="n"/>
      <c r="P509" s="282" t="n"/>
      <c r="S509" s="282" t="n"/>
      <c r="T509" s="282" t="n"/>
      <c r="W509" s="282" t="n"/>
      <c r="X509" s="282" t="n"/>
      <c r="Y509" s="282" t="n"/>
      <c r="Z509" s="282" t="n"/>
      <c r="AA509" s="282" t="n"/>
      <c r="AB509" s="282" t="n"/>
      <c r="AC509" s="529" t="n"/>
      <c r="AE509" s="282" t="n"/>
      <c r="AF509" s="282" t="n"/>
      <c r="AI509" s="282" t="n"/>
      <c r="AJ509" s="282" t="n"/>
      <c r="AM509" s="282" t="n"/>
      <c r="AN509" s="282" t="n"/>
      <c r="AQ509" s="282" t="n"/>
      <c r="AR509" s="282" t="n"/>
    </row>
    <row customHeight="1" ht="15.75" r="510" s="452" spans="1:45">
      <c r="A510" s="44" t="n"/>
      <c r="G510" s="282" t="n"/>
      <c r="H510" s="282" t="n"/>
      <c r="K510" s="282" t="n"/>
      <c r="L510" s="282" t="n"/>
      <c r="O510" s="282" t="n"/>
      <c r="P510" s="282" t="n"/>
      <c r="S510" s="282" t="n"/>
      <c r="T510" s="282" t="n"/>
      <c r="W510" s="282" t="n"/>
      <c r="X510" s="282" t="n"/>
      <c r="Y510" s="282" t="n"/>
      <c r="Z510" s="282" t="n"/>
      <c r="AA510" s="282" t="n"/>
      <c r="AB510" s="282" t="n"/>
      <c r="AC510" s="529" t="n"/>
      <c r="AE510" s="282" t="n"/>
      <c r="AF510" s="282" t="n"/>
      <c r="AI510" s="282" t="n"/>
      <c r="AJ510" s="282" t="n"/>
      <c r="AM510" s="282" t="n"/>
      <c r="AN510" s="282" t="n"/>
      <c r="AQ510" s="282" t="n"/>
      <c r="AR510" s="282" t="n"/>
    </row>
    <row customHeight="1" ht="15.75" r="511" s="452" spans="1:45">
      <c r="A511" s="44" t="n"/>
      <c r="G511" s="282" t="n"/>
      <c r="H511" s="282" t="n"/>
      <c r="K511" s="282" t="n"/>
      <c r="L511" s="282" t="n"/>
      <c r="O511" s="282" t="n"/>
      <c r="P511" s="282" t="n"/>
      <c r="S511" s="282" t="n"/>
      <c r="T511" s="282" t="n"/>
      <c r="W511" s="282" t="n"/>
      <c r="X511" s="282" t="n"/>
      <c r="Y511" s="282" t="n"/>
      <c r="Z511" s="282" t="n"/>
      <c r="AA511" s="282" t="n"/>
      <c r="AB511" s="282" t="n"/>
      <c r="AC511" s="529" t="n"/>
      <c r="AE511" s="282" t="n"/>
      <c r="AF511" s="282" t="n"/>
      <c r="AI511" s="282" t="n"/>
      <c r="AJ511" s="282" t="n"/>
      <c r="AM511" s="282" t="n"/>
      <c r="AN511" s="282" t="n"/>
      <c r="AQ511" s="282" t="n"/>
      <c r="AR511" s="282" t="n"/>
    </row>
    <row customHeight="1" ht="15.75" r="512" s="452" spans="1:45">
      <c r="A512" s="44" t="n"/>
      <c r="G512" s="282" t="n"/>
      <c r="H512" s="282" t="n"/>
      <c r="K512" s="282" t="n"/>
      <c r="L512" s="282" t="n"/>
      <c r="O512" s="282" t="n"/>
      <c r="P512" s="282" t="n"/>
      <c r="S512" s="282" t="n"/>
      <c r="T512" s="282" t="n"/>
      <c r="W512" s="282" t="n"/>
      <c r="X512" s="282" t="n"/>
      <c r="Y512" s="282" t="n"/>
      <c r="Z512" s="282" t="n"/>
      <c r="AA512" s="282" t="n"/>
      <c r="AB512" s="282" t="n"/>
      <c r="AC512" s="529" t="n"/>
      <c r="AE512" s="282" t="n"/>
      <c r="AF512" s="282" t="n"/>
      <c r="AI512" s="282" t="n"/>
      <c r="AJ512" s="282" t="n"/>
      <c r="AM512" s="282" t="n"/>
      <c r="AN512" s="282" t="n"/>
      <c r="AQ512" s="282" t="n"/>
      <c r="AR512" s="282" t="n"/>
    </row>
    <row customHeight="1" ht="15.75" r="513" s="452" spans="1:45">
      <c r="A513" s="44" t="n"/>
      <c r="G513" s="282" t="n"/>
      <c r="H513" s="282" t="n"/>
      <c r="K513" s="282" t="n"/>
      <c r="L513" s="282" t="n"/>
      <c r="O513" s="282" t="n"/>
      <c r="P513" s="282" t="n"/>
      <c r="S513" s="282" t="n"/>
      <c r="T513" s="282" t="n"/>
      <c r="W513" s="282" t="n"/>
      <c r="X513" s="282" t="n"/>
      <c r="Y513" s="282" t="n"/>
      <c r="Z513" s="282" t="n"/>
      <c r="AA513" s="282" t="n"/>
      <c r="AB513" s="282" t="n"/>
      <c r="AC513" s="529" t="n"/>
      <c r="AE513" s="282" t="n"/>
      <c r="AF513" s="282" t="n"/>
      <c r="AI513" s="282" t="n"/>
      <c r="AJ513" s="282" t="n"/>
      <c r="AM513" s="282" t="n"/>
      <c r="AN513" s="282" t="n"/>
      <c r="AQ513" s="282" t="n"/>
      <c r="AR513" s="282" t="n"/>
    </row>
    <row customHeight="1" ht="15.75" r="514" s="452" spans="1:45">
      <c r="A514" s="44" t="n"/>
      <c r="G514" s="282" t="n"/>
      <c r="H514" s="282" t="n"/>
      <c r="K514" s="282" t="n"/>
      <c r="L514" s="282" t="n"/>
      <c r="O514" s="282" t="n"/>
      <c r="P514" s="282" t="n"/>
      <c r="S514" s="282" t="n"/>
      <c r="T514" s="282" t="n"/>
      <c r="W514" s="282" t="n"/>
      <c r="X514" s="282" t="n"/>
      <c r="Y514" s="282" t="n"/>
      <c r="Z514" s="282" t="n"/>
      <c r="AA514" s="282" t="n"/>
      <c r="AB514" s="282" t="n"/>
      <c r="AC514" s="529" t="n"/>
      <c r="AE514" s="282" t="n"/>
      <c r="AF514" s="282" t="n"/>
      <c r="AI514" s="282" t="n"/>
      <c r="AJ514" s="282" t="n"/>
      <c r="AM514" s="282" t="n"/>
      <c r="AN514" s="282" t="n"/>
      <c r="AQ514" s="282" t="n"/>
      <c r="AR514" s="282" t="n"/>
    </row>
    <row customHeight="1" ht="15.75" r="515" s="452" spans="1:45">
      <c r="A515" s="44" t="n"/>
      <c r="G515" s="282" t="n"/>
      <c r="H515" s="282" t="n"/>
      <c r="K515" s="282" t="n"/>
      <c r="L515" s="282" t="n"/>
      <c r="O515" s="282" t="n"/>
      <c r="P515" s="282" t="n"/>
      <c r="S515" s="282" t="n"/>
      <c r="T515" s="282" t="n"/>
      <c r="W515" s="282" t="n"/>
      <c r="X515" s="282" t="n"/>
      <c r="Y515" s="282" t="n"/>
      <c r="Z515" s="282" t="n"/>
      <c r="AA515" s="282" t="n"/>
      <c r="AB515" s="282" t="n"/>
      <c r="AC515" s="529" t="n"/>
      <c r="AE515" s="282" t="n"/>
      <c r="AF515" s="282" t="n"/>
      <c r="AI515" s="282" t="n"/>
      <c r="AJ515" s="282" t="n"/>
      <c r="AM515" s="282" t="n"/>
      <c r="AN515" s="282" t="n"/>
      <c r="AQ515" s="282" t="n"/>
      <c r="AR515" s="282" t="n"/>
    </row>
    <row customHeight="1" ht="15.75" r="516" s="452" spans="1:45">
      <c r="A516" s="44" t="n"/>
      <c r="G516" s="282" t="n"/>
      <c r="H516" s="282" t="n"/>
      <c r="K516" s="282" t="n"/>
      <c r="L516" s="282" t="n"/>
      <c r="O516" s="282" t="n"/>
      <c r="P516" s="282" t="n"/>
      <c r="S516" s="282" t="n"/>
      <c r="T516" s="282" t="n"/>
      <c r="W516" s="282" t="n"/>
      <c r="X516" s="282" t="n"/>
      <c r="Y516" s="282" t="n"/>
      <c r="Z516" s="282" t="n"/>
      <c r="AA516" s="282" t="n"/>
      <c r="AB516" s="282" t="n"/>
      <c r="AC516" s="529" t="n"/>
      <c r="AE516" s="282" t="n"/>
      <c r="AF516" s="282" t="n"/>
      <c r="AI516" s="282" t="n"/>
      <c r="AJ516" s="282" t="n"/>
      <c r="AM516" s="282" t="n"/>
      <c r="AN516" s="282" t="n"/>
      <c r="AQ516" s="282" t="n"/>
      <c r="AR516" s="282" t="n"/>
    </row>
    <row customHeight="1" ht="15.75" r="517" s="452" spans="1:45">
      <c r="A517" s="44" t="n"/>
      <c r="G517" s="282" t="n"/>
      <c r="H517" s="282" t="n"/>
      <c r="K517" s="282" t="n"/>
      <c r="L517" s="282" t="n"/>
      <c r="O517" s="282" t="n"/>
      <c r="P517" s="282" t="n"/>
      <c r="S517" s="282" t="n"/>
      <c r="T517" s="282" t="n"/>
      <c r="W517" s="282" t="n"/>
      <c r="X517" s="282" t="n"/>
      <c r="Y517" s="282" t="n"/>
      <c r="Z517" s="282" t="n"/>
      <c r="AA517" s="282" t="n"/>
      <c r="AB517" s="282" t="n"/>
      <c r="AC517" s="529" t="n"/>
      <c r="AE517" s="282" t="n"/>
      <c r="AF517" s="282" t="n"/>
      <c r="AI517" s="282" t="n"/>
      <c r="AJ517" s="282" t="n"/>
      <c r="AM517" s="282" t="n"/>
      <c r="AN517" s="282" t="n"/>
      <c r="AQ517" s="282" t="n"/>
      <c r="AR517" s="282" t="n"/>
    </row>
    <row customHeight="1" ht="15.75" r="518" s="452" spans="1:45">
      <c r="A518" s="44" t="n"/>
      <c r="G518" s="282" t="n"/>
      <c r="H518" s="282" t="n"/>
      <c r="K518" s="282" t="n"/>
      <c r="L518" s="282" t="n"/>
      <c r="O518" s="282" t="n"/>
      <c r="P518" s="282" t="n"/>
      <c r="S518" s="282" t="n"/>
      <c r="T518" s="282" t="n"/>
      <c r="W518" s="282" t="n"/>
      <c r="X518" s="282" t="n"/>
      <c r="Y518" s="282" t="n"/>
      <c r="Z518" s="282" t="n"/>
      <c r="AA518" s="282" t="n"/>
      <c r="AB518" s="282" t="n"/>
      <c r="AC518" s="529" t="n"/>
      <c r="AE518" s="282" t="n"/>
      <c r="AF518" s="282" t="n"/>
      <c r="AI518" s="282" t="n"/>
      <c r="AJ518" s="282" t="n"/>
      <c r="AM518" s="282" t="n"/>
      <c r="AN518" s="282" t="n"/>
      <c r="AQ518" s="282" t="n"/>
      <c r="AR518" s="282" t="n"/>
    </row>
    <row customHeight="1" ht="15.75" r="519" s="452" spans="1:45">
      <c r="A519" s="44" t="n"/>
      <c r="G519" s="282" t="n"/>
      <c r="H519" s="282" t="n"/>
      <c r="K519" s="282" t="n"/>
      <c r="L519" s="282" t="n"/>
      <c r="O519" s="282" t="n"/>
      <c r="P519" s="282" t="n"/>
      <c r="S519" s="282" t="n"/>
      <c r="T519" s="282" t="n"/>
      <c r="W519" s="282" t="n"/>
      <c r="X519" s="282" t="n"/>
      <c r="Y519" s="282" t="n"/>
      <c r="Z519" s="282" t="n"/>
      <c r="AA519" s="282" t="n"/>
      <c r="AB519" s="282" t="n"/>
      <c r="AC519" s="529" t="n"/>
      <c r="AE519" s="282" t="n"/>
      <c r="AF519" s="282" t="n"/>
      <c r="AI519" s="282" t="n"/>
      <c r="AJ519" s="282" t="n"/>
      <c r="AM519" s="282" t="n"/>
      <c r="AN519" s="282" t="n"/>
      <c r="AQ519" s="282" t="n"/>
      <c r="AR519" s="282" t="n"/>
    </row>
    <row customHeight="1" ht="15.75" r="520" s="452" spans="1:45">
      <c r="A520" s="44" t="n"/>
      <c r="G520" s="282" t="n"/>
      <c r="H520" s="282" t="n"/>
      <c r="K520" s="282" t="n"/>
      <c r="L520" s="282" t="n"/>
      <c r="O520" s="282" t="n"/>
      <c r="P520" s="282" t="n"/>
      <c r="S520" s="282" t="n"/>
      <c r="T520" s="282" t="n"/>
      <c r="W520" s="282" t="n"/>
      <c r="X520" s="282" t="n"/>
      <c r="Y520" s="282" t="n"/>
      <c r="Z520" s="282" t="n"/>
      <c r="AA520" s="282" t="n"/>
      <c r="AB520" s="282" t="n"/>
      <c r="AC520" s="529" t="n"/>
      <c r="AE520" s="282" t="n"/>
      <c r="AF520" s="282" t="n"/>
      <c r="AI520" s="282" t="n"/>
      <c r="AJ520" s="282" t="n"/>
      <c r="AM520" s="282" t="n"/>
      <c r="AN520" s="282" t="n"/>
      <c r="AQ520" s="282" t="n"/>
      <c r="AR520" s="282" t="n"/>
    </row>
    <row customHeight="1" ht="15.75" r="521" s="452" spans="1:45">
      <c r="A521" s="44" t="n"/>
      <c r="G521" s="282" t="n"/>
      <c r="H521" s="282" t="n"/>
      <c r="K521" s="282" t="n"/>
      <c r="L521" s="282" t="n"/>
      <c r="O521" s="282" t="n"/>
      <c r="P521" s="282" t="n"/>
      <c r="S521" s="282" t="n"/>
      <c r="T521" s="282" t="n"/>
      <c r="W521" s="282" t="n"/>
      <c r="X521" s="282" t="n"/>
      <c r="Y521" s="282" t="n"/>
      <c r="Z521" s="282" t="n"/>
      <c r="AA521" s="282" t="n"/>
      <c r="AB521" s="282" t="n"/>
      <c r="AC521" s="529" t="n"/>
      <c r="AE521" s="282" t="n"/>
      <c r="AF521" s="282" t="n"/>
      <c r="AI521" s="282" t="n"/>
      <c r="AJ521" s="282" t="n"/>
      <c r="AM521" s="282" t="n"/>
      <c r="AN521" s="282" t="n"/>
      <c r="AQ521" s="282" t="n"/>
      <c r="AR521" s="282" t="n"/>
    </row>
    <row customHeight="1" ht="15.75" r="522" s="452" spans="1:45">
      <c r="A522" s="44" t="n"/>
      <c r="G522" s="282" t="n"/>
      <c r="H522" s="282" t="n"/>
      <c r="K522" s="282" t="n"/>
      <c r="L522" s="282" t="n"/>
      <c r="O522" s="282" t="n"/>
      <c r="P522" s="282" t="n"/>
      <c r="S522" s="282" t="n"/>
      <c r="T522" s="282" t="n"/>
      <c r="W522" s="282" t="n"/>
      <c r="X522" s="282" t="n"/>
      <c r="Y522" s="282" t="n"/>
      <c r="Z522" s="282" t="n"/>
      <c r="AA522" s="282" t="n"/>
      <c r="AB522" s="282" t="n"/>
      <c r="AC522" s="529" t="n"/>
      <c r="AE522" s="282" t="n"/>
      <c r="AF522" s="282" t="n"/>
      <c r="AI522" s="282" t="n"/>
      <c r="AJ522" s="282" t="n"/>
      <c r="AM522" s="282" t="n"/>
      <c r="AN522" s="282" t="n"/>
      <c r="AQ522" s="282" t="n"/>
      <c r="AR522" s="282" t="n"/>
    </row>
    <row customHeight="1" ht="15.75" r="523" s="452" spans="1:45">
      <c r="A523" s="44" t="n"/>
      <c r="G523" s="282" t="n"/>
      <c r="H523" s="282" t="n"/>
      <c r="K523" s="282" t="n"/>
      <c r="L523" s="282" t="n"/>
      <c r="O523" s="282" t="n"/>
      <c r="P523" s="282" t="n"/>
      <c r="S523" s="282" t="n"/>
      <c r="T523" s="282" t="n"/>
      <c r="W523" s="282" t="n"/>
      <c r="X523" s="282" t="n"/>
      <c r="Y523" s="282" t="n"/>
      <c r="Z523" s="282" t="n"/>
      <c r="AA523" s="282" t="n"/>
      <c r="AB523" s="282" t="n"/>
      <c r="AC523" s="529" t="n"/>
      <c r="AE523" s="282" t="n"/>
      <c r="AF523" s="282" t="n"/>
      <c r="AI523" s="282" t="n"/>
      <c r="AJ523" s="282" t="n"/>
      <c r="AM523" s="282" t="n"/>
      <c r="AN523" s="282" t="n"/>
      <c r="AQ523" s="282" t="n"/>
      <c r="AR523" s="282" t="n"/>
    </row>
    <row customHeight="1" ht="15.75" r="524" s="452" spans="1:45">
      <c r="A524" s="44" t="n"/>
      <c r="G524" s="282" t="n"/>
      <c r="H524" s="282" t="n"/>
      <c r="K524" s="282" t="n"/>
      <c r="L524" s="282" t="n"/>
      <c r="O524" s="282" t="n"/>
      <c r="P524" s="282" t="n"/>
      <c r="S524" s="282" t="n"/>
      <c r="T524" s="282" t="n"/>
      <c r="W524" s="282" t="n"/>
      <c r="X524" s="282" t="n"/>
      <c r="Y524" s="282" t="n"/>
      <c r="Z524" s="282" t="n"/>
      <c r="AA524" s="282" t="n"/>
      <c r="AB524" s="282" t="n"/>
      <c r="AC524" s="529" t="n"/>
      <c r="AE524" s="282" t="n"/>
      <c r="AF524" s="282" t="n"/>
      <c r="AI524" s="282" t="n"/>
      <c r="AJ524" s="282" t="n"/>
      <c r="AM524" s="282" t="n"/>
      <c r="AN524" s="282" t="n"/>
      <c r="AQ524" s="282" t="n"/>
      <c r="AR524" s="282" t="n"/>
    </row>
    <row customHeight="1" ht="15.75" r="525" s="452" spans="1:45">
      <c r="A525" s="44" t="n"/>
      <c r="G525" s="282" t="n"/>
      <c r="H525" s="282" t="n"/>
      <c r="K525" s="282" t="n"/>
      <c r="L525" s="282" t="n"/>
      <c r="O525" s="282" t="n"/>
      <c r="P525" s="282" t="n"/>
      <c r="S525" s="282" t="n"/>
      <c r="T525" s="282" t="n"/>
      <c r="W525" s="282" t="n"/>
      <c r="X525" s="282" t="n"/>
      <c r="Y525" s="282" t="n"/>
      <c r="Z525" s="282" t="n"/>
      <c r="AA525" s="282" t="n"/>
      <c r="AB525" s="282" t="n"/>
      <c r="AC525" s="529" t="n"/>
      <c r="AE525" s="282" t="n"/>
      <c r="AF525" s="282" t="n"/>
      <c r="AI525" s="282" t="n"/>
      <c r="AJ525" s="282" t="n"/>
      <c r="AM525" s="282" t="n"/>
      <c r="AN525" s="282" t="n"/>
      <c r="AQ525" s="282" t="n"/>
      <c r="AR525" s="282" t="n"/>
    </row>
    <row customHeight="1" ht="15.75" r="526" s="452" spans="1:45">
      <c r="A526" s="44" t="n"/>
      <c r="G526" s="282" t="n"/>
      <c r="H526" s="282" t="n"/>
      <c r="K526" s="282" t="n"/>
      <c r="L526" s="282" t="n"/>
      <c r="O526" s="282" t="n"/>
      <c r="P526" s="282" t="n"/>
      <c r="S526" s="282" t="n"/>
      <c r="T526" s="282" t="n"/>
      <c r="W526" s="282" t="n"/>
      <c r="X526" s="282" t="n"/>
      <c r="Y526" s="282" t="n"/>
      <c r="Z526" s="282" t="n"/>
      <c r="AA526" s="282" t="n"/>
      <c r="AB526" s="282" t="n"/>
      <c r="AC526" s="529" t="n"/>
      <c r="AE526" s="282" t="n"/>
      <c r="AF526" s="282" t="n"/>
      <c r="AI526" s="282" t="n"/>
      <c r="AJ526" s="282" t="n"/>
      <c r="AM526" s="282" t="n"/>
      <c r="AN526" s="282" t="n"/>
      <c r="AQ526" s="282" t="n"/>
      <c r="AR526" s="282" t="n"/>
    </row>
    <row customHeight="1" ht="15.75" r="527" s="452" spans="1:45">
      <c r="A527" s="44" t="n"/>
      <c r="G527" s="282" t="n"/>
      <c r="H527" s="282" t="n"/>
      <c r="K527" s="282" t="n"/>
      <c r="L527" s="282" t="n"/>
      <c r="O527" s="282" t="n"/>
      <c r="P527" s="282" t="n"/>
      <c r="S527" s="282" t="n"/>
      <c r="T527" s="282" t="n"/>
      <c r="W527" s="282" t="n"/>
      <c r="X527" s="282" t="n"/>
      <c r="Y527" s="282" t="n"/>
      <c r="Z527" s="282" t="n"/>
      <c r="AA527" s="282" t="n"/>
      <c r="AB527" s="282" t="n"/>
      <c r="AC527" s="529" t="n"/>
      <c r="AE527" s="282" t="n"/>
      <c r="AF527" s="282" t="n"/>
      <c r="AI527" s="282" t="n"/>
      <c r="AJ527" s="282" t="n"/>
      <c r="AM527" s="282" t="n"/>
      <c r="AN527" s="282" t="n"/>
      <c r="AQ527" s="282" t="n"/>
      <c r="AR527" s="282" t="n"/>
    </row>
    <row customHeight="1" ht="15.75" r="528" s="452" spans="1:45">
      <c r="A528" s="44" t="n"/>
      <c r="G528" s="282" t="n"/>
      <c r="H528" s="282" t="n"/>
      <c r="K528" s="282" t="n"/>
      <c r="L528" s="282" t="n"/>
      <c r="O528" s="282" t="n"/>
      <c r="P528" s="282" t="n"/>
      <c r="S528" s="282" t="n"/>
      <c r="T528" s="282" t="n"/>
      <c r="W528" s="282" t="n"/>
      <c r="X528" s="282" t="n"/>
      <c r="Y528" s="282" t="n"/>
      <c r="Z528" s="282" t="n"/>
      <c r="AA528" s="282" t="n"/>
      <c r="AB528" s="282" t="n"/>
      <c r="AC528" s="529" t="n"/>
      <c r="AE528" s="282" t="n"/>
      <c r="AF528" s="282" t="n"/>
      <c r="AI528" s="282" t="n"/>
      <c r="AJ528" s="282" t="n"/>
      <c r="AM528" s="282" t="n"/>
      <c r="AN528" s="282" t="n"/>
      <c r="AQ528" s="282" t="n"/>
      <c r="AR528" s="282" t="n"/>
    </row>
    <row customHeight="1" ht="15.75" r="529" s="452" spans="1:45">
      <c r="A529" s="44" t="n"/>
      <c r="G529" s="282" t="n"/>
      <c r="H529" s="282" t="n"/>
      <c r="K529" s="282" t="n"/>
      <c r="L529" s="282" t="n"/>
      <c r="O529" s="282" t="n"/>
      <c r="P529" s="282" t="n"/>
      <c r="S529" s="282" t="n"/>
      <c r="T529" s="282" t="n"/>
      <c r="W529" s="282" t="n"/>
      <c r="X529" s="282" t="n"/>
      <c r="Y529" s="282" t="n"/>
      <c r="Z529" s="282" t="n"/>
      <c r="AA529" s="282" t="n"/>
      <c r="AB529" s="282" t="n"/>
      <c r="AC529" s="529" t="n"/>
      <c r="AE529" s="282" t="n"/>
      <c r="AF529" s="282" t="n"/>
      <c r="AI529" s="282" t="n"/>
      <c r="AJ529" s="282" t="n"/>
      <c r="AM529" s="282" t="n"/>
      <c r="AN529" s="282" t="n"/>
      <c r="AQ529" s="282" t="n"/>
      <c r="AR529" s="282" t="n"/>
    </row>
    <row customHeight="1" ht="15.75" r="530" s="452" spans="1:45">
      <c r="A530" s="44" t="n"/>
      <c r="G530" s="282" t="n"/>
      <c r="H530" s="282" t="n"/>
      <c r="K530" s="282" t="n"/>
      <c r="L530" s="282" t="n"/>
      <c r="O530" s="282" t="n"/>
      <c r="P530" s="282" t="n"/>
      <c r="S530" s="282" t="n"/>
      <c r="T530" s="282" t="n"/>
      <c r="W530" s="282" t="n"/>
      <c r="X530" s="282" t="n"/>
      <c r="Y530" s="282" t="n"/>
      <c r="Z530" s="282" t="n"/>
      <c r="AA530" s="282" t="n"/>
      <c r="AB530" s="282" t="n"/>
      <c r="AC530" s="529" t="n"/>
      <c r="AE530" s="282" t="n"/>
      <c r="AF530" s="282" t="n"/>
      <c r="AI530" s="282" t="n"/>
      <c r="AJ530" s="282" t="n"/>
      <c r="AM530" s="282" t="n"/>
      <c r="AN530" s="282" t="n"/>
      <c r="AQ530" s="282" t="n"/>
      <c r="AR530" s="282" t="n"/>
    </row>
    <row customHeight="1" ht="15.75" r="531" s="452" spans="1:45">
      <c r="A531" s="44" t="n"/>
      <c r="G531" s="282" t="n"/>
      <c r="H531" s="282" t="n"/>
      <c r="K531" s="282" t="n"/>
      <c r="L531" s="282" t="n"/>
      <c r="O531" s="282" t="n"/>
      <c r="P531" s="282" t="n"/>
      <c r="S531" s="282" t="n"/>
      <c r="T531" s="282" t="n"/>
      <c r="W531" s="282" t="n"/>
      <c r="X531" s="282" t="n"/>
      <c r="Y531" s="282" t="n"/>
      <c r="Z531" s="282" t="n"/>
      <c r="AA531" s="282" t="n"/>
      <c r="AB531" s="282" t="n"/>
      <c r="AC531" s="529" t="n"/>
      <c r="AE531" s="282" t="n"/>
      <c r="AF531" s="282" t="n"/>
      <c r="AI531" s="282" t="n"/>
      <c r="AJ531" s="282" t="n"/>
      <c r="AM531" s="282" t="n"/>
      <c r="AN531" s="282" t="n"/>
      <c r="AQ531" s="282" t="n"/>
      <c r="AR531" s="282" t="n"/>
    </row>
    <row customHeight="1" ht="15.75" r="532" s="452" spans="1:45">
      <c r="A532" s="44" t="n"/>
      <c r="G532" s="282" t="n"/>
      <c r="H532" s="282" t="n"/>
      <c r="K532" s="282" t="n"/>
      <c r="L532" s="282" t="n"/>
      <c r="O532" s="282" t="n"/>
      <c r="P532" s="282" t="n"/>
      <c r="S532" s="282" t="n"/>
      <c r="T532" s="282" t="n"/>
      <c r="W532" s="282" t="n"/>
      <c r="X532" s="282" t="n"/>
      <c r="Y532" s="282" t="n"/>
      <c r="Z532" s="282" t="n"/>
      <c r="AA532" s="282" t="n"/>
      <c r="AB532" s="282" t="n"/>
      <c r="AC532" s="529" t="n"/>
      <c r="AE532" s="282" t="n"/>
      <c r="AF532" s="282" t="n"/>
      <c r="AI532" s="282" t="n"/>
      <c r="AJ532" s="282" t="n"/>
      <c r="AM532" s="282" t="n"/>
      <c r="AN532" s="282" t="n"/>
      <c r="AQ532" s="282" t="n"/>
      <c r="AR532" s="282" t="n"/>
    </row>
    <row customHeight="1" ht="15.75" r="533" s="452" spans="1:45">
      <c r="A533" s="44" t="n"/>
      <c r="G533" s="282" t="n"/>
      <c r="H533" s="282" t="n"/>
      <c r="K533" s="282" t="n"/>
      <c r="L533" s="282" t="n"/>
      <c r="O533" s="282" t="n"/>
      <c r="P533" s="282" t="n"/>
      <c r="S533" s="282" t="n"/>
      <c r="T533" s="282" t="n"/>
      <c r="W533" s="282" t="n"/>
      <c r="X533" s="282" t="n"/>
      <c r="Y533" s="282" t="n"/>
      <c r="Z533" s="282" t="n"/>
      <c r="AA533" s="282" t="n"/>
      <c r="AB533" s="282" t="n"/>
      <c r="AC533" s="529" t="n"/>
      <c r="AE533" s="282" t="n"/>
      <c r="AF533" s="282" t="n"/>
      <c r="AI533" s="282" t="n"/>
      <c r="AJ533" s="282" t="n"/>
      <c r="AM533" s="282" t="n"/>
      <c r="AN533" s="282" t="n"/>
      <c r="AQ533" s="282" t="n"/>
      <c r="AR533" s="282" t="n"/>
    </row>
    <row customHeight="1" ht="15.75" r="534" s="452" spans="1:45">
      <c r="A534" s="44" t="n"/>
      <c r="G534" s="282" t="n"/>
      <c r="H534" s="282" t="n"/>
      <c r="K534" s="282" t="n"/>
      <c r="L534" s="282" t="n"/>
      <c r="O534" s="282" t="n"/>
      <c r="P534" s="282" t="n"/>
      <c r="S534" s="282" t="n"/>
      <c r="T534" s="282" t="n"/>
      <c r="W534" s="282" t="n"/>
      <c r="X534" s="282" t="n"/>
      <c r="Y534" s="282" t="n"/>
      <c r="Z534" s="282" t="n"/>
      <c r="AA534" s="282" t="n"/>
      <c r="AB534" s="282" t="n"/>
      <c r="AC534" s="529" t="n"/>
      <c r="AE534" s="282" t="n"/>
      <c r="AF534" s="282" t="n"/>
      <c r="AI534" s="282" t="n"/>
      <c r="AJ534" s="282" t="n"/>
      <c r="AM534" s="282" t="n"/>
      <c r="AN534" s="282" t="n"/>
      <c r="AQ534" s="282" t="n"/>
      <c r="AR534" s="282" t="n"/>
    </row>
    <row customHeight="1" ht="15.75" r="535" s="452" spans="1:45">
      <c r="A535" s="44" t="n"/>
      <c r="G535" s="282" t="n"/>
      <c r="H535" s="282" t="n"/>
      <c r="K535" s="282" t="n"/>
      <c r="L535" s="282" t="n"/>
      <c r="O535" s="282" t="n"/>
      <c r="P535" s="282" t="n"/>
      <c r="S535" s="282" t="n"/>
      <c r="T535" s="282" t="n"/>
      <c r="W535" s="282" t="n"/>
      <c r="X535" s="282" t="n"/>
      <c r="Y535" s="282" t="n"/>
      <c r="Z535" s="282" t="n"/>
      <c r="AA535" s="282" t="n"/>
      <c r="AB535" s="282" t="n"/>
      <c r="AC535" s="529" t="n"/>
      <c r="AE535" s="282" t="n"/>
      <c r="AF535" s="282" t="n"/>
      <c r="AI535" s="282" t="n"/>
      <c r="AJ535" s="282" t="n"/>
      <c r="AM535" s="282" t="n"/>
      <c r="AN535" s="282" t="n"/>
      <c r="AQ535" s="282" t="n"/>
      <c r="AR535" s="282" t="n"/>
    </row>
    <row customHeight="1" ht="15.75" r="536" s="452" spans="1:45">
      <c r="A536" s="44" t="n"/>
      <c r="G536" s="282" t="n"/>
      <c r="H536" s="282" t="n"/>
      <c r="K536" s="282" t="n"/>
      <c r="L536" s="282" t="n"/>
      <c r="O536" s="282" t="n"/>
      <c r="P536" s="282" t="n"/>
      <c r="S536" s="282" t="n"/>
      <c r="T536" s="282" t="n"/>
      <c r="W536" s="282" t="n"/>
      <c r="X536" s="282" t="n"/>
      <c r="Y536" s="282" t="n"/>
      <c r="Z536" s="282" t="n"/>
      <c r="AA536" s="282" t="n"/>
      <c r="AB536" s="282" t="n"/>
      <c r="AC536" s="529" t="n"/>
      <c r="AE536" s="282" t="n"/>
      <c r="AF536" s="282" t="n"/>
      <c r="AI536" s="282" t="n"/>
      <c r="AJ536" s="282" t="n"/>
      <c r="AM536" s="282" t="n"/>
      <c r="AN536" s="282" t="n"/>
      <c r="AQ536" s="282" t="n"/>
      <c r="AR536" s="282" t="n"/>
    </row>
    <row customHeight="1" ht="15.75" r="537" s="452" spans="1:45">
      <c r="A537" s="44" t="n"/>
      <c r="G537" s="282" t="n"/>
      <c r="H537" s="282" t="n"/>
      <c r="K537" s="282" t="n"/>
      <c r="L537" s="282" t="n"/>
      <c r="O537" s="282" t="n"/>
      <c r="P537" s="282" t="n"/>
      <c r="S537" s="282" t="n"/>
      <c r="T537" s="282" t="n"/>
      <c r="W537" s="282" t="n"/>
      <c r="X537" s="282" t="n"/>
      <c r="Y537" s="282" t="n"/>
      <c r="Z537" s="282" t="n"/>
      <c r="AA537" s="282" t="n"/>
      <c r="AB537" s="282" t="n"/>
      <c r="AC537" s="529" t="n"/>
      <c r="AE537" s="282" t="n"/>
      <c r="AF537" s="282" t="n"/>
      <c r="AI537" s="282" t="n"/>
      <c r="AJ537" s="282" t="n"/>
      <c r="AM537" s="282" t="n"/>
      <c r="AN537" s="282" t="n"/>
      <c r="AQ537" s="282" t="n"/>
      <c r="AR537" s="282" t="n"/>
    </row>
    <row customHeight="1" ht="15.75" r="538" s="452" spans="1:45">
      <c r="A538" s="44" t="n"/>
      <c r="G538" s="282" t="n"/>
      <c r="H538" s="282" t="n"/>
      <c r="K538" s="282" t="n"/>
      <c r="L538" s="282" t="n"/>
      <c r="O538" s="282" t="n"/>
      <c r="P538" s="282" t="n"/>
      <c r="S538" s="282" t="n"/>
      <c r="T538" s="282" t="n"/>
      <c r="W538" s="282" t="n"/>
      <c r="X538" s="282" t="n"/>
      <c r="Y538" s="282" t="n"/>
      <c r="Z538" s="282" t="n"/>
      <c r="AA538" s="282" t="n"/>
      <c r="AB538" s="282" t="n"/>
      <c r="AC538" s="529" t="n"/>
      <c r="AE538" s="282" t="n"/>
      <c r="AF538" s="282" t="n"/>
      <c r="AI538" s="282" t="n"/>
      <c r="AJ538" s="282" t="n"/>
      <c r="AM538" s="282" t="n"/>
      <c r="AN538" s="282" t="n"/>
      <c r="AQ538" s="282" t="n"/>
      <c r="AR538" s="282" t="n"/>
    </row>
    <row customHeight="1" ht="15.75" r="539" s="452" spans="1:45">
      <c r="A539" s="44" t="n"/>
      <c r="G539" s="282" t="n"/>
      <c r="H539" s="282" t="n"/>
      <c r="K539" s="282" t="n"/>
      <c r="L539" s="282" t="n"/>
      <c r="O539" s="282" t="n"/>
      <c r="P539" s="282" t="n"/>
      <c r="S539" s="282" t="n"/>
      <c r="T539" s="282" t="n"/>
      <c r="W539" s="282" t="n"/>
      <c r="X539" s="282" t="n"/>
      <c r="Y539" s="282" t="n"/>
      <c r="Z539" s="282" t="n"/>
      <c r="AA539" s="282" t="n"/>
      <c r="AB539" s="282" t="n"/>
      <c r="AC539" s="529" t="n"/>
      <c r="AE539" s="282" t="n"/>
      <c r="AF539" s="282" t="n"/>
      <c r="AI539" s="282" t="n"/>
      <c r="AJ539" s="282" t="n"/>
      <c r="AM539" s="282" t="n"/>
      <c r="AN539" s="282" t="n"/>
      <c r="AQ539" s="282" t="n"/>
      <c r="AR539" s="282" t="n"/>
    </row>
    <row customHeight="1" ht="15.75" r="540" s="452" spans="1:45">
      <c r="A540" s="44" t="n"/>
      <c r="G540" s="282" t="n"/>
      <c r="H540" s="282" t="n"/>
      <c r="K540" s="282" t="n"/>
      <c r="L540" s="282" t="n"/>
      <c r="O540" s="282" t="n"/>
      <c r="P540" s="282" t="n"/>
      <c r="S540" s="282" t="n"/>
      <c r="T540" s="282" t="n"/>
      <c r="W540" s="282" t="n"/>
      <c r="X540" s="282" t="n"/>
      <c r="Y540" s="282" t="n"/>
      <c r="Z540" s="282" t="n"/>
      <c r="AA540" s="282" t="n"/>
      <c r="AB540" s="282" t="n"/>
      <c r="AC540" s="529" t="n"/>
      <c r="AE540" s="282" t="n"/>
      <c r="AF540" s="282" t="n"/>
      <c r="AI540" s="282" t="n"/>
      <c r="AJ540" s="282" t="n"/>
      <c r="AM540" s="282" t="n"/>
      <c r="AN540" s="282" t="n"/>
      <c r="AQ540" s="282" t="n"/>
      <c r="AR540" s="282" t="n"/>
    </row>
    <row customHeight="1" ht="15.75" r="541" s="452" spans="1:45">
      <c r="A541" s="44" t="n"/>
      <c r="G541" s="282" t="n"/>
      <c r="H541" s="282" t="n"/>
      <c r="K541" s="282" t="n"/>
      <c r="L541" s="282" t="n"/>
      <c r="O541" s="282" t="n"/>
      <c r="P541" s="282" t="n"/>
      <c r="S541" s="282" t="n"/>
      <c r="T541" s="282" t="n"/>
      <c r="W541" s="282" t="n"/>
      <c r="X541" s="282" t="n"/>
      <c r="Y541" s="282" t="n"/>
      <c r="Z541" s="282" t="n"/>
      <c r="AA541" s="282" t="n"/>
      <c r="AB541" s="282" t="n"/>
      <c r="AC541" s="529" t="n"/>
      <c r="AE541" s="282" t="n"/>
      <c r="AF541" s="282" t="n"/>
      <c r="AI541" s="282" t="n"/>
      <c r="AJ541" s="282" t="n"/>
      <c r="AM541" s="282" t="n"/>
      <c r="AN541" s="282" t="n"/>
      <c r="AQ541" s="282" t="n"/>
      <c r="AR541" s="282" t="n"/>
    </row>
    <row customHeight="1" ht="15.75" r="542" s="452" spans="1:45">
      <c r="A542" s="44" t="n"/>
      <c r="G542" s="282" t="n"/>
      <c r="H542" s="282" t="n"/>
      <c r="K542" s="282" t="n"/>
      <c r="L542" s="282" t="n"/>
      <c r="O542" s="282" t="n"/>
      <c r="P542" s="282" t="n"/>
      <c r="S542" s="282" t="n"/>
      <c r="T542" s="282" t="n"/>
      <c r="W542" s="282" t="n"/>
      <c r="X542" s="282" t="n"/>
      <c r="Y542" s="282" t="n"/>
      <c r="Z542" s="282" t="n"/>
      <c r="AA542" s="282" t="n"/>
      <c r="AB542" s="282" t="n"/>
      <c r="AC542" s="529" t="n"/>
      <c r="AE542" s="282" t="n"/>
      <c r="AF542" s="282" t="n"/>
      <c r="AI542" s="282" t="n"/>
      <c r="AJ542" s="282" t="n"/>
      <c r="AM542" s="282" t="n"/>
      <c r="AN542" s="282" t="n"/>
      <c r="AQ542" s="282" t="n"/>
      <c r="AR542" s="282" t="n"/>
    </row>
    <row customHeight="1" ht="15.75" r="543" s="452" spans="1:45">
      <c r="A543" s="44" t="n"/>
      <c r="G543" s="282" t="n"/>
      <c r="H543" s="282" t="n"/>
      <c r="K543" s="282" t="n"/>
      <c r="L543" s="282" t="n"/>
      <c r="O543" s="282" t="n"/>
      <c r="P543" s="282" t="n"/>
      <c r="S543" s="282" t="n"/>
      <c r="T543" s="282" t="n"/>
      <c r="W543" s="282" t="n"/>
      <c r="X543" s="282" t="n"/>
      <c r="Y543" s="282" t="n"/>
      <c r="Z543" s="282" t="n"/>
      <c r="AA543" s="282" t="n"/>
      <c r="AB543" s="282" t="n"/>
      <c r="AC543" s="529" t="n"/>
      <c r="AE543" s="282" t="n"/>
      <c r="AF543" s="282" t="n"/>
      <c r="AI543" s="282" t="n"/>
      <c r="AJ543" s="282" t="n"/>
      <c r="AM543" s="282" t="n"/>
      <c r="AN543" s="282" t="n"/>
      <c r="AQ543" s="282" t="n"/>
      <c r="AR543" s="282" t="n"/>
    </row>
    <row customHeight="1" ht="15.75" r="544" s="452" spans="1:45">
      <c r="A544" s="44" t="n"/>
      <c r="G544" s="282" t="n"/>
      <c r="H544" s="282" t="n"/>
      <c r="K544" s="282" t="n"/>
      <c r="L544" s="282" t="n"/>
      <c r="O544" s="282" t="n"/>
      <c r="P544" s="282" t="n"/>
      <c r="S544" s="282" t="n"/>
      <c r="T544" s="282" t="n"/>
      <c r="W544" s="282" t="n"/>
      <c r="X544" s="282" t="n"/>
      <c r="Y544" s="282" t="n"/>
      <c r="Z544" s="282" t="n"/>
      <c r="AA544" s="282" t="n"/>
      <c r="AB544" s="282" t="n"/>
      <c r="AC544" s="529" t="n"/>
      <c r="AE544" s="282" t="n"/>
      <c r="AF544" s="282" t="n"/>
      <c r="AI544" s="282" t="n"/>
      <c r="AJ544" s="282" t="n"/>
      <c r="AM544" s="282" t="n"/>
      <c r="AN544" s="282" t="n"/>
      <c r="AQ544" s="282" t="n"/>
      <c r="AR544" s="282" t="n"/>
    </row>
    <row customHeight="1" ht="15.75" r="545" s="452" spans="1:45">
      <c r="A545" s="44" t="n"/>
      <c r="G545" s="282" t="n"/>
      <c r="H545" s="282" t="n"/>
      <c r="K545" s="282" t="n"/>
      <c r="L545" s="282" t="n"/>
      <c r="O545" s="282" t="n"/>
      <c r="P545" s="282" t="n"/>
      <c r="S545" s="282" t="n"/>
      <c r="T545" s="282" t="n"/>
      <c r="W545" s="282" t="n"/>
      <c r="X545" s="282" t="n"/>
      <c r="Y545" s="282" t="n"/>
      <c r="Z545" s="282" t="n"/>
      <c r="AA545" s="282" t="n"/>
      <c r="AB545" s="282" t="n"/>
      <c r="AC545" s="529" t="n"/>
      <c r="AE545" s="282" t="n"/>
      <c r="AF545" s="282" t="n"/>
      <c r="AI545" s="282" t="n"/>
      <c r="AJ545" s="282" t="n"/>
      <c r="AM545" s="282" t="n"/>
      <c r="AN545" s="282" t="n"/>
      <c r="AQ545" s="282" t="n"/>
      <c r="AR545" s="282" t="n"/>
    </row>
    <row customHeight="1" ht="15.75" r="546" s="452" spans="1:45">
      <c r="A546" s="44" t="n"/>
      <c r="G546" s="282" t="n"/>
      <c r="H546" s="282" t="n"/>
      <c r="K546" s="282" t="n"/>
      <c r="L546" s="282" t="n"/>
      <c r="O546" s="282" t="n"/>
      <c r="P546" s="282" t="n"/>
      <c r="S546" s="282" t="n"/>
      <c r="T546" s="282" t="n"/>
      <c r="W546" s="282" t="n"/>
      <c r="X546" s="282" t="n"/>
      <c r="Y546" s="282" t="n"/>
      <c r="Z546" s="282" t="n"/>
      <c r="AA546" s="282" t="n"/>
      <c r="AB546" s="282" t="n"/>
      <c r="AC546" s="529" t="n"/>
      <c r="AE546" s="282" t="n"/>
      <c r="AF546" s="282" t="n"/>
      <c r="AI546" s="282" t="n"/>
      <c r="AJ546" s="282" t="n"/>
      <c r="AM546" s="282" t="n"/>
      <c r="AN546" s="282" t="n"/>
      <c r="AQ546" s="282" t="n"/>
      <c r="AR546" s="282" t="n"/>
    </row>
    <row customHeight="1" ht="15.75" r="547" s="452" spans="1:45">
      <c r="A547" s="44" t="n"/>
      <c r="G547" s="282" t="n"/>
      <c r="H547" s="282" t="n"/>
      <c r="K547" s="282" t="n"/>
      <c r="L547" s="282" t="n"/>
      <c r="O547" s="282" t="n"/>
      <c r="P547" s="282" t="n"/>
      <c r="S547" s="282" t="n"/>
      <c r="T547" s="282" t="n"/>
      <c r="W547" s="282" t="n"/>
      <c r="X547" s="282" t="n"/>
      <c r="Y547" s="282" t="n"/>
      <c r="Z547" s="282" t="n"/>
      <c r="AA547" s="282" t="n"/>
      <c r="AB547" s="282" t="n"/>
      <c r="AC547" s="529" t="n"/>
      <c r="AE547" s="282" t="n"/>
      <c r="AF547" s="282" t="n"/>
      <c r="AI547" s="282" t="n"/>
      <c r="AJ547" s="282" t="n"/>
      <c r="AM547" s="282" t="n"/>
      <c r="AN547" s="282" t="n"/>
      <c r="AQ547" s="282" t="n"/>
      <c r="AR547" s="282" t="n"/>
    </row>
    <row customHeight="1" ht="15.75" r="548" s="452" spans="1:45">
      <c r="A548" s="44" t="n"/>
      <c r="G548" s="282" t="n"/>
      <c r="H548" s="282" t="n"/>
      <c r="K548" s="282" t="n"/>
      <c r="L548" s="282" t="n"/>
      <c r="O548" s="282" t="n"/>
      <c r="P548" s="282" t="n"/>
      <c r="S548" s="282" t="n"/>
      <c r="T548" s="282" t="n"/>
      <c r="W548" s="282" t="n"/>
      <c r="X548" s="282" t="n"/>
      <c r="Y548" s="282" t="n"/>
      <c r="Z548" s="282" t="n"/>
      <c r="AA548" s="282" t="n"/>
      <c r="AB548" s="282" t="n"/>
      <c r="AC548" s="529" t="n"/>
      <c r="AE548" s="282" t="n"/>
      <c r="AF548" s="282" t="n"/>
      <c r="AI548" s="282" t="n"/>
      <c r="AJ548" s="282" t="n"/>
      <c r="AM548" s="282" t="n"/>
      <c r="AN548" s="282" t="n"/>
      <c r="AQ548" s="282" t="n"/>
      <c r="AR548" s="282" t="n"/>
    </row>
    <row customHeight="1" ht="15.75" r="549" s="452" spans="1:45">
      <c r="A549" s="44" t="n"/>
      <c r="G549" s="282" t="n"/>
      <c r="H549" s="282" t="n"/>
      <c r="K549" s="282" t="n"/>
      <c r="L549" s="282" t="n"/>
      <c r="O549" s="282" t="n"/>
      <c r="P549" s="282" t="n"/>
      <c r="S549" s="282" t="n"/>
      <c r="T549" s="282" t="n"/>
      <c r="W549" s="282" t="n"/>
      <c r="X549" s="282" t="n"/>
      <c r="Y549" s="282" t="n"/>
      <c r="Z549" s="282" t="n"/>
      <c r="AA549" s="282" t="n"/>
      <c r="AB549" s="282" t="n"/>
      <c r="AC549" s="529" t="n"/>
      <c r="AE549" s="282" t="n"/>
      <c r="AF549" s="282" t="n"/>
      <c r="AI549" s="282" t="n"/>
      <c r="AJ549" s="282" t="n"/>
      <c r="AM549" s="282" t="n"/>
      <c r="AN549" s="282" t="n"/>
      <c r="AQ549" s="282" t="n"/>
      <c r="AR549" s="282" t="n"/>
    </row>
    <row customHeight="1" ht="15.75" r="550" s="452" spans="1:45">
      <c r="A550" s="44" t="n"/>
      <c r="G550" s="282" t="n"/>
      <c r="H550" s="282" t="n"/>
      <c r="K550" s="282" t="n"/>
      <c r="L550" s="282" t="n"/>
      <c r="O550" s="282" t="n"/>
      <c r="P550" s="282" t="n"/>
      <c r="S550" s="282" t="n"/>
      <c r="T550" s="282" t="n"/>
      <c r="W550" s="282" t="n"/>
      <c r="X550" s="282" t="n"/>
      <c r="Y550" s="282" t="n"/>
      <c r="Z550" s="282" t="n"/>
      <c r="AA550" s="282" t="n"/>
      <c r="AB550" s="282" t="n"/>
      <c r="AC550" s="529" t="n"/>
      <c r="AE550" s="282" t="n"/>
      <c r="AF550" s="282" t="n"/>
      <c r="AI550" s="282" t="n"/>
      <c r="AJ550" s="282" t="n"/>
      <c r="AM550" s="282" t="n"/>
      <c r="AN550" s="282" t="n"/>
      <c r="AQ550" s="282" t="n"/>
      <c r="AR550" s="282" t="n"/>
    </row>
    <row customHeight="1" ht="15.75" r="551" s="452" spans="1:45">
      <c r="A551" s="44" t="n"/>
      <c r="G551" s="282" t="n"/>
      <c r="H551" s="282" t="n"/>
      <c r="K551" s="282" t="n"/>
      <c r="L551" s="282" t="n"/>
      <c r="O551" s="282" t="n"/>
      <c r="P551" s="282" t="n"/>
      <c r="S551" s="282" t="n"/>
      <c r="T551" s="282" t="n"/>
      <c r="W551" s="282" t="n"/>
      <c r="X551" s="282" t="n"/>
      <c r="Y551" s="282" t="n"/>
      <c r="Z551" s="282" t="n"/>
      <c r="AA551" s="282" t="n"/>
      <c r="AB551" s="282" t="n"/>
      <c r="AC551" s="529" t="n"/>
      <c r="AE551" s="282" t="n"/>
      <c r="AF551" s="282" t="n"/>
      <c r="AI551" s="282" t="n"/>
      <c r="AJ551" s="282" t="n"/>
      <c r="AM551" s="282" t="n"/>
      <c r="AN551" s="282" t="n"/>
      <c r="AQ551" s="282" t="n"/>
      <c r="AR551" s="282" t="n"/>
    </row>
    <row customHeight="1" ht="15.75" r="552" s="452" spans="1:45">
      <c r="A552" s="44" t="n"/>
      <c r="G552" s="282" t="n"/>
      <c r="H552" s="282" t="n"/>
      <c r="K552" s="282" t="n"/>
      <c r="L552" s="282" t="n"/>
      <c r="O552" s="282" t="n"/>
      <c r="P552" s="282" t="n"/>
      <c r="S552" s="282" t="n"/>
      <c r="T552" s="282" t="n"/>
      <c r="W552" s="282" t="n"/>
      <c r="X552" s="282" t="n"/>
      <c r="Y552" s="282" t="n"/>
      <c r="Z552" s="282" t="n"/>
      <c r="AA552" s="282" t="n"/>
      <c r="AB552" s="282" t="n"/>
      <c r="AC552" s="529" t="n"/>
      <c r="AE552" s="282" t="n"/>
      <c r="AF552" s="282" t="n"/>
      <c r="AI552" s="282" t="n"/>
      <c r="AJ552" s="282" t="n"/>
      <c r="AM552" s="282" t="n"/>
      <c r="AN552" s="282" t="n"/>
      <c r="AQ552" s="282" t="n"/>
      <c r="AR552" s="282" t="n"/>
    </row>
    <row customHeight="1" ht="15.75" r="553" s="452" spans="1:45">
      <c r="A553" s="44" t="n"/>
      <c r="G553" s="282" t="n"/>
      <c r="H553" s="282" t="n"/>
      <c r="K553" s="282" t="n"/>
      <c r="L553" s="282" t="n"/>
      <c r="O553" s="282" t="n"/>
      <c r="P553" s="282" t="n"/>
      <c r="S553" s="282" t="n"/>
      <c r="T553" s="282" t="n"/>
      <c r="W553" s="282" t="n"/>
      <c r="X553" s="282" t="n"/>
      <c r="Y553" s="282" t="n"/>
      <c r="Z553" s="282" t="n"/>
      <c r="AA553" s="282" t="n"/>
      <c r="AB553" s="282" t="n"/>
      <c r="AC553" s="529" t="n"/>
      <c r="AE553" s="282" t="n"/>
      <c r="AF553" s="282" t="n"/>
      <c r="AI553" s="282" t="n"/>
      <c r="AJ553" s="282" t="n"/>
      <c r="AM553" s="282" t="n"/>
      <c r="AN553" s="282" t="n"/>
      <c r="AQ553" s="282" t="n"/>
      <c r="AR553" s="282" t="n"/>
    </row>
    <row customHeight="1" ht="15.75" r="554" s="452" spans="1:45">
      <c r="A554" s="44" t="n"/>
      <c r="G554" s="282" t="n"/>
      <c r="H554" s="282" t="n"/>
      <c r="K554" s="282" t="n"/>
      <c r="L554" s="282" t="n"/>
      <c r="O554" s="282" t="n"/>
      <c r="P554" s="282" t="n"/>
      <c r="S554" s="282" t="n"/>
      <c r="T554" s="282" t="n"/>
      <c r="W554" s="282" t="n"/>
      <c r="X554" s="282" t="n"/>
      <c r="Y554" s="282" t="n"/>
      <c r="Z554" s="282" t="n"/>
      <c r="AA554" s="282" t="n"/>
      <c r="AB554" s="282" t="n"/>
      <c r="AC554" s="529" t="n"/>
      <c r="AE554" s="282" t="n"/>
      <c r="AF554" s="282" t="n"/>
      <c r="AI554" s="282" t="n"/>
      <c r="AJ554" s="282" t="n"/>
      <c r="AM554" s="282" t="n"/>
      <c r="AN554" s="282" t="n"/>
      <c r="AQ554" s="282" t="n"/>
      <c r="AR554" s="282" t="n"/>
    </row>
    <row customHeight="1" ht="15.75" r="555" s="452" spans="1:45">
      <c r="A555" s="44" t="n"/>
      <c r="G555" s="282" t="n"/>
      <c r="H555" s="282" t="n"/>
      <c r="K555" s="282" t="n"/>
      <c r="L555" s="282" t="n"/>
      <c r="O555" s="282" t="n"/>
      <c r="P555" s="282" t="n"/>
      <c r="S555" s="282" t="n"/>
      <c r="T555" s="282" t="n"/>
      <c r="W555" s="282" t="n"/>
      <c r="X555" s="282" t="n"/>
      <c r="Y555" s="282" t="n"/>
      <c r="Z555" s="282" t="n"/>
      <c r="AA555" s="282" t="n"/>
      <c r="AB555" s="282" t="n"/>
      <c r="AC555" s="529" t="n"/>
      <c r="AE555" s="282" t="n"/>
      <c r="AF555" s="282" t="n"/>
      <c r="AI555" s="282" t="n"/>
      <c r="AJ555" s="282" t="n"/>
      <c r="AM555" s="282" t="n"/>
      <c r="AN555" s="282" t="n"/>
      <c r="AQ555" s="282" t="n"/>
      <c r="AR555" s="282" t="n"/>
    </row>
    <row customHeight="1" ht="15.75" r="556" s="452" spans="1:45">
      <c r="A556" s="44" t="n"/>
      <c r="G556" s="282" t="n"/>
      <c r="H556" s="282" t="n"/>
      <c r="K556" s="282" t="n"/>
      <c r="L556" s="282" t="n"/>
      <c r="O556" s="282" t="n"/>
      <c r="P556" s="282" t="n"/>
      <c r="S556" s="282" t="n"/>
      <c r="T556" s="282" t="n"/>
      <c r="W556" s="282" t="n"/>
      <c r="X556" s="282" t="n"/>
      <c r="Y556" s="282" t="n"/>
      <c r="Z556" s="282" t="n"/>
      <c r="AA556" s="282" t="n"/>
      <c r="AB556" s="282" t="n"/>
      <c r="AC556" s="529" t="n"/>
      <c r="AE556" s="282" t="n"/>
      <c r="AF556" s="282" t="n"/>
      <c r="AI556" s="282" t="n"/>
      <c r="AJ556" s="282" t="n"/>
      <c r="AM556" s="282" t="n"/>
      <c r="AN556" s="282" t="n"/>
      <c r="AQ556" s="282" t="n"/>
      <c r="AR556" s="282" t="n"/>
    </row>
    <row customHeight="1" ht="15.75" r="557" s="452" spans="1:45">
      <c r="A557" s="44" t="n"/>
      <c r="G557" s="282" t="n"/>
      <c r="H557" s="282" t="n"/>
      <c r="K557" s="282" t="n"/>
      <c r="L557" s="282" t="n"/>
      <c r="O557" s="282" t="n"/>
      <c r="P557" s="282" t="n"/>
      <c r="S557" s="282" t="n"/>
      <c r="T557" s="282" t="n"/>
      <c r="W557" s="282" t="n"/>
      <c r="X557" s="282" t="n"/>
      <c r="Y557" s="282" t="n"/>
      <c r="Z557" s="282" t="n"/>
      <c r="AA557" s="282" t="n"/>
      <c r="AB557" s="282" t="n"/>
      <c r="AC557" s="529" t="n"/>
      <c r="AE557" s="282" t="n"/>
      <c r="AF557" s="282" t="n"/>
      <c r="AI557" s="282" t="n"/>
      <c r="AJ557" s="282" t="n"/>
      <c r="AM557" s="282" t="n"/>
      <c r="AN557" s="282" t="n"/>
      <c r="AQ557" s="282" t="n"/>
      <c r="AR557" s="282" t="n"/>
    </row>
    <row customHeight="1" ht="15.75" r="558" s="452" spans="1:45">
      <c r="A558" s="44" t="n"/>
      <c r="G558" s="282" t="n"/>
      <c r="H558" s="282" t="n"/>
      <c r="K558" s="282" t="n"/>
      <c r="L558" s="282" t="n"/>
      <c r="O558" s="282" t="n"/>
      <c r="P558" s="282" t="n"/>
      <c r="S558" s="282" t="n"/>
      <c r="T558" s="282" t="n"/>
      <c r="W558" s="282" t="n"/>
      <c r="X558" s="282" t="n"/>
      <c r="Y558" s="282" t="n"/>
      <c r="Z558" s="282" t="n"/>
      <c r="AA558" s="282" t="n"/>
      <c r="AB558" s="282" t="n"/>
      <c r="AC558" s="529" t="n"/>
      <c r="AE558" s="282" t="n"/>
      <c r="AF558" s="282" t="n"/>
      <c r="AI558" s="282" t="n"/>
      <c r="AJ558" s="282" t="n"/>
      <c r="AM558" s="282" t="n"/>
      <c r="AN558" s="282" t="n"/>
      <c r="AQ558" s="282" t="n"/>
      <c r="AR558" s="282" t="n"/>
    </row>
    <row customHeight="1" ht="15.75" r="559" s="452" spans="1:45">
      <c r="A559" s="44" t="n"/>
      <c r="G559" s="282" t="n"/>
      <c r="H559" s="282" t="n"/>
      <c r="K559" s="282" t="n"/>
      <c r="L559" s="282" t="n"/>
      <c r="O559" s="282" t="n"/>
      <c r="P559" s="282" t="n"/>
      <c r="S559" s="282" t="n"/>
      <c r="T559" s="282" t="n"/>
      <c r="W559" s="282" t="n"/>
      <c r="X559" s="282" t="n"/>
      <c r="Y559" s="282" t="n"/>
      <c r="Z559" s="282" t="n"/>
      <c r="AA559" s="282" t="n"/>
      <c r="AB559" s="282" t="n"/>
      <c r="AC559" s="529" t="n"/>
      <c r="AE559" s="282" t="n"/>
      <c r="AF559" s="282" t="n"/>
      <c r="AI559" s="282" t="n"/>
      <c r="AJ559" s="282" t="n"/>
      <c r="AM559" s="282" t="n"/>
      <c r="AN559" s="282" t="n"/>
      <c r="AQ559" s="282" t="n"/>
      <c r="AR559" s="282" t="n"/>
    </row>
    <row customHeight="1" ht="15.75" r="560" s="452" spans="1:45">
      <c r="A560" s="44" t="n"/>
      <c r="G560" s="282" t="n"/>
      <c r="H560" s="282" t="n"/>
      <c r="K560" s="282" t="n"/>
      <c r="L560" s="282" t="n"/>
      <c r="O560" s="282" t="n"/>
      <c r="P560" s="282" t="n"/>
      <c r="S560" s="282" t="n"/>
      <c r="T560" s="282" t="n"/>
      <c r="W560" s="282" t="n"/>
      <c r="X560" s="282" t="n"/>
      <c r="Y560" s="282" t="n"/>
      <c r="Z560" s="282" t="n"/>
      <c r="AA560" s="282" t="n"/>
      <c r="AB560" s="282" t="n"/>
      <c r="AC560" s="529" t="n"/>
      <c r="AE560" s="282" t="n"/>
      <c r="AF560" s="282" t="n"/>
      <c r="AI560" s="282" t="n"/>
      <c r="AJ560" s="282" t="n"/>
      <c r="AM560" s="282" t="n"/>
      <c r="AN560" s="282" t="n"/>
      <c r="AQ560" s="282" t="n"/>
      <c r="AR560" s="282" t="n"/>
    </row>
    <row customHeight="1" ht="15.75" r="561" s="452" spans="1:45">
      <c r="A561" s="44" t="n"/>
      <c r="G561" s="282" t="n"/>
      <c r="H561" s="282" t="n"/>
      <c r="K561" s="282" t="n"/>
      <c r="L561" s="282" t="n"/>
      <c r="O561" s="282" t="n"/>
      <c r="P561" s="282" t="n"/>
      <c r="S561" s="282" t="n"/>
      <c r="T561" s="282" t="n"/>
      <c r="W561" s="282" t="n"/>
      <c r="X561" s="282" t="n"/>
      <c r="Y561" s="282" t="n"/>
      <c r="Z561" s="282" t="n"/>
      <c r="AA561" s="282" t="n"/>
      <c r="AB561" s="282" t="n"/>
      <c r="AC561" s="529" t="n"/>
      <c r="AE561" s="282" t="n"/>
      <c r="AF561" s="282" t="n"/>
      <c r="AI561" s="282" t="n"/>
      <c r="AJ561" s="282" t="n"/>
      <c r="AM561" s="282" t="n"/>
      <c r="AN561" s="282" t="n"/>
      <c r="AQ561" s="282" t="n"/>
      <c r="AR561" s="282" t="n"/>
    </row>
    <row customHeight="1" ht="15.75" r="562" s="452" spans="1:45">
      <c r="A562" s="44" t="n"/>
      <c r="G562" s="282" t="n"/>
      <c r="H562" s="282" t="n"/>
      <c r="K562" s="282" t="n"/>
      <c r="L562" s="282" t="n"/>
      <c r="O562" s="282" t="n"/>
      <c r="P562" s="282" t="n"/>
      <c r="S562" s="282" t="n"/>
      <c r="T562" s="282" t="n"/>
      <c r="W562" s="282" t="n"/>
      <c r="X562" s="282" t="n"/>
      <c r="Y562" s="282" t="n"/>
      <c r="Z562" s="282" t="n"/>
      <c r="AA562" s="282" t="n"/>
      <c r="AB562" s="282" t="n"/>
      <c r="AC562" s="529" t="n"/>
      <c r="AE562" s="282" t="n"/>
      <c r="AF562" s="282" t="n"/>
      <c r="AI562" s="282" t="n"/>
      <c r="AJ562" s="282" t="n"/>
      <c r="AM562" s="282" t="n"/>
      <c r="AN562" s="282" t="n"/>
      <c r="AQ562" s="282" t="n"/>
      <c r="AR562" s="282" t="n"/>
    </row>
    <row customHeight="1" ht="15.75" r="563" s="452" spans="1:45">
      <c r="A563" s="44" t="n"/>
      <c r="G563" s="282" t="n"/>
      <c r="H563" s="282" t="n"/>
      <c r="K563" s="282" t="n"/>
      <c r="L563" s="282" t="n"/>
      <c r="O563" s="282" t="n"/>
      <c r="P563" s="282" t="n"/>
      <c r="S563" s="282" t="n"/>
      <c r="T563" s="282" t="n"/>
      <c r="W563" s="282" t="n"/>
      <c r="X563" s="282" t="n"/>
      <c r="Y563" s="282" t="n"/>
      <c r="Z563" s="282" t="n"/>
      <c r="AA563" s="282" t="n"/>
      <c r="AB563" s="282" t="n"/>
      <c r="AC563" s="529" t="n"/>
      <c r="AE563" s="282" t="n"/>
      <c r="AF563" s="282" t="n"/>
      <c r="AI563" s="282" t="n"/>
      <c r="AJ563" s="282" t="n"/>
      <c r="AM563" s="282" t="n"/>
      <c r="AN563" s="282" t="n"/>
      <c r="AQ563" s="282" t="n"/>
      <c r="AR563" s="282" t="n"/>
    </row>
    <row customHeight="1" ht="15.75" r="564" s="452" spans="1:45">
      <c r="A564" s="44" t="n"/>
      <c r="G564" s="282" t="n"/>
      <c r="H564" s="282" t="n"/>
      <c r="K564" s="282" t="n"/>
      <c r="L564" s="282" t="n"/>
      <c r="O564" s="282" t="n"/>
      <c r="P564" s="282" t="n"/>
      <c r="S564" s="282" t="n"/>
      <c r="T564" s="282" t="n"/>
      <c r="W564" s="282" t="n"/>
      <c r="X564" s="282" t="n"/>
      <c r="Y564" s="282" t="n"/>
      <c r="Z564" s="282" t="n"/>
      <c r="AA564" s="282" t="n"/>
      <c r="AB564" s="282" t="n"/>
      <c r="AC564" s="529" t="n"/>
      <c r="AE564" s="282" t="n"/>
      <c r="AF564" s="282" t="n"/>
      <c r="AI564" s="282" t="n"/>
      <c r="AJ564" s="282" t="n"/>
      <c r="AM564" s="282" t="n"/>
      <c r="AN564" s="282" t="n"/>
      <c r="AQ564" s="282" t="n"/>
      <c r="AR564" s="282" t="n"/>
    </row>
    <row customHeight="1" ht="15.75" r="565" s="452" spans="1:45">
      <c r="A565" s="44" t="n"/>
      <c r="G565" s="282" t="n"/>
      <c r="H565" s="282" t="n"/>
      <c r="K565" s="282" t="n"/>
      <c r="L565" s="282" t="n"/>
      <c r="O565" s="282" t="n"/>
      <c r="P565" s="282" t="n"/>
      <c r="S565" s="282" t="n"/>
      <c r="T565" s="282" t="n"/>
      <c r="W565" s="282" t="n"/>
      <c r="X565" s="282" t="n"/>
      <c r="Y565" s="282" t="n"/>
      <c r="Z565" s="282" t="n"/>
      <c r="AA565" s="282" t="n"/>
      <c r="AB565" s="282" t="n"/>
      <c r="AC565" s="529" t="n"/>
      <c r="AE565" s="282" t="n"/>
      <c r="AF565" s="282" t="n"/>
      <c r="AI565" s="282" t="n"/>
      <c r="AJ565" s="282" t="n"/>
      <c r="AM565" s="282" t="n"/>
      <c r="AN565" s="282" t="n"/>
      <c r="AQ565" s="282" t="n"/>
      <c r="AR565" s="282" t="n"/>
    </row>
    <row customHeight="1" ht="15.75" r="566" s="452" spans="1:45">
      <c r="A566" s="44" t="n"/>
      <c r="G566" s="282" t="n"/>
      <c r="H566" s="282" t="n"/>
      <c r="K566" s="282" t="n"/>
      <c r="L566" s="282" t="n"/>
      <c r="O566" s="282" t="n"/>
      <c r="P566" s="282" t="n"/>
      <c r="S566" s="282" t="n"/>
      <c r="T566" s="282" t="n"/>
      <c r="W566" s="282" t="n"/>
      <c r="X566" s="282" t="n"/>
      <c r="Y566" s="282" t="n"/>
      <c r="Z566" s="282" t="n"/>
      <c r="AA566" s="282" t="n"/>
      <c r="AB566" s="282" t="n"/>
      <c r="AC566" s="529" t="n"/>
      <c r="AE566" s="282" t="n"/>
      <c r="AF566" s="282" t="n"/>
      <c r="AI566" s="282" t="n"/>
      <c r="AJ566" s="282" t="n"/>
      <c r="AM566" s="282" t="n"/>
      <c r="AN566" s="282" t="n"/>
      <c r="AQ566" s="282" t="n"/>
      <c r="AR566" s="282" t="n"/>
    </row>
    <row customHeight="1" ht="15.75" r="567" s="452" spans="1:45">
      <c r="A567" s="44" t="n"/>
      <c r="G567" s="282" t="n"/>
      <c r="H567" s="282" t="n"/>
      <c r="K567" s="282" t="n"/>
      <c r="L567" s="282" t="n"/>
      <c r="O567" s="282" t="n"/>
      <c r="P567" s="282" t="n"/>
      <c r="S567" s="282" t="n"/>
      <c r="T567" s="282" t="n"/>
      <c r="W567" s="282" t="n"/>
      <c r="X567" s="282" t="n"/>
      <c r="Y567" s="282" t="n"/>
      <c r="Z567" s="282" t="n"/>
      <c r="AA567" s="282" t="n"/>
      <c r="AB567" s="282" t="n"/>
      <c r="AC567" s="529" t="n"/>
      <c r="AE567" s="282" t="n"/>
      <c r="AF567" s="282" t="n"/>
      <c r="AI567" s="282" t="n"/>
      <c r="AJ567" s="282" t="n"/>
      <c r="AM567" s="282" t="n"/>
      <c r="AN567" s="282" t="n"/>
      <c r="AQ567" s="282" t="n"/>
      <c r="AR567" s="282" t="n"/>
    </row>
    <row customHeight="1" ht="15.75" r="568" s="452" spans="1:45">
      <c r="A568" s="44" t="n"/>
      <c r="G568" s="282" t="n"/>
      <c r="H568" s="282" t="n"/>
      <c r="K568" s="282" t="n"/>
      <c r="L568" s="282" t="n"/>
      <c r="O568" s="282" t="n"/>
      <c r="P568" s="282" t="n"/>
      <c r="S568" s="282" t="n"/>
      <c r="T568" s="282" t="n"/>
      <c r="W568" s="282" t="n"/>
      <c r="X568" s="282" t="n"/>
      <c r="Y568" s="282" t="n"/>
      <c r="Z568" s="282" t="n"/>
      <c r="AA568" s="282" t="n"/>
      <c r="AB568" s="282" t="n"/>
      <c r="AC568" s="529" t="n"/>
      <c r="AE568" s="282" t="n"/>
      <c r="AF568" s="282" t="n"/>
      <c r="AI568" s="282" t="n"/>
      <c r="AJ568" s="282" t="n"/>
      <c r="AM568" s="282" t="n"/>
      <c r="AN568" s="282" t="n"/>
      <c r="AQ568" s="282" t="n"/>
      <c r="AR568" s="282" t="n"/>
    </row>
    <row customHeight="1" ht="15.75" r="569" s="452" spans="1:45">
      <c r="A569" s="44" t="n"/>
      <c r="G569" s="282" t="n"/>
      <c r="H569" s="282" t="n"/>
      <c r="K569" s="282" t="n"/>
      <c r="L569" s="282" t="n"/>
      <c r="O569" s="282" t="n"/>
      <c r="P569" s="282" t="n"/>
      <c r="S569" s="282" t="n"/>
      <c r="T569" s="282" t="n"/>
      <c r="W569" s="282" t="n"/>
      <c r="X569" s="282" t="n"/>
      <c r="Y569" s="282" t="n"/>
      <c r="Z569" s="282" t="n"/>
      <c r="AA569" s="282" t="n"/>
      <c r="AB569" s="282" t="n"/>
      <c r="AC569" s="529" t="n"/>
      <c r="AE569" s="282" t="n"/>
      <c r="AF569" s="282" t="n"/>
      <c r="AI569" s="282" t="n"/>
      <c r="AJ569" s="282" t="n"/>
      <c r="AM569" s="282" t="n"/>
      <c r="AN569" s="282" t="n"/>
      <c r="AQ569" s="282" t="n"/>
      <c r="AR569" s="282" t="n"/>
    </row>
    <row customHeight="1" ht="15.75" r="570" s="452" spans="1:45">
      <c r="A570" s="44" t="n"/>
      <c r="G570" s="282" t="n"/>
      <c r="H570" s="282" t="n"/>
      <c r="K570" s="282" t="n"/>
      <c r="L570" s="282" t="n"/>
      <c r="O570" s="282" t="n"/>
      <c r="P570" s="282" t="n"/>
      <c r="S570" s="282" t="n"/>
      <c r="T570" s="282" t="n"/>
      <c r="W570" s="282" t="n"/>
      <c r="X570" s="282" t="n"/>
      <c r="Y570" s="282" t="n"/>
      <c r="Z570" s="282" t="n"/>
      <c r="AA570" s="282" t="n"/>
      <c r="AB570" s="282" t="n"/>
      <c r="AC570" s="529" t="n"/>
      <c r="AE570" s="282" t="n"/>
      <c r="AF570" s="282" t="n"/>
      <c r="AI570" s="282" t="n"/>
      <c r="AJ570" s="282" t="n"/>
      <c r="AM570" s="282" t="n"/>
      <c r="AN570" s="282" t="n"/>
      <c r="AQ570" s="282" t="n"/>
      <c r="AR570" s="282" t="n"/>
    </row>
    <row customHeight="1" ht="15.75" r="571" s="452" spans="1:45">
      <c r="A571" s="44" t="n"/>
      <c r="G571" s="282" t="n"/>
      <c r="H571" s="282" t="n"/>
      <c r="K571" s="282" t="n"/>
      <c r="L571" s="282" t="n"/>
      <c r="O571" s="282" t="n"/>
      <c r="P571" s="282" t="n"/>
      <c r="S571" s="282" t="n"/>
      <c r="T571" s="282" t="n"/>
      <c r="W571" s="282" t="n"/>
      <c r="X571" s="282" t="n"/>
      <c r="Y571" s="282" t="n"/>
      <c r="Z571" s="282" t="n"/>
      <c r="AA571" s="282" t="n"/>
      <c r="AB571" s="282" t="n"/>
      <c r="AC571" s="529" t="n"/>
      <c r="AE571" s="282" t="n"/>
      <c r="AF571" s="282" t="n"/>
      <c r="AI571" s="282" t="n"/>
      <c r="AJ571" s="282" t="n"/>
      <c r="AM571" s="282" t="n"/>
      <c r="AN571" s="282" t="n"/>
      <c r="AQ571" s="282" t="n"/>
      <c r="AR571" s="282" t="n"/>
    </row>
    <row customHeight="1" ht="15.75" r="572" s="452" spans="1:45">
      <c r="A572" s="44" t="n"/>
      <c r="G572" s="282" t="n"/>
      <c r="H572" s="282" t="n"/>
      <c r="K572" s="282" t="n"/>
      <c r="L572" s="282" t="n"/>
      <c r="O572" s="282" t="n"/>
      <c r="P572" s="282" t="n"/>
      <c r="S572" s="282" t="n"/>
      <c r="T572" s="282" t="n"/>
      <c r="W572" s="282" t="n"/>
      <c r="X572" s="282" t="n"/>
      <c r="Y572" s="282" t="n"/>
      <c r="Z572" s="282" t="n"/>
      <c r="AA572" s="282" t="n"/>
      <c r="AB572" s="282" t="n"/>
      <c r="AC572" s="529" t="n"/>
      <c r="AE572" s="282" t="n"/>
      <c r="AF572" s="282" t="n"/>
      <c r="AI572" s="282" t="n"/>
      <c r="AJ572" s="282" t="n"/>
      <c r="AM572" s="282" t="n"/>
      <c r="AN572" s="282" t="n"/>
      <c r="AQ572" s="282" t="n"/>
      <c r="AR572" s="282" t="n"/>
    </row>
    <row customHeight="1" ht="15.75" r="573" s="452" spans="1:45">
      <c r="A573" s="44" t="n"/>
      <c r="G573" s="282" t="n"/>
      <c r="H573" s="282" t="n"/>
      <c r="K573" s="282" t="n"/>
      <c r="L573" s="282" t="n"/>
      <c r="O573" s="282" t="n"/>
      <c r="P573" s="282" t="n"/>
      <c r="S573" s="282" t="n"/>
      <c r="T573" s="282" t="n"/>
      <c r="W573" s="282" t="n"/>
      <c r="X573" s="282" t="n"/>
      <c r="Y573" s="282" t="n"/>
      <c r="Z573" s="282" t="n"/>
      <c r="AA573" s="282" t="n"/>
      <c r="AB573" s="282" t="n"/>
      <c r="AC573" s="529" t="n"/>
      <c r="AE573" s="282" t="n"/>
      <c r="AF573" s="282" t="n"/>
      <c r="AI573" s="282" t="n"/>
      <c r="AJ573" s="282" t="n"/>
      <c r="AM573" s="282" t="n"/>
      <c r="AN573" s="282" t="n"/>
      <c r="AQ573" s="282" t="n"/>
      <c r="AR573" s="282" t="n"/>
    </row>
    <row customHeight="1" ht="15.75" r="574" s="452" spans="1:45">
      <c r="A574" s="44" t="n"/>
      <c r="G574" s="282" t="n"/>
      <c r="H574" s="282" t="n"/>
      <c r="K574" s="282" t="n"/>
      <c r="L574" s="282" t="n"/>
      <c r="O574" s="282" t="n"/>
      <c r="P574" s="282" t="n"/>
      <c r="S574" s="282" t="n"/>
      <c r="T574" s="282" t="n"/>
      <c r="W574" s="282" t="n"/>
      <c r="X574" s="282" t="n"/>
      <c r="Y574" s="282" t="n"/>
      <c r="Z574" s="282" t="n"/>
      <c r="AA574" s="282" t="n"/>
      <c r="AB574" s="282" t="n"/>
      <c r="AC574" s="529" t="n"/>
      <c r="AE574" s="282" t="n"/>
      <c r="AF574" s="282" t="n"/>
      <c r="AI574" s="282" t="n"/>
      <c r="AJ574" s="282" t="n"/>
      <c r="AM574" s="282" t="n"/>
      <c r="AN574" s="282" t="n"/>
      <c r="AQ574" s="282" t="n"/>
      <c r="AR574" s="282" t="n"/>
    </row>
    <row customHeight="1" ht="15.75" r="575" s="452" spans="1:45">
      <c r="A575" s="44" t="n"/>
      <c r="G575" s="282" t="n"/>
      <c r="H575" s="282" t="n"/>
      <c r="K575" s="282" t="n"/>
      <c r="L575" s="282" t="n"/>
      <c r="O575" s="282" t="n"/>
      <c r="P575" s="282" t="n"/>
      <c r="S575" s="282" t="n"/>
      <c r="T575" s="282" t="n"/>
      <c r="W575" s="282" t="n"/>
      <c r="X575" s="282" t="n"/>
      <c r="Y575" s="282" t="n"/>
      <c r="Z575" s="282" t="n"/>
      <c r="AA575" s="282" t="n"/>
      <c r="AB575" s="282" t="n"/>
      <c r="AC575" s="529" t="n"/>
      <c r="AE575" s="282" t="n"/>
      <c r="AF575" s="282" t="n"/>
      <c r="AI575" s="282" t="n"/>
      <c r="AJ575" s="282" t="n"/>
      <c r="AM575" s="282" t="n"/>
      <c r="AN575" s="282" t="n"/>
      <c r="AQ575" s="282" t="n"/>
      <c r="AR575" s="282" t="n"/>
    </row>
    <row customHeight="1" ht="15.75" r="576" s="452" spans="1:45">
      <c r="A576" s="44" t="n"/>
      <c r="G576" s="282" t="n"/>
      <c r="H576" s="282" t="n"/>
      <c r="K576" s="282" t="n"/>
      <c r="L576" s="282" t="n"/>
      <c r="O576" s="282" t="n"/>
      <c r="P576" s="282" t="n"/>
      <c r="S576" s="282" t="n"/>
      <c r="T576" s="282" t="n"/>
      <c r="W576" s="282" t="n"/>
      <c r="X576" s="282" t="n"/>
      <c r="Y576" s="282" t="n"/>
      <c r="Z576" s="282" t="n"/>
      <c r="AA576" s="282" t="n"/>
      <c r="AB576" s="282" t="n"/>
      <c r="AC576" s="529" t="n"/>
      <c r="AE576" s="282" t="n"/>
      <c r="AF576" s="282" t="n"/>
      <c r="AI576" s="282" t="n"/>
      <c r="AJ576" s="282" t="n"/>
      <c r="AM576" s="282" t="n"/>
      <c r="AN576" s="282" t="n"/>
      <c r="AQ576" s="282" t="n"/>
      <c r="AR576" s="282" t="n"/>
    </row>
    <row customHeight="1" ht="15.75" r="577" s="452" spans="1:45">
      <c r="A577" s="44" t="n"/>
      <c r="G577" s="282" t="n"/>
      <c r="H577" s="282" t="n"/>
      <c r="K577" s="282" t="n"/>
      <c r="L577" s="282" t="n"/>
      <c r="O577" s="282" t="n"/>
      <c r="P577" s="282" t="n"/>
      <c r="S577" s="282" t="n"/>
      <c r="T577" s="282" t="n"/>
      <c r="W577" s="282" t="n"/>
      <c r="X577" s="282" t="n"/>
      <c r="Y577" s="282" t="n"/>
      <c r="Z577" s="282" t="n"/>
      <c r="AA577" s="282" t="n"/>
      <c r="AB577" s="282" t="n"/>
      <c r="AC577" s="529" t="n"/>
      <c r="AE577" s="282" t="n"/>
      <c r="AF577" s="282" t="n"/>
      <c r="AI577" s="282" t="n"/>
      <c r="AJ577" s="282" t="n"/>
      <c r="AM577" s="282" t="n"/>
      <c r="AN577" s="282" t="n"/>
      <c r="AQ577" s="282" t="n"/>
      <c r="AR577" s="282" t="n"/>
    </row>
    <row customHeight="1" ht="15.75" r="578" s="452" spans="1:45">
      <c r="A578" s="44" t="n"/>
      <c r="G578" s="282" t="n"/>
      <c r="H578" s="282" t="n"/>
      <c r="K578" s="282" t="n"/>
      <c r="L578" s="282" t="n"/>
      <c r="O578" s="282" t="n"/>
      <c r="P578" s="282" t="n"/>
      <c r="S578" s="282" t="n"/>
      <c r="T578" s="282" t="n"/>
      <c r="W578" s="282" t="n"/>
      <c r="X578" s="282" t="n"/>
      <c r="Y578" s="282" t="n"/>
      <c r="Z578" s="282" t="n"/>
      <c r="AA578" s="282" t="n"/>
      <c r="AB578" s="282" t="n"/>
      <c r="AC578" s="529" t="n"/>
      <c r="AE578" s="282" t="n"/>
      <c r="AF578" s="282" t="n"/>
      <c r="AI578" s="282" t="n"/>
      <c r="AJ578" s="282" t="n"/>
      <c r="AM578" s="282" t="n"/>
      <c r="AN578" s="282" t="n"/>
      <c r="AQ578" s="282" t="n"/>
      <c r="AR578" s="282" t="n"/>
    </row>
    <row customHeight="1" ht="15.75" r="579" s="452" spans="1:45">
      <c r="A579" s="44" t="n"/>
      <c r="G579" s="282" t="n"/>
      <c r="H579" s="282" t="n"/>
      <c r="K579" s="282" t="n"/>
      <c r="L579" s="282" t="n"/>
      <c r="O579" s="282" t="n"/>
      <c r="P579" s="282" t="n"/>
      <c r="S579" s="282" t="n"/>
      <c r="T579" s="282" t="n"/>
      <c r="W579" s="282" t="n"/>
      <c r="X579" s="282" t="n"/>
      <c r="Y579" s="282" t="n"/>
      <c r="Z579" s="282" t="n"/>
      <c r="AA579" s="282" t="n"/>
      <c r="AB579" s="282" t="n"/>
      <c r="AC579" s="529" t="n"/>
      <c r="AE579" s="282" t="n"/>
      <c r="AF579" s="282" t="n"/>
      <c r="AI579" s="282" t="n"/>
      <c r="AJ579" s="282" t="n"/>
      <c r="AM579" s="282" t="n"/>
      <c r="AN579" s="282" t="n"/>
      <c r="AQ579" s="282" t="n"/>
      <c r="AR579" s="282" t="n"/>
    </row>
    <row customHeight="1" ht="15.75" r="580" s="452" spans="1:45">
      <c r="A580" s="44" t="n"/>
      <c r="G580" s="282" t="n"/>
      <c r="H580" s="282" t="n"/>
      <c r="K580" s="282" t="n"/>
      <c r="L580" s="282" t="n"/>
      <c r="O580" s="282" t="n"/>
      <c r="P580" s="282" t="n"/>
      <c r="S580" s="282" t="n"/>
      <c r="T580" s="282" t="n"/>
      <c r="W580" s="282" t="n"/>
      <c r="X580" s="282" t="n"/>
      <c r="Y580" s="282" t="n"/>
      <c r="Z580" s="282" t="n"/>
      <c r="AA580" s="282" t="n"/>
      <c r="AB580" s="282" t="n"/>
      <c r="AC580" s="529" t="n"/>
      <c r="AE580" s="282" t="n"/>
      <c r="AF580" s="282" t="n"/>
      <c r="AI580" s="282" t="n"/>
      <c r="AJ580" s="282" t="n"/>
      <c r="AM580" s="282" t="n"/>
      <c r="AN580" s="282" t="n"/>
      <c r="AQ580" s="282" t="n"/>
      <c r="AR580" s="282" t="n"/>
    </row>
    <row customHeight="1" ht="15.75" r="581" s="452" spans="1:45">
      <c r="A581" s="44" t="n"/>
      <c r="G581" s="282" t="n"/>
      <c r="H581" s="282" t="n"/>
      <c r="K581" s="282" t="n"/>
      <c r="L581" s="282" t="n"/>
      <c r="O581" s="282" t="n"/>
      <c r="P581" s="282" t="n"/>
      <c r="S581" s="282" t="n"/>
      <c r="T581" s="282" t="n"/>
      <c r="W581" s="282" t="n"/>
      <c r="X581" s="282" t="n"/>
      <c r="Y581" s="282" t="n"/>
      <c r="Z581" s="282" t="n"/>
      <c r="AA581" s="282" t="n"/>
      <c r="AB581" s="282" t="n"/>
      <c r="AC581" s="529" t="n"/>
      <c r="AE581" s="282" t="n"/>
      <c r="AF581" s="282" t="n"/>
      <c r="AI581" s="282" t="n"/>
      <c r="AJ581" s="282" t="n"/>
      <c r="AM581" s="282" t="n"/>
      <c r="AN581" s="282" t="n"/>
      <c r="AQ581" s="282" t="n"/>
      <c r="AR581" s="282" t="n"/>
    </row>
    <row customHeight="1" ht="15.75" r="582" s="452" spans="1:45">
      <c r="A582" s="44" t="n"/>
      <c r="G582" s="282" t="n"/>
      <c r="H582" s="282" t="n"/>
      <c r="K582" s="282" t="n"/>
      <c r="L582" s="282" t="n"/>
      <c r="O582" s="282" t="n"/>
      <c r="P582" s="282" t="n"/>
      <c r="S582" s="282" t="n"/>
      <c r="T582" s="282" t="n"/>
      <c r="W582" s="282" t="n"/>
      <c r="X582" s="282" t="n"/>
      <c r="Y582" s="282" t="n"/>
      <c r="Z582" s="282" t="n"/>
      <c r="AA582" s="282" t="n"/>
      <c r="AB582" s="282" t="n"/>
      <c r="AC582" s="529" t="n"/>
      <c r="AE582" s="282" t="n"/>
      <c r="AF582" s="282" t="n"/>
      <c r="AI582" s="282" t="n"/>
      <c r="AJ582" s="282" t="n"/>
      <c r="AM582" s="282" t="n"/>
      <c r="AN582" s="282" t="n"/>
      <c r="AQ582" s="282" t="n"/>
      <c r="AR582" s="282" t="n"/>
    </row>
    <row customHeight="1" ht="15.75" r="583" s="452" spans="1:45">
      <c r="A583" s="44" t="n"/>
      <c r="G583" s="282" t="n"/>
      <c r="H583" s="282" t="n"/>
      <c r="K583" s="282" t="n"/>
      <c r="L583" s="282" t="n"/>
      <c r="O583" s="282" t="n"/>
      <c r="P583" s="282" t="n"/>
      <c r="S583" s="282" t="n"/>
      <c r="T583" s="282" t="n"/>
      <c r="W583" s="282" t="n"/>
      <c r="X583" s="282" t="n"/>
      <c r="Y583" s="282" t="n"/>
      <c r="Z583" s="282" t="n"/>
      <c r="AA583" s="282" t="n"/>
      <c r="AB583" s="282" t="n"/>
      <c r="AC583" s="529" t="n"/>
      <c r="AE583" s="282" t="n"/>
      <c r="AF583" s="282" t="n"/>
      <c r="AI583" s="282" t="n"/>
      <c r="AJ583" s="282" t="n"/>
      <c r="AM583" s="282" t="n"/>
      <c r="AN583" s="282" t="n"/>
      <c r="AQ583" s="282" t="n"/>
      <c r="AR583" s="282" t="n"/>
    </row>
    <row customHeight="1" ht="15.75" r="584" s="452" spans="1:45">
      <c r="A584" s="44" t="n"/>
      <c r="G584" s="282" t="n"/>
      <c r="H584" s="282" t="n"/>
      <c r="K584" s="282" t="n"/>
      <c r="L584" s="282" t="n"/>
      <c r="O584" s="282" t="n"/>
      <c r="P584" s="282" t="n"/>
      <c r="S584" s="282" t="n"/>
      <c r="T584" s="282" t="n"/>
      <c r="W584" s="282" t="n"/>
      <c r="X584" s="282" t="n"/>
      <c r="Y584" s="282" t="n"/>
      <c r="Z584" s="282" t="n"/>
      <c r="AA584" s="282" t="n"/>
      <c r="AB584" s="282" t="n"/>
      <c r="AC584" s="529" t="n"/>
      <c r="AE584" s="282" t="n"/>
      <c r="AF584" s="282" t="n"/>
      <c r="AI584" s="282" t="n"/>
      <c r="AJ584" s="282" t="n"/>
      <c r="AM584" s="282" t="n"/>
      <c r="AN584" s="282" t="n"/>
      <c r="AQ584" s="282" t="n"/>
      <c r="AR584" s="282" t="n"/>
    </row>
    <row customHeight="1" ht="15.75" r="585" s="452" spans="1:45">
      <c r="A585" s="44" t="n"/>
      <c r="G585" s="282" t="n"/>
      <c r="H585" s="282" t="n"/>
      <c r="K585" s="282" t="n"/>
      <c r="L585" s="282" t="n"/>
      <c r="O585" s="282" t="n"/>
      <c r="P585" s="282" t="n"/>
      <c r="S585" s="282" t="n"/>
      <c r="T585" s="282" t="n"/>
      <c r="W585" s="282" t="n"/>
      <c r="X585" s="282" t="n"/>
      <c r="Y585" s="282" t="n"/>
      <c r="Z585" s="282" t="n"/>
      <c r="AA585" s="282" t="n"/>
      <c r="AB585" s="282" t="n"/>
      <c r="AC585" s="529" t="n"/>
      <c r="AE585" s="282" t="n"/>
      <c r="AF585" s="282" t="n"/>
      <c r="AI585" s="282" t="n"/>
      <c r="AJ585" s="282" t="n"/>
      <c r="AM585" s="282" t="n"/>
      <c r="AN585" s="282" t="n"/>
      <c r="AQ585" s="282" t="n"/>
      <c r="AR585" s="282" t="n"/>
    </row>
    <row customHeight="1" ht="15.75" r="586" s="452" spans="1:45">
      <c r="A586" s="44" t="n"/>
      <c r="G586" s="282" t="n"/>
      <c r="H586" s="282" t="n"/>
      <c r="K586" s="282" t="n"/>
      <c r="L586" s="282" t="n"/>
      <c r="O586" s="282" t="n"/>
      <c r="P586" s="282" t="n"/>
      <c r="S586" s="282" t="n"/>
      <c r="T586" s="282" t="n"/>
      <c r="W586" s="282" t="n"/>
      <c r="X586" s="282" t="n"/>
      <c r="Y586" s="282" t="n"/>
      <c r="Z586" s="282" t="n"/>
      <c r="AA586" s="282" t="n"/>
      <c r="AB586" s="282" t="n"/>
      <c r="AC586" s="529" t="n"/>
      <c r="AE586" s="282" t="n"/>
      <c r="AF586" s="282" t="n"/>
      <c r="AI586" s="282" t="n"/>
      <c r="AJ586" s="282" t="n"/>
      <c r="AM586" s="282" t="n"/>
      <c r="AN586" s="282" t="n"/>
      <c r="AQ586" s="282" t="n"/>
      <c r="AR586" s="282" t="n"/>
    </row>
    <row customHeight="1" ht="15.75" r="587" s="452" spans="1:45">
      <c r="A587" s="44" t="n"/>
      <c r="G587" s="282" t="n"/>
      <c r="H587" s="282" t="n"/>
      <c r="K587" s="282" t="n"/>
      <c r="L587" s="282" t="n"/>
      <c r="O587" s="282" t="n"/>
      <c r="P587" s="282" t="n"/>
      <c r="S587" s="282" t="n"/>
      <c r="T587" s="282" t="n"/>
      <c r="W587" s="282" t="n"/>
      <c r="X587" s="282" t="n"/>
      <c r="Y587" s="282" t="n"/>
      <c r="Z587" s="282" t="n"/>
      <c r="AA587" s="282" t="n"/>
      <c r="AB587" s="282" t="n"/>
      <c r="AC587" s="529" t="n"/>
      <c r="AE587" s="282" t="n"/>
      <c r="AF587" s="282" t="n"/>
      <c r="AI587" s="282" t="n"/>
      <c r="AJ587" s="282" t="n"/>
      <c r="AM587" s="282" t="n"/>
      <c r="AN587" s="282" t="n"/>
      <c r="AQ587" s="282" t="n"/>
      <c r="AR587" s="282" t="n"/>
    </row>
    <row customHeight="1" ht="15.75" r="588" s="452" spans="1:45">
      <c r="A588" s="44" t="n"/>
      <c r="G588" s="282" t="n"/>
      <c r="H588" s="282" t="n"/>
      <c r="K588" s="282" t="n"/>
      <c r="L588" s="282" t="n"/>
      <c r="O588" s="282" t="n"/>
      <c r="P588" s="282" t="n"/>
      <c r="S588" s="282" t="n"/>
      <c r="T588" s="282" t="n"/>
      <c r="W588" s="282" t="n"/>
      <c r="X588" s="282" t="n"/>
      <c r="Y588" s="282" t="n"/>
      <c r="Z588" s="282" t="n"/>
      <c r="AA588" s="282" t="n"/>
      <c r="AB588" s="282" t="n"/>
      <c r="AC588" s="529" t="n"/>
      <c r="AE588" s="282" t="n"/>
      <c r="AF588" s="282" t="n"/>
      <c r="AI588" s="282" t="n"/>
      <c r="AJ588" s="282" t="n"/>
      <c r="AM588" s="282" t="n"/>
      <c r="AN588" s="282" t="n"/>
      <c r="AQ588" s="282" t="n"/>
      <c r="AR588" s="282" t="n"/>
    </row>
    <row customHeight="1" ht="15.75" r="589" s="452" spans="1:45">
      <c r="A589" s="44" t="n"/>
      <c r="G589" s="282" t="n"/>
      <c r="H589" s="282" t="n"/>
      <c r="K589" s="282" t="n"/>
      <c r="L589" s="282" t="n"/>
      <c r="O589" s="282" t="n"/>
      <c r="P589" s="282" t="n"/>
      <c r="S589" s="282" t="n"/>
      <c r="T589" s="282" t="n"/>
      <c r="W589" s="282" t="n"/>
      <c r="X589" s="282" t="n"/>
      <c r="Y589" s="282" t="n"/>
      <c r="Z589" s="282" t="n"/>
      <c r="AA589" s="282" t="n"/>
      <c r="AB589" s="282" t="n"/>
      <c r="AC589" s="529" t="n"/>
      <c r="AE589" s="282" t="n"/>
      <c r="AF589" s="282" t="n"/>
      <c r="AI589" s="282" t="n"/>
      <c r="AJ589" s="282" t="n"/>
      <c r="AM589" s="282" t="n"/>
      <c r="AN589" s="282" t="n"/>
      <c r="AQ589" s="282" t="n"/>
      <c r="AR589" s="282" t="n"/>
    </row>
    <row customHeight="1" ht="15.75" r="590" s="452" spans="1:45">
      <c r="A590" s="44" t="n"/>
      <c r="G590" s="282" t="n"/>
      <c r="H590" s="282" t="n"/>
      <c r="K590" s="282" t="n"/>
      <c r="L590" s="282" t="n"/>
      <c r="O590" s="282" t="n"/>
      <c r="P590" s="282" t="n"/>
      <c r="S590" s="282" t="n"/>
      <c r="T590" s="282" t="n"/>
      <c r="W590" s="282" t="n"/>
      <c r="X590" s="282" t="n"/>
      <c r="Y590" s="282" t="n"/>
      <c r="Z590" s="282" t="n"/>
      <c r="AA590" s="282" t="n"/>
      <c r="AB590" s="282" t="n"/>
      <c r="AC590" s="529" t="n"/>
      <c r="AE590" s="282" t="n"/>
      <c r="AF590" s="282" t="n"/>
      <c r="AI590" s="282" t="n"/>
      <c r="AJ590" s="282" t="n"/>
      <c r="AM590" s="282" t="n"/>
      <c r="AN590" s="282" t="n"/>
      <c r="AQ590" s="282" t="n"/>
      <c r="AR590" s="282" t="n"/>
    </row>
    <row customHeight="1" ht="15.75" r="591" s="452" spans="1:45">
      <c r="A591" s="44" t="n"/>
      <c r="G591" s="282" t="n"/>
      <c r="H591" s="282" t="n"/>
      <c r="K591" s="282" t="n"/>
      <c r="L591" s="282" t="n"/>
      <c r="O591" s="282" t="n"/>
      <c r="P591" s="282" t="n"/>
      <c r="S591" s="282" t="n"/>
      <c r="T591" s="282" t="n"/>
      <c r="W591" s="282" t="n"/>
      <c r="X591" s="282" t="n"/>
      <c r="Y591" s="282" t="n"/>
      <c r="Z591" s="282" t="n"/>
      <c r="AA591" s="282" t="n"/>
      <c r="AB591" s="282" t="n"/>
      <c r="AC591" s="529" t="n"/>
      <c r="AE591" s="282" t="n"/>
      <c r="AF591" s="282" t="n"/>
      <c r="AI591" s="282" t="n"/>
      <c r="AJ591" s="282" t="n"/>
      <c r="AM591" s="282" t="n"/>
      <c r="AN591" s="282" t="n"/>
      <c r="AQ591" s="282" t="n"/>
      <c r="AR591" s="282" t="n"/>
    </row>
    <row customHeight="1" ht="15.75" r="592" s="452" spans="1:45">
      <c r="A592" s="44" t="n"/>
      <c r="G592" s="282" t="n"/>
      <c r="H592" s="282" t="n"/>
      <c r="K592" s="282" t="n"/>
      <c r="L592" s="282" t="n"/>
      <c r="O592" s="282" t="n"/>
      <c r="P592" s="282" t="n"/>
      <c r="S592" s="282" t="n"/>
      <c r="T592" s="282" t="n"/>
      <c r="W592" s="282" t="n"/>
      <c r="X592" s="282" t="n"/>
      <c r="Y592" s="282" t="n"/>
      <c r="Z592" s="282" t="n"/>
      <c r="AA592" s="282" t="n"/>
      <c r="AB592" s="282" t="n"/>
      <c r="AC592" s="529" t="n"/>
      <c r="AE592" s="282" t="n"/>
      <c r="AF592" s="282" t="n"/>
      <c r="AI592" s="282" t="n"/>
      <c r="AJ592" s="282" t="n"/>
      <c r="AM592" s="282" t="n"/>
      <c r="AN592" s="282" t="n"/>
      <c r="AQ592" s="282" t="n"/>
      <c r="AR592" s="282" t="n"/>
    </row>
    <row customHeight="1" ht="15.75" r="593" s="452" spans="1:45">
      <c r="A593" s="44" t="n"/>
      <c r="G593" s="282" t="n"/>
      <c r="H593" s="282" t="n"/>
      <c r="K593" s="282" t="n"/>
      <c r="L593" s="282" t="n"/>
      <c r="O593" s="282" t="n"/>
      <c r="P593" s="282" t="n"/>
      <c r="S593" s="282" t="n"/>
      <c r="T593" s="282" t="n"/>
      <c r="W593" s="282" t="n"/>
      <c r="X593" s="282" t="n"/>
      <c r="Y593" s="282" t="n"/>
      <c r="Z593" s="282" t="n"/>
      <c r="AA593" s="282" t="n"/>
      <c r="AB593" s="282" t="n"/>
      <c r="AC593" s="529" t="n"/>
      <c r="AE593" s="282" t="n"/>
      <c r="AF593" s="282" t="n"/>
      <c r="AI593" s="282" t="n"/>
      <c r="AJ593" s="282" t="n"/>
      <c r="AM593" s="282" t="n"/>
      <c r="AN593" s="282" t="n"/>
      <c r="AQ593" s="282" t="n"/>
      <c r="AR593" s="282" t="n"/>
    </row>
    <row customHeight="1" ht="15.75" r="594" s="452" spans="1:45">
      <c r="A594" s="44" t="n"/>
      <c r="G594" s="282" t="n"/>
      <c r="H594" s="282" t="n"/>
      <c r="K594" s="282" t="n"/>
      <c r="L594" s="282" t="n"/>
      <c r="O594" s="282" t="n"/>
      <c r="P594" s="282" t="n"/>
      <c r="S594" s="282" t="n"/>
      <c r="T594" s="282" t="n"/>
      <c r="W594" s="282" t="n"/>
      <c r="X594" s="282" t="n"/>
      <c r="Y594" s="282" t="n"/>
      <c r="Z594" s="282" t="n"/>
      <c r="AA594" s="282" t="n"/>
      <c r="AB594" s="282" t="n"/>
      <c r="AC594" s="529" t="n"/>
      <c r="AE594" s="282" t="n"/>
      <c r="AF594" s="282" t="n"/>
      <c r="AI594" s="282" t="n"/>
      <c r="AJ594" s="282" t="n"/>
      <c r="AM594" s="282" t="n"/>
      <c r="AN594" s="282" t="n"/>
      <c r="AQ594" s="282" t="n"/>
      <c r="AR594" s="282" t="n"/>
    </row>
    <row customHeight="1" ht="15.75" r="595" s="452" spans="1:45">
      <c r="A595" s="44" t="n"/>
      <c r="G595" s="282" t="n"/>
      <c r="H595" s="282" t="n"/>
      <c r="K595" s="282" t="n"/>
      <c r="L595" s="282" t="n"/>
      <c r="O595" s="282" t="n"/>
      <c r="P595" s="282" t="n"/>
      <c r="S595" s="282" t="n"/>
      <c r="T595" s="282" t="n"/>
      <c r="W595" s="282" t="n"/>
      <c r="X595" s="282" t="n"/>
      <c r="Y595" s="282" t="n"/>
      <c r="Z595" s="282" t="n"/>
      <c r="AA595" s="282" t="n"/>
      <c r="AB595" s="282" t="n"/>
      <c r="AC595" s="529" t="n"/>
      <c r="AE595" s="282" t="n"/>
      <c r="AF595" s="282" t="n"/>
      <c r="AI595" s="282" t="n"/>
      <c r="AJ595" s="282" t="n"/>
      <c r="AM595" s="282" t="n"/>
      <c r="AN595" s="282" t="n"/>
      <c r="AQ595" s="282" t="n"/>
      <c r="AR595" s="282" t="n"/>
    </row>
    <row customHeight="1" ht="15.75" r="596" s="452" spans="1:45">
      <c r="A596" s="44" t="n"/>
      <c r="G596" s="282" t="n"/>
      <c r="H596" s="282" t="n"/>
      <c r="K596" s="282" t="n"/>
      <c r="L596" s="282" t="n"/>
      <c r="O596" s="282" t="n"/>
      <c r="P596" s="282" t="n"/>
      <c r="S596" s="282" t="n"/>
      <c r="T596" s="282" t="n"/>
      <c r="W596" s="282" t="n"/>
      <c r="X596" s="282" t="n"/>
      <c r="Y596" s="282" t="n"/>
      <c r="Z596" s="282" t="n"/>
      <c r="AA596" s="282" t="n"/>
      <c r="AB596" s="282" t="n"/>
      <c r="AC596" s="529" t="n"/>
      <c r="AE596" s="282" t="n"/>
      <c r="AF596" s="282" t="n"/>
      <c r="AI596" s="282" t="n"/>
      <c r="AJ596" s="282" t="n"/>
      <c r="AM596" s="282" t="n"/>
      <c r="AN596" s="282" t="n"/>
      <c r="AQ596" s="282" t="n"/>
      <c r="AR596" s="282" t="n"/>
    </row>
    <row customHeight="1" ht="15.75" r="597" s="452" spans="1:45">
      <c r="A597" s="44" t="n"/>
      <c r="G597" s="282" t="n"/>
      <c r="H597" s="282" t="n"/>
      <c r="K597" s="282" t="n"/>
      <c r="L597" s="282" t="n"/>
      <c r="O597" s="282" t="n"/>
      <c r="P597" s="282" t="n"/>
      <c r="S597" s="282" t="n"/>
      <c r="T597" s="282" t="n"/>
      <c r="W597" s="282" t="n"/>
      <c r="X597" s="282" t="n"/>
      <c r="Y597" s="282" t="n"/>
      <c r="Z597" s="282" t="n"/>
      <c r="AA597" s="282" t="n"/>
      <c r="AB597" s="282" t="n"/>
      <c r="AC597" s="529" t="n"/>
      <c r="AE597" s="282" t="n"/>
      <c r="AF597" s="282" t="n"/>
      <c r="AI597" s="282" t="n"/>
      <c r="AJ597" s="282" t="n"/>
      <c r="AM597" s="282" t="n"/>
      <c r="AN597" s="282" t="n"/>
      <c r="AQ597" s="282" t="n"/>
      <c r="AR597" s="282" t="n"/>
    </row>
    <row customHeight="1" ht="15.75" r="598" s="452" spans="1:45">
      <c r="A598" s="44" t="n"/>
      <c r="G598" s="282" t="n"/>
      <c r="H598" s="282" t="n"/>
      <c r="K598" s="282" t="n"/>
      <c r="L598" s="282" t="n"/>
      <c r="O598" s="282" t="n"/>
      <c r="P598" s="282" t="n"/>
      <c r="S598" s="282" t="n"/>
      <c r="T598" s="282" t="n"/>
      <c r="W598" s="282" t="n"/>
      <c r="X598" s="282" t="n"/>
      <c r="Y598" s="282" t="n"/>
      <c r="Z598" s="282" t="n"/>
      <c r="AA598" s="282" t="n"/>
      <c r="AB598" s="282" t="n"/>
      <c r="AC598" s="529" t="n"/>
      <c r="AE598" s="282" t="n"/>
      <c r="AF598" s="282" t="n"/>
      <c r="AI598" s="282" t="n"/>
      <c r="AJ598" s="282" t="n"/>
      <c r="AM598" s="282" t="n"/>
      <c r="AN598" s="282" t="n"/>
      <c r="AQ598" s="282" t="n"/>
      <c r="AR598" s="282" t="n"/>
    </row>
    <row customHeight="1" ht="15.75" r="599" s="452" spans="1:45">
      <c r="A599" s="44" t="n"/>
      <c r="G599" s="282" t="n"/>
      <c r="H599" s="282" t="n"/>
      <c r="K599" s="282" t="n"/>
      <c r="L599" s="282" t="n"/>
      <c r="O599" s="282" t="n"/>
      <c r="P599" s="282" t="n"/>
      <c r="S599" s="282" t="n"/>
      <c r="T599" s="282" t="n"/>
      <c r="W599" s="282" t="n"/>
      <c r="X599" s="282" t="n"/>
      <c r="Y599" s="282" t="n"/>
      <c r="Z599" s="282" t="n"/>
      <c r="AA599" s="282" t="n"/>
      <c r="AB599" s="282" t="n"/>
      <c r="AC599" s="529" t="n"/>
      <c r="AE599" s="282" t="n"/>
      <c r="AF599" s="282" t="n"/>
      <c r="AI599" s="282" t="n"/>
      <c r="AJ599" s="282" t="n"/>
      <c r="AM599" s="282" t="n"/>
      <c r="AN599" s="282" t="n"/>
      <c r="AQ599" s="282" t="n"/>
      <c r="AR599" s="282" t="n"/>
    </row>
    <row customHeight="1" ht="15.75" r="600" s="452" spans="1:45">
      <c r="A600" s="44" t="n"/>
      <c r="G600" s="282" t="n"/>
      <c r="H600" s="282" t="n"/>
      <c r="K600" s="282" t="n"/>
      <c r="L600" s="282" t="n"/>
      <c r="O600" s="282" t="n"/>
      <c r="P600" s="282" t="n"/>
      <c r="S600" s="282" t="n"/>
      <c r="T600" s="282" t="n"/>
      <c r="W600" s="282" t="n"/>
      <c r="X600" s="282" t="n"/>
      <c r="Y600" s="282" t="n"/>
      <c r="Z600" s="282" t="n"/>
      <c r="AA600" s="282" t="n"/>
      <c r="AB600" s="282" t="n"/>
      <c r="AC600" s="529" t="n"/>
      <c r="AE600" s="282" t="n"/>
      <c r="AF600" s="282" t="n"/>
      <c r="AI600" s="282" t="n"/>
      <c r="AJ600" s="282" t="n"/>
      <c r="AM600" s="282" t="n"/>
      <c r="AN600" s="282" t="n"/>
      <c r="AQ600" s="282" t="n"/>
      <c r="AR600" s="282" t="n"/>
    </row>
    <row customHeight="1" ht="15.75" r="601" s="452" spans="1:45">
      <c r="A601" s="44" t="n"/>
      <c r="G601" s="282" t="n"/>
      <c r="H601" s="282" t="n"/>
      <c r="K601" s="282" t="n"/>
      <c r="L601" s="282" t="n"/>
      <c r="O601" s="282" t="n"/>
      <c r="P601" s="282" t="n"/>
      <c r="S601" s="282" t="n"/>
      <c r="T601" s="282" t="n"/>
      <c r="W601" s="282" t="n"/>
      <c r="X601" s="282" t="n"/>
      <c r="Y601" s="282" t="n"/>
      <c r="Z601" s="282" t="n"/>
      <c r="AA601" s="282" t="n"/>
      <c r="AB601" s="282" t="n"/>
      <c r="AC601" s="529" t="n"/>
      <c r="AE601" s="282" t="n"/>
      <c r="AF601" s="282" t="n"/>
      <c r="AI601" s="282" t="n"/>
      <c r="AJ601" s="282" t="n"/>
      <c r="AM601" s="282" t="n"/>
      <c r="AN601" s="282" t="n"/>
      <c r="AQ601" s="282" t="n"/>
      <c r="AR601" s="282" t="n"/>
    </row>
    <row customHeight="1" ht="15.75" r="602" s="452" spans="1:45">
      <c r="A602" s="44" t="n"/>
      <c r="G602" s="282" t="n"/>
      <c r="H602" s="282" t="n"/>
      <c r="K602" s="282" t="n"/>
      <c r="L602" s="282" t="n"/>
      <c r="O602" s="282" t="n"/>
      <c r="P602" s="282" t="n"/>
      <c r="S602" s="282" t="n"/>
      <c r="T602" s="282" t="n"/>
      <c r="W602" s="282" t="n"/>
      <c r="X602" s="282" t="n"/>
      <c r="Y602" s="282" t="n"/>
      <c r="Z602" s="282" t="n"/>
      <c r="AA602" s="282" t="n"/>
      <c r="AB602" s="282" t="n"/>
      <c r="AC602" s="529" t="n"/>
      <c r="AE602" s="282" t="n"/>
      <c r="AF602" s="282" t="n"/>
      <c r="AI602" s="282" t="n"/>
      <c r="AJ602" s="282" t="n"/>
      <c r="AM602" s="282" t="n"/>
      <c r="AN602" s="282" t="n"/>
      <c r="AQ602" s="282" t="n"/>
      <c r="AR602" s="282" t="n"/>
    </row>
    <row customHeight="1" ht="15.75" r="603" s="452" spans="1:45">
      <c r="A603" s="44" t="n"/>
      <c r="G603" s="282" t="n"/>
      <c r="H603" s="282" t="n"/>
      <c r="K603" s="282" t="n"/>
      <c r="L603" s="282" t="n"/>
      <c r="O603" s="282" t="n"/>
      <c r="P603" s="282" t="n"/>
      <c r="S603" s="282" t="n"/>
      <c r="T603" s="282" t="n"/>
      <c r="W603" s="282" t="n"/>
      <c r="X603" s="282" t="n"/>
      <c r="Y603" s="282" t="n"/>
      <c r="Z603" s="282" t="n"/>
      <c r="AA603" s="282" t="n"/>
      <c r="AB603" s="282" t="n"/>
      <c r="AC603" s="529" t="n"/>
      <c r="AE603" s="282" t="n"/>
      <c r="AF603" s="282" t="n"/>
      <c r="AI603" s="282" t="n"/>
      <c r="AJ603" s="282" t="n"/>
      <c r="AM603" s="282" t="n"/>
      <c r="AN603" s="282" t="n"/>
      <c r="AQ603" s="282" t="n"/>
      <c r="AR603" s="282" t="n"/>
    </row>
    <row customHeight="1" ht="15.75" r="604" s="452" spans="1:45">
      <c r="A604" s="44" t="n"/>
      <c r="G604" s="282" t="n"/>
      <c r="H604" s="282" t="n"/>
      <c r="K604" s="282" t="n"/>
      <c r="L604" s="282" t="n"/>
      <c r="O604" s="282" t="n"/>
      <c r="P604" s="282" t="n"/>
      <c r="S604" s="282" t="n"/>
      <c r="T604" s="282" t="n"/>
      <c r="W604" s="282" t="n"/>
      <c r="X604" s="282" t="n"/>
      <c r="Y604" s="282" t="n"/>
      <c r="Z604" s="282" t="n"/>
      <c r="AA604" s="282" t="n"/>
      <c r="AB604" s="282" t="n"/>
      <c r="AC604" s="529" t="n"/>
      <c r="AE604" s="282" t="n"/>
      <c r="AF604" s="282" t="n"/>
      <c r="AI604" s="282" t="n"/>
      <c r="AJ604" s="282" t="n"/>
      <c r="AM604" s="282" t="n"/>
      <c r="AN604" s="282" t="n"/>
      <c r="AQ604" s="282" t="n"/>
      <c r="AR604" s="282" t="n"/>
    </row>
    <row customHeight="1" ht="15.75" r="605" s="452" spans="1:45">
      <c r="A605" s="44" t="n"/>
      <c r="G605" s="282" t="n"/>
      <c r="H605" s="282" t="n"/>
      <c r="K605" s="282" t="n"/>
      <c r="L605" s="282" t="n"/>
      <c r="O605" s="282" t="n"/>
      <c r="P605" s="282" t="n"/>
      <c r="S605" s="282" t="n"/>
      <c r="T605" s="282" t="n"/>
      <c r="W605" s="282" t="n"/>
      <c r="X605" s="282" t="n"/>
      <c r="Y605" s="282" t="n"/>
      <c r="Z605" s="282" t="n"/>
      <c r="AA605" s="282" t="n"/>
      <c r="AB605" s="282" t="n"/>
      <c r="AC605" s="529" t="n"/>
      <c r="AE605" s="282" t="n"/>
      <c r="AF605" s="282" t="n"/>
      <c r="AI605" s="282" t="n"/>
      <c r="AJ605" s="282" t="n"/>
      <c r="AM605" s="282" t="n"/>
      <c r="AN605" s="282" t="n"/>
      <c r="AQ605" s="282" t="n"/>
      <c r="AR605" s="282" t="n"/>
    </row>
    <row customHeight="1" ht="15.75" r="606" s="452" spans="1:45">
      <c r="A606" s="44" t="n"/>
      <c r="G606" s="282" t="n"/>
      <c r="H606" s="282" t="n"/>
      <c r="K606" s="282" t="n"/>
      <c r="L606" s="282" t="n"/>
      <c r="O606" s="282" t="n"/>
      <c r="P606" s="282" t="n"/>
      <c r="S606" s="282" t="n"/>
      <c r="T606" s="282" t="n"/>
      <c r="W606" s="282" t="n"/>
      <c r="X606" s="282" t="n"/>
      <c r="Y606" s="282" t="n"/>
      <c r="Z606" s="282" t="n"/>
      <c r="AA606" s="282" t="n"/>
      <c r="AB606" s="282" t="n"/>
      <c r="AC606" s="529" t="n"/>
      <c r="AE606" s="282" t="n"/>
      <c r="AF606" s="282" t="n"/>
      <c r="AI606" s="282" t="n"/>
      <c r="AJ606" s="282" t="n"/>
      <c r="AM606" s="282" t="n"/>
      <c r="AN606" s="282" t="n"/>
      <c r="AQ606" s="282" t="n"/>
      <c r="AR606" s="282" t="n"/>
    </row>
    <row customHeight="1" ht="15.75" r="607" s="452" spans="1:45">
      <c r="A607" s="44" t="n"/>
      <c r="G607" s="282" t="n"/>
      <c r="H607" s="282" t="n"/>
      <c r="K607" s="282" t="n"/>
      <c r="L607" s="282" t="n"/>
      <c r="O607" s="282" t="n"/>
      <c r="P607" s="282" t="n"/>
      <c r="S607" s="282" t="n"/>
      <c r="T607" s="282" t="n"/>
      <c r="W607" s="282" t="n"/>
      <c r="X607" s="282" t="n"/>
      <c r="Y607" s="282" t="n"/>
      <c r="Z607" s="282" t="n"/>
      <c r="AA607" s="282" t="n"/>
      <c r="AB607" s="282" t="n"/>
      <c r="AC607" s="529" t="n"/>
      <c r="AE607" s="282" t="n"/>
      <c r="AF607" s="282" t="n"/>
      <c r="AI607" s="282" t="n"/>
      <c r="AJ607" s="282" t="n"/>
      <c r="AM607" s="282" t="n"/>
      <c r="AN607" s="282" t="n"/>
      <c r="AQ607" s="282" t="n"/>
      <c r="AR607" s="282" t="n"/>
    </row>
    <row customHeight="1" ht="15.75" r="608" s="452" spans="1:45">
      <c r="A608" s="44" t="n"/>
      <c r="G608" s="282" t="n"/>
      <c r="H608" s="282" t="n"/>
      <c r="K608" s="282" t="n"/>
      <c r="L608" s="282" t="n"/>
      <c r="O608" s="282" t="n"/>
      <c r="P608" s="282" t="n"/>
      <c r="S608" s="282" t="n"/>
      <c r="T608" s="282" t="n"/>
      <c r="W608" s="282" t="n"/>
      <c r="X608" s="282" t="n"/>
      <c r="Y608" s="282" t="n"/>
      <c r="Z608" s="282" t="n"/>
      <c r="AA608" s="282" t="n"/>
      <c r="AB608" s="282" t="n"/>
      <c r="AC608" s="529" t="n"/>
      <c r="AE608" s="282" t="n"/>
      <c r="AF608" s="282" t="n"/>
      <c r="AI608" s="282" t="n"/>
      <c r="AJ608" s="282" t="n"/>
      <c r="AM608" s="282" t="n"/>
      <c r="AN608" s="282" t="n"/>
      <c r="AQ608" s="282" t="n"/>
      <c r="AR608" s="282" t="n"/>
    </row>
    <row customHeight="1" ht="15.75" r="609" s="452" spans="1:45">
      <c r="A609" s="44" t="n"/>
      <c r="G609" s="282" t="n"/>
      <c r="H609" s="282" t="n"/>
      <c r="K609" s="282" t="n"/>
      <c r="L609" s="282" t="n"/>
      <c r="O609" s="282" t="n"/>
      <c r="P609" s="282" t="n"/>
      <c r="S609" s="282" t="n"/>
      <c r="T609" s="282" t="n"/>
      <c r="W609" s="282" t="n"/>
      <c r="X609" s="282" t="n"/>
      <c r="Y609" s="282" t="n"/>
      <c r="Z609" s="282" t="n"/>
      <c r="AA609" s="282" t="n"/>
      <c r="AB609" s="282" t="n"/>
      <c r="AC609" s="529" t="n"/>
      <c r="AE609" s="282" t="n"/>
      <c r="AF609" s="282" t="n"/>
      <c r="AI609" s="282" t="n"/>
      <c r="AJ609" s="282" t="n"/>
      <c r="AM609" s="282" t="n"/>
      <c r="AN609" s="282" t="n"/>
      <c r="AQ609" s="282" t="n"/>
      <c r="AR609" s="282" t="n"/>
    </row>
    <row customHeight="1" ht="15.75" r="610" s="452" spans="1:45">
      <c r="A610" s="44" t="n"/>
      <c r="G610" s="282" t="n"/>
      <c r="H610" s="282" t="n"/>
      <c r="K610" s="282" t="n"/>
      <c r="L610" s="282" t="n"/>
      <c r="O610" s="282" t="n"/>
      <c r="P610" s="282" t="n"/>
      <c r="S610" s="282" t="n"/>
      <c r="T610" s="282" t="n"/>
      <c r="W610" s="282" t="n"/>
      <c r="X610" s="282" t="n"/>
      <c r="Y610" s="282" t="n"/>
      <c r="Z610" s="282" t="n"/>
      <c r="AA610" s="282" t="n"/>
      <c r="AB610" s="282" t="n"/>
      <c r="AC610" s="529" t="n"/>
      <c r="AE610" s="282" t="n"/>
      <c r="AF610" s="282" t="n"/>
      <c r="AI610" s="282" t="n"/>
      <c r="AJ610" s="282" t="n"/>
      <c r="AM610" s="282" t="n"/>
      <c r="AN610" s="282" t="n"/>
      <c r="AQ610" s="282" t="n"/>
      <c r="AR610" s="282" t="n"/>
    </row>
    <row customHeight="1" ht="15.75" r="611" s="452" spans="1:45">
      <c r="A611" s="44" t="n"/>
      <c r="G611" s="282" t="n"/>
      <c r="H611" s="282" t="n"/>
      <c r="K611" s="282" t="n"/>
      <c r="L611" s="282" t="n"/>
      <c r="O611" s="282" t="n"/>
      <c r="P611" s="282" t="n"/>
      <c r="S611" s="282" t="n"/>
      <c r="T611" s="282" t="n"/>
      <c r="W611" s="282" t="n"/>
      <c r="X611" s="282" t="n"/>
      <c r="Y611" s="282" t="n"/>
      <c r="Z611" s="282" t="n"/>
      <c r="AA611" s="282" t="n"/>
      <c r="AB611" s="282" t="n"/>
      <c r="AC611" s="529" t="n"/>
      <c r="AE611" s="282" t="n"/>
      <c r="AF611" s="282" t="n"/>
      <c r="AI611" s="282" t="n"/>
      <c r="AJ611" s="282" t="n"/>
      <c r="AM611" s="282" t="n"/>
      <c r="AN611" s="282" t="n"/>
      <c r="AQ611" s="282" t="n"/>
      <c r="AR611" s="282" t="n"/>
    </row>
    <row customHeight="1" ht="15.75" r="612" s="452" spans="1:45">
      <c r="A612" s="44" t="n"/>
      <c r="G612" s="282" t="n"/>
      <c r="H612" s="282" t="n"/>
      <c r="K612" s="282" t="n"/>
      <c r="L612" s="282" t="n"/>
      <c r="O612" s="282" t="n"/>
      <c r="P612" s="282" t="n"/>
      <c r="S612" s="282" t="n"/>
      <c r="T612" s="282" t="n"/>
      <c r="W612" s="282" t="n"/>
      <c r="X612" s="282" t="n"/>
      <c r="Y612" s="282" t="n"/>
      <c r="Z612" s="282" t="n"/>
      <c r="AA612" s="282" t="n"/>
      <c r="AB612" s="282" t="n"/>
      <c r="AC612" s="529" t="n"/>
      <c r="AE612" s="282" t="n"/>
      <c r="AF612" s="282" t="n"/>
      <c r="AI612" s="282" t="n"/>
      <c r="AJ612" s="282" t="n"/>
      <c r="AM612" s="282" t="n"/>
      <c r="AN612" s="282" t="n"/>
      <c r="AQ612" s="282" t="n"/>
      <c r="AR612" s="282" t="n"/>
    </row>
    <row customHeight="1" ht="15.75" r="613" s="452" spans="1:45">
      <c r="A613" s="44" t="n"/>
      <c r="G613" s="282" t="n"/>
      <c r="H613" s="282" t="n"/>
      <c r="K613" s="282" t="n"/>
      <c r="L613" s="282" t="n"/>
      <c r="O613" s="282" t="n"/>
      <c r="P613" s="282" t="n"/>
      <c r="S613" s="282" t="n"/>
      <c r="T613" s="282" t="n"/>
      <c r="W613" s="282" t="n"/>
      <c r="X613" s="282" t="n"/>
      <c r="Y613" s="282" t="n"/>
      <c r="Z613" s="282" t="n"/>
      <c r="AA613" s="282" t="n"/>
      <c r="AB613" s="282" t="n"/>
      <c r="AC613" s="529" t="n"/>
      <c r="AE613" s="282" t="n"/>
      <c r="AF613" s="282" t="n"/>
      <c r="AI613" s="282" t="n"/>
      <c r="AJ613" s="282" t="n"/>
      <c r="AM613" s="282" t="n"/>
      <c r="AN613" s="282" t="n"/>
      <c r="AQ613" s="282" t="n"/>
      <c r="AR613" s="282" t="n"/>
    </row>
    <row customHeight="1" ht="15.75" r="614" s="452" spans="1:45">
      <c r="A614" s="44" t="n"/>
      <c r="G614" s="282" t="n"/>
      <c r="H614" s="282" t="n"/>
      <c r="K614" s="282" t="n"/>
      <c r="L614" s="282" t="n"/>
      <c r="O614" s="282" t="n"/>
      <c r="P614" s="282" t="n"/>
      <c r="S614" s="282" t="n"/>
      <c r="T614" s="282" t="n"/>
      <c r="W614" s="282" t="n"/>
      <c r="X614" s="282" t="n"/>
      <c r="Y614" s="282" t="n"/>
      <c r="Z614" s="282" t="n"/>
      <c r="AA614" s="282" t="n"/>
      <c r="AB614" s="282" t="n"/>
      <c r="AC614" s="529" t="n"/>
      <c r="AE614" s="282" t="n"/>
      <c r="AF614" s="282" t="n"/>
      <c r="AI614" s="282" t="n"/>
      <c r="AJ614" s="282" t="n"/>
      <c r="AM614" s="282" t="n"/>
      <c r="AN614" s="282" t="n"/>
      <c r="AQ614" s="282" t="n"/>
      <c r="AR614" s="282" t="n"/>
    </row>
    <row customHeight="1" ht="15.75" r="615" s="452" spans="1:45">
      <c r="A615" s="44" t="n"/>
      <c r="G615" s="282" t="n"/>
      <c r="H615" s="282" t="n"/>
      <c r="K615" s="282" t="n"/>
      <c r="L615" s="282" t="n"/>
      <c r="O615" s="282" t="n"/>
      <c r="P615" s="282" t="n"/>
      <c r="S615" s="282" t="n"/>
      <c r="T615" s="282" t="n"/>
      <c r="W615" s="282" t="n"/>
      <c r="X615" s="282" t="n"/>
      <c r="Y615" s="282" t="n"/>
      <c r="Z615" s="282" t="n"/>
      <c r="AA615" s="282" t="n"/>
      <c r="AB615" s="282" t="n"/>
      <c r="AC615" s="529" t="n"/>
      <c r="AE615" s="282" t="n"/>
      <c r="AF615" s="282" t="n"/>
      <c r="AI615" s="282" t="n"/>
      <c r="AJ615" s="282" t="n"/>
      <c r="AM615" s="282" t="n"/>
      <c r="AN615" s="282" t="n"/>
      <c r="AQ615" s="282" t="n"/>
      <c r="AR615" s="282" t="n"/>
    </row>
    <row customHeight="1" ht="15.75" r="616" s="452" spans="1:45">
      <c r="A616" s="44" t="n"/>
      <c r="G616" s="282" t="n"/>
      <c r="H616" s="282" t="n"/>
      <c r="K616" s="282" t="n"/>
      <c r="L616" s="282" t="n"/>
      <c r="O616" s="282" t="n"/>
      <c r="P616" s="282" t="n"/>
      <c r="S616" s="282" t="n"/>
      <c r="T616" s="282" t="n"/>
      <c r="W616" s="282" t="n"/>
      <c r="X616" s="282" t="n"/>
      <c r="Y616" s="282" t="n"/>
      <c r="Z616" s="282" t="n"/>
      <c r="AA616" s="282" t="n"/>
      <c r="AB616" s="282" t="n"/>
      <c r="AC616" s="529" t="n"/>
      <c r="AE616" s="282" t="n"/>
      <c r="AF616" s="282" t="n"/>
      <c r="AI616" s="282" t="n"/>
      <c r="AJ616" s="282" t="n"/>
      <c r="AM616" s="282" t="n"/>
      <c r="AN616" s="282" t="n"/>
      <c r="AQ616" s="282" t="n"/>
      <c r="AR616" s="282" t="n"/>
    </row>
    <row customHeight="1" ht="15.75" r="617" s="452" spans="1:45">
      <c r="A617" s="44" t="n"/>
      <c r="G617" s="282" t="n"/>
      <c r="H617" s="282" t="n"/>
      <c r="K617" s="282" t="n"/>
      <c r="L617" s="282" t="n"/>
      <c r="O617" s="282" t="n"/>
      <c r="P617" s="282" t="n"/>
      <c r="S617" s="282" t="n"/>
      <c r="T617" s="282" t="n"/>
      <c r="W617" s="282" t="n"/>
      <c r="X617" s="282" t="n"/>
      <c r="Y617" s="282" t="n"/>
      <c r="Z617" s="282" t="n"/>
      <c r="AA617" s="282" t="n"/>
      <c r="AB617" s="282" t="n"/>
      <c r="AC617" s="529" t="n"/>
      <c r="AE617" s="282" t="n"/>
      <c r="AF617" s="282" t="n"/>
      <c r="AI617" s="282" t="n"/>
      <c r="AJ617" s="282" t="n"/>
      <c r="AM617" s="282" t="n"/>
      <c r="AN617" s="282" t="n"/>
      <c r="AQ617" s="282" t="n"/>
      <c r="AR617" s="282" t="n"/>
    </row>
    <row customHeight="1" ht="15.75" r="618" s="452" spans="1:45">
      <c r="A618" s="44" t="n"/>
      <c r="G618" s="282" t="n"/>
      <c r="H618" s="282" t="n"/>
      <c r="K618" s="282" t="n"/>
      <c r="L618" s="282" t="n"/>
      <c r="O618" s="282" t="n"/>
      <c r="P618" s="282" t="n"/>
      <c r="S618" s="282" t="n"/>
      <c r="T618" s="282" t="n"/>
      <c r="W618" s="282" t="n"/>
      <c r="X618" s="282" t="n"/>
      <c r="Y618" s="282" t="n"/>
      <c r="Z618" s="282" t="n"/>
      <c r="AA618" s="282" t="n"/>
      <c r="AB618" s="282" t="n"/>
      <c r="AC618" s="529" t="n"/>
      <c r="AE618" s="282" t="n"/>
      <c r="AF618" s="282" t="n"/>
      <c r="AI618" s="282" t="n"/>
      <c r="AJ618" s="282" t="n"/>
      <c r="AM618" s="282" t="n"/>
      <c r="AN618" s="282" t="n"/>
      <c r="AQ618" s="282" t="n"/>
      <c r="AR618" s="282" t="n"/>
    </row>
    <row customHeight="1" ht="15.75" r="619" s="452" spans="1:45">
      <c r="A619" s="44" t="n"/>
      <c r="G619" s="282" t="n"/>
      <c r="H619" s="282" t="n"/>
      <c r="K619" s="282" t="n"/>
      <c r="L619" s="282" t="n"/>
      <c r="O619" s="282" t="n"/>
      <c r="P619" s="282" t="n"/>
      <c r="S619" s="282" t="n"/>
      <c r="T619" s="282" t="n"/>
      <c r="W619" s="282" t="n"/>
      <c r="X619" s="282" t="n"/>
      <c r="Y619" s="282" t="n"/>
      <c r="Z619" s="282" t="n"/>
      <c r="AA619" s="282" t="n"/>
      <c r="AB619" s="282" t="n"/>
      <c r="AC619" s="529" t="n"/>
      <c r="AE619" s="282" t="n"/>
      <c r="AF619" s="282" t="n"/>
      <c r="AI619" s="282" t="n"/>
      <c r="AJ619" s="282" t="n"/>
      <c r="AM619" s="282" t="n"/>
      <c r="AN619" s="282" t="n"/>
      <c r="AQ619" s="282" t="n"/>
      <c r="AR619" s="282" t="n"/>
    </row>
    <row customHeight="1" ht="15.75" r="620" s="452" spans="1:45">
      <c r="A620" s="44" t="n"/>
      <c r="G620" s="282" t="n"/>
      <c r="H620" s="282" t="n"/>
      <c r="K620" s="282" t="n"/>
      <c r="L620" s="282" t="n"/>
      <c r="O620" s="282" t="n"/>
      <c r="P620" s="282" t="n"/>
      <c r="S620" s="282" t="n"/>
      <c r="T620" s="282" t="n"/>
      <c r="W620" s="282" t="n"/>
      <c r="X620" s="282" t="n"/>
      <c r="Y620" s="282" t="n"/>
      <c r="Z620" s="282" t="n"/>
      <c r="AA620" s="282" t="n"/>
      <c r="AB620" s="282" t="n"/>
      <c r="AC620" s="529" t="n"/>
      <c r="AE620" s="282" t="n"/>
      <c r="AF620" s="282" t="n"/>
      <c r="AI620" s="282" t="n"/>
      <c r="AJ620" s="282" t="n"/>
      <c r="AM620" s="282" t="n"/>
      <c r="AN620" s="282" t="n"/>
      <c r="AQ620" s="282" t="n"/>
      <c r="AR620" s="282" t="n"/>
    </row>
    <row customHeight="1" ht="15.75" r="621" s="452" spans="1:45">
      <c r="A621" s="44" t="n"/>
      <c r="G621" s="282" t="n"/>
      <c r="H621" s="282" t="n"/>
      <c r="K621" s="282" t="n"/>
      <c r="L621" s="282" t="n"/>
      <c r="O621" s="282" t="n"/>
      <c r="P621" s="282" t="n"/>
      <c r="S621" s="282" t="n"/>
      <c r="T621" s="282" t="n"/>
      <c r="W621" s="282" t="n"/>
      <c r="X621" s="282" t="n"/>
      <c r="Y621" s="282" t="n"/>
      <c r="Z621" s="282" t="n"/>
      <c r="AA621" s="282" t="n"/>
      <c r="AB621" s="282" t="n"/>
      <c r="AC621" s="529" t="n"/>
      <c r="AE621" s="282" t="n"/>
      <c r="AF621" s="282" t="n"/>
      <c r="AI621" s="282" t="n"/>
      <c r="AJ621" s="282" t="n"/>
      <c r="AM621" s="282" t="n"/>
      <c r="AN621" s="282" t="n"/>
      <c r="AQ621" s="282" t="n"/>
      <c r="AR621" s="282" t="n"/>
    </row>
    <row customHeight="1" ht="15.75" r="622" s="452" spans="1:45">
      <c r="A622" s="44" t="n"/>
      <c r="G622" s="282" t="n"/>
      <c r="H622" s="282" t="n"/>
      <c r="K622" s="282" t="n"/>
      <c r="L622" s="282" t="n"/>
      <c r="O622" s="282" t="n"/>
      <c r="P622" s="282" t="n"/>
      <c r="S622" s="282" t="n"/>
      <c r="T622" s="282" t="n"/>
      <c r="W622" s="282" t="n"/>
      <c r="X622" s="282" t="n"/>
      <c r="Y622" s="282" t="n"/>
      <c r="Z622" s="282" t="n"/>
      <c r="AA622" s="282" t="n"/>
      <c r="AB622" s="282" t="n"/>
      <c r="AC622" s="529" t="n"/>
      <c r="AE622" s="282" t="n"/>
      <c r="AF622" s="282" t="n"/>
      <c r="AI622" s="282" t="n"/>
      <c r="AJ622" s="282" t="n"/>
      <c r="AM622" s="282" t="n"/>
      <c r="AN622" s="282" t="n"/>
      <c r="AQ622" s="282" t="n"/>
      <c r="AR622" s="282" t="n"/>
    </row>
    <row customHeight="1" ht="15.75" r="623" s="452" spans="1:45">
      <c r="A623" s="44" t="n"/>
      <c r="G623" s="282" t="n"/>
      <c r="H623" s="282" t="n"/>
      <c r="K623" s="282" t="n"/>
      <c r="L623" s="282" t="n"/>
      <c r="O623" s="282" t="n"/>
      <c r="P623" s="282" t="n"/>
      <c r="S623" s="282" t="n"/>
      <c r="T623" s="282" t="n"/>
      <c r="W623" s="282" t="n"/>
      <c r="X623" s="282" t="n"/>
      <c r="Y623" s="282" t="n"/>
      <c r="Z623" s="282" t="n"/>
      <c r="AA623" s="282" t="n"/>
      <c r="AB623" s="282" t="n"/>
      <c r="AC623" s="529" t="n"/>
      <c r="AE623" s="282" t="n"/>
      <c r="AF623" s="282" t="n"/>
      <c r="AI623" s="282" t="n"/>
      <c r="AJ623" s="282" t="n"/>
      <c r="AM623" s="282" t="n"/>
      <c r="AN623" s="282" t="n"/>
      <c r="AQ623" s="282" t="n"/>
      <c r="AR623" s="282" t="n"/>
    </row>
    <row customHeight="1" ht="15.75" r="624" s="452" spans="1:45">
      <c r="A624" s="44" t="n"/>
      <c r="G624" s="282" t="n"/>
      <c r="H624" s="282" t="n"/>
      <c r="K624" s="282" t="n"/>
      <c r="L624" s="282" t="n"/>
      <c r="O624" s="282" t="n"/>
      <c r="P624" s="282" t="n"/>
      <c r="S624" s="282" t="n"/>
      <c r="T624" s="282" t="n"/>
      <c r="W624" s="282" t="n"/>
      <c r="X624" s="282" t="n"/>
      <c r="Y624" s="282" t="n"/>
      <c r="Z624" s="282" t="n"/>
      <c r="AA624" s="282" t="n"/>
      <c r="AB624" s="282" t="n"/>
      <c r="AC624" s="529" t="n"/>
      <c r="AE624" s="282" t="n"/>
      <c r="AF624" s="282" t="n"/>
      <c r="AI624" s="282" t="n"/>
      <c r="AJ624" s="282" t="n"/>
      <c r="AM624" s="282" t="n"/>
      <c r="AN624" s="282" t="n"/>
      <c r="AQ624" s="282" t="n"/>
      <c r="AR624" s="282" t="n"/>
    </row>
    <row customHeight="1" ht="15.75" r="625" s="452" spans="1:45">
      <c r="A625" s="44" t="n"/>
      <c r="G625" s="282" t="n"/>
      <c r="H625" s="282" t="n"/>
      <c r="K625" s="282" t="n"/>
      <c r="L625" s="282" t="n"/>
      <c r="O625" s="282" t="n"/>
      <c r="P625" s="282" t="n"/>
      <c r="S625" s="282" t="n"/>
      <c r="T625" s="282" t="n"/>
      <c r="W625" s="282" t="n"/>
      <c r="X625" s="282" t="n"/>
      <c r="Y625" s="282" t="n"/>
      <c r="Z625" s="282" t="n"/>
      <c r="AA625" s="282" t="n"/>
      <c r="AB625" s="282" t="n"/>
      <c r="AC625" s="529" t="n"/>
      <c r="AE625" s="282" t="n"/>
      <c r="AF625" s="282" t="n"/>
      <c r="AI625" s="282" t="n"/>
      <c r="AJ625" s="282" t="n"/>
      <c r="AM625" s="282" t="n"/>
      <c r="AN625" s="282" t="n"/>
      <c r="AQ625" s="282" t="n"/>
      <c r="AR625" s="282" t="n"/>
    </row>
    <row customHeight="1" ht="15.75" r="626" s="452" spans="1:45">
      <c r="A626" s="44" t="n"/>
      <c r="G626" s="282" t="n"/>
      <c r="H626" s="282" t="n"/>
      <c r="K626" s="282" t="n"/>
      <c r="L626" s="282" t="n"/>
      <c r="O626" s="282" t="n"/>
      <c r="P626" s="282" t="n"/>
      <c r="S626" s="282" t="n"/>
      <c r="T626" s="282" t="n"/>
      <c r="W626" s="282" t="n"/>
      <c r="X626" s="282" t="n"/>
      <c r="Y626" s="282" t="n"/>
      <c r="Z626" s="282" t="n"/>
      <c r="AA626" s="282" t="n"/>
      <c r="AB626" s="282" t="n"/>
      <c r="AC626" s="529" t="n"/>
      <c r="AE626" s="282" t="n"/>
      <c r="AF626" s="282" t="n"/>
      <c r="AI626" s="282" t="n"/>
      <c r="AJ626" s="282" t="n"/>
      <c r="AM626" s="282" t="n"/>
      <c r="AN626" s="282" t="n"/>
      <c r="AQ626" s="282" t="n"/>
      <c r="AR626" s="282" t="n"/>
    </row>
    <row customHeight="1" ht="15.75" r="627" s="452" spans="1:45">
      <c r="A627" s="44" t="n"/>
      <c r="G627" s="282" t="n"/>
      <c r="H627" s="282" t="n"/>
      <c r="K627" s="282" t="n"/>
      <c r="L627" s="282" t="n"/>
      <c r="O627" s="282" t="n"/>
      <c r="P627" s="282" t="n"/>
      <c r="S627" s="282" t="n"/>
      <c r="T627" s="282" t="n"/>
      <c r="W627" s="282" t="n"/>
      <c r="X627" s="282" t="n"/>
      <c r="Y627" s="282" t="n"/>
      <c r="Z627" s="282" t="n"/>
      <c r="AA627" s="282" t="n"/>
      <c r="AB627" s="282" t="n"/>
      <c r="AC627" s="529" t="n"/>
      <c r="AE627" s="282" t="n"/>
      <c r="AF627" s="282" t="n"/>
      <c r="AI627" s="282" t="n"/>
      <c r="AJ627" s="282" t="n"/>
      <c r="AM627" s="282" t="n"/>
      <c r="AN627" s="282" t="n"/>
      <c r="AQ627" s="282" t="n"/>
      <c r="AR627" s="282" t="n"/>
    </row>
    <row customHeight="1" ht="15.75" r="628" s="452" spans="1:45">
      <c r="A628" s="44" t="n"/>
      <c r="G628" s="282" t="n"/>
      <c r="H628" s="282" t="n"/>
      <c r="K628" s="282" t="n"/>
      <c r="L628" s="282" t="n"/>
      <c r="O628" s="282" t="n"/>
      <c r="P628" s="282" t="n"/>
      <c r="S628" s="282" t="n"/>
      <c r="T628" s="282" t="n"/>
      <c r="W628" s="282" t="n"/>
      <c r="X628" s="282" t="n"/>
      <c r="Y628" s="282" t="n"/>
      <c r="Z628" s="282" t="n"/>
      <c r="AA628" s="282" t="n"/>
      <c r="AB628" s="282" t="n"/>
      <c r="AC628" s="529" t="n"/>
      <c r="AE628" s="282" t="n"/>
      <c r="AF628" s="282" t="n"/>
      <c r="AI628" s="282" t="n"/>
      <c r="AJ628" s="282" t="n"/>
      <c r="AM628" s="282" t="n"/>
      <c r="AN628" s="282" t="n"/>
      <c r="AQ628" s="282" t="n"/>
      <c r="AR628" s="282" t="n"/>
    </row>
    <row customHeight="1" ht="15.75" r="629" s="452" spans="1:45">
      <c r="A629" s="44" t="n"/>
      <c r="G629" s="282" t="n"/>
      <c r="H629" s="282" t="n"/>
      <c r="K629" s="282" t="n"/>
      <c r="L629" s="282" t="n"/>
      <c r="O629" s="282" t="n"/>
      <c r="P629" s="282" t="n"/>
      <c r="S629" s="282" t="n"/>
      <c r="T629" s="282" t="n"/>
      <c r="W629" s="282" t="n"/>
      <c r="X629" s="282" t="n"/>
      <c r="Y629" s="282" t="n"/>
      <c r="Z629" s="282" t="n"/>
      <c r="AA629" s="282" t="n"/>
      <c r="AB629" s="282" t="n"/>
      <c r="AC629" s="529" t="n"/>
      <c r="AE629" s="282" t="n"/>
      <c r="AF629" s="282" t="n"/>
      <c r="AI629" s="282" t="n"/>
      <c r="AJ629" s="282" t="n"/>
      <c r="AM629" s="282" t="n"/>
      <c r="AN629" s="282" t="n"/>
      <c r="AQ629" s="282" t="n"/>
      <c r="AR629" s="282" t="n"/>
    </row>
    <row customHeight="1" ht="15.75" r="630" s="452" spans="1:45">
      <c r="A630" s="44" t="n"/>
      <c r="G630" s="282" t="n"/>
      <c r="H630" s="282" t="n"/>
      <c r="K630" s="282" t="n"/>
      <c r="L630" s="282" t="n"/>
      <c r="O630" s="282" t="n"/>
      <c r="P630" s="282" t="n"/>
      <c r="S630" s="282" t="n"/>
      <c r="T630" s="282" t="n"/>
      <c r="W630" s="282" t="n"/>
      <c r="X630" s="282" t="n"/>
      <c r="Y630" s="282" t="n"/>
      <c r="Z630" s="282" t="n"/>
      <c r="AA630" s="282" t="n"/>
      <c r="AB630" s="282" t="n"/>
      <c r="AC630" s="529" t="n"/>
      <c r="AE630" s="282" t="n"/>
      <c r="AF630" s="282" t="n"/>
      <c r="AI630" s="282" t="n"/>
      <c r="AJ630" s="282" t="n"/>
      <c r="AM630" s="282" t="n"/>
      <c r="AN630" s="282" t="n"/>
      <c r="AQ630" s="282" t="n"/>
      <c r="AR630" s="282" t="n"/>
    </row>
    <row customHeight="1" ht="15.75" r="631" s="452" spans="1:45">
      <c r="A631" s="44" t="n"/>
      <c r="G631" s="282" t="n"/>
      <c r="H631" s="282" t="n"/>
      <c r="K631" s="282" t="n"/>
      <c r="L631" s="282" t="n"/>
      <c r="O631" s="282" t="n"/>
      <c r="P631" s="282" t="n"/>
      <c r="S631" s="282" t="n"/>
      <c r="T631" s="282" t="n"/>
      <c r="W631" s="282" t="n"/>
      <c r="X631" s="282" t="n"/>
      <c r="Y631" s="282" t="n"/>
      <c r="Z631" s="282" t="n"/>
      <c r="AA631" s="282" t="n"/>
      <c r="AB631" s="282" t="n"/>
      <c r="AC631" s="529" t="n"/>
      <c r="AE631" s="282" t="n"/>
      <c r="AF631" s="282" t="n"/>
      <c r="AI631" s="282" t="n"/>
      <c r="AJ631" s="282" t="n"/>
      <c r="AM631" s="282" t="n"/>
      <c r="AN631" s="282" t="n"/>
      <c r="AQ631" s="282" t="n"/>
      <c r="AR631" s="282" t="n"/>
    </row>
    <row customHeight="1" ht="15.75" r="632" s="452" spans="1:45">
      <c r="A632" s="44" t="n"/>
      <c r="G632" s="282" t="n"/>
      <c r="H632" s="282" t="n"/>
      <c r="K632" s="282" t="n"/>
      <c r="L632" s="282" t="n"/>
      <c r="O632" s="282" t="n"/>
      <c r="P632" s="282" t="n"/>
      <c r="S632" s="282" t="n"/>
      <c r="T632" s="282" t="n"/>
      <c r="W632" s="282" t="n"/>
      <c r="X632" s="282" t="n"/>
      <c r="Y632" s="282" t="n"/>
      <c r="Z632" s="282" t="n"/>
      <c r="AA632" s="282" t="n"/>
      <c r="AB632" s="282" t="n"/>
      <c r="AC632" s="529" t="n"/>
      <c r="AE632" s="282" t="n"/>
      <c r="AF632" s="282" t="n"/>
      <c r="AI632" s="282" t="n"/>
      <c r="AJ632" s="282" t="n"/>
      <c r="AM632" s="282" t="n"/>
      <c r="AN632" s="282" t="n"/>
      <c r="AQ632" s="282" t="n"/>
      <c r="AR632" s="282" t="n"/>
    </row>
    <row customHeight="1" ht="15.75" r="633" s="452" spans="1:45">
      <c r="A633" s="44" t="n"/>
      <c r="G633" s="282" t="n"/>
      <c r="H633" s="282" t="n"/>
      <c r="K633" s="282" t="n"/>
      <c r="L633" s="282" t="n"/>
      <c r="O633" s="282" t="n"/>
      <c r="P633" s="282" t="n"/>
      <c r="S633" s="282" t="n"/>
      <c r="T633" s="282" t="n"/>
      <c r="W633" s="282" t="n"/>
      <c r="X633" s="282" t="n"/>
      <c r="Y633" s="282" t="n"/>
      <c r="Z633" s="282" t="n"/>
      <c r="AA633" s="282" t="n"/>
      <c r="AB633" s="282" t="n"/>
      <c r="AC633" s="529" t="n"/>
      <c r="AE633" s="282" t="n"/>
      <c r="AF633" s="282" t="n"/>
      <c r="AI633" s="282" t="n"/>
      <c r="AJ633" s="282" t="n"/>
      <c r="AM633" s="282" t="n"/>
      <c r="AN633" s="282" t="n"/>
      <c r="AQ633" s="282" t="n"/>
      <c r="AR633" s="282" t="n"/>
    </row>
    <row customHeight="1" ht="15.75" r="634" s="452" spans="1:45">
      <c r="A634" s="44" t="n"/>
      <c r="G634" s="282" t="n"/>
      <c r="H634" s="282" t="n"/>
      <c r="K634" s="282" t="n"/>
      <c r="L634" s="282" t="n"/>
      <c r="O634" s="282" t="n"/>
      <c r="P634" s="282" t="n"/>
      <c r="S634" s="282" t="n"/>
      <c r="T634" s="282" t="n"/>
      <c r="W634" s="282" t="n"/>
      <c r="X634" s="282" t="n"/>
      <c r="Y634" s="282" t="n"/>
      <c r="Z634" s="282" t="n"/>
      <c r="AA634" s="282" t="n"/>
      <c r="AB634" s="282" t="n"/>
      <c r="AC634" s="529" t="n"/>
      <c r="AE634" s="282" t="n"/>
      <c r="AF634" s="282" t="n"/>
      <c r="AI634" s="282" t="n"/>
      <c r="AJ634" s="282" t="n"/>
      <c r="AM634" s="282" t="n"/>
      <c r="AN634" s="282" t="n"/>
      <c r="AQ634" s="282" t="n"/>
      <c r="AR634" s="282" t="n"/>
    </row>
    <row customHeight="1" ht="15.75" r="635" s="452" spans="1:45">
      <c r="A635" s="44" t="n"/>
      <c r="G635" s="282" t="n"/>
      <c r="H635" s="282" t="n"/>
      <c r="K635" s="282" t="n"/>
      <c r="L635" s="282" t="n"/>
      <c r="O635" s="282" t="n"/>
      <c r="P635" s="282" t="n"/>
      <c r="S635" s="282" t="n"/>
      <c r="T635" s="282" t="n"/>
      <c r="W635" s="282" t="n"/>
      <c r="X635" s="282" t="n"/>
      <c r="Y635" s="282" t="n"/>
      <c r="Z635" s="282" t="n"/>
      <c r="AA635" s="282" t="n"/>
      <c r="AB635" s="282" t="n"/>
      <c r="AC635" s="529" t="n"/>
      <c r="AE635" s="282" t="n"/>
      <c r="AF635" s="282" t="n"/>
      <c r="AI635" s="282" t="n"/>
      <c r="AJ635" s="282" t="n"/>
      <c r="AM635" s="282" t="n"/>
      <c r="AN635" s="282" t="n"/>
      <c r="AQ635" s="282" t="n"/>
      <c r="AR635" s="282" t="n"/>
    </row>
    <row customHeight="1" ht="15.75" r="636" s="452" spans="1:45">
      <c r="A636" s="44" t="n"/>
      <c r="G636" s="282" t="n"/>
      <c r="H636" s="282" t="n"/>
      <c r="K636" s="282" t="n"/>
      <c r="L636" s="282" t="n"/>
      <c r="O636" s="282" t="n"/>
      <c r="P636" s="282" t="n"/>
      <c r="S636" s="282" t="n"/>
      <c r="T636" s="282" t="n"/>
      <c r="W636" s="282" t="n"/>
      <c r="X636" s="282" t="n"/>
      <c r="Y636" s="282" t="n"/>
      <c r="Z636" s="282" t="n"/>
      <c r="AA636" s="282" t="n"/>
      <c r="AB636" s="282" t="n"/>
      <c r="AC636" s="529" t="n"/>
      <c r="AE636" s="282" t="n"/>
      <c r="AF636" s="282" t="n"/>
      <c r="AI636" s="282" t="n"/>
      <c r="AJ636" s="282" t="n"/>
      <c r="AM636" s="282" t="n"/>
      <c r="AN636" s="282" t="n"/>
      <c r="AQ636" s="282" t="n"/>
      <c r="AR636" s="282" t="n"/>
    </row>
    <row customHeight="1" ht="15.75" r="637" s="452" spans="1:45">
      <c r="A637" s="44" t="n"/>
      <c r="G637" s="282" t="n"/>
      <c r="H637" s="282" t="n"/>
      <c r="K637" s="282" t="n"/>
      <c r="L637" s="282" t="n"/>
      <c r="O637" s="282" t="n"/>
      <c r="P637" s="282" t="n"/>
      <c r="S637" s="282" t="n"/>
      <c r="T637" s="282" t="n"/>
      <c r="W637" s="282" t="n"/>
      <c r="X637" s="282" t="n"/>
      <c r="Y637" s="282" t="n"/>
      <c r="Z637" s="282" t="n"/>
      <c r="AA637" s="282" t="n"/>
      <c r="AB637" s="282" t="n"/>
      <c r="AC637" s="529" t="n"/>
      <c r="AE637" s="282" t="n"/>
      <c r="AF637" s="282" t="n"/>
      <c r="AI637" s="282" t="n"/>
      <c r="AJ637" s="282" t="n"/>
      <c r="AM637" s="282" t="n"/>
      <c r="AN637" s="282" t="n"/>
      <c r="AQ637" s="282" t="n"/>
      <c r="AR637" s="282" t="n"/>
    </row>
    <row customHeight="1" ht="15.75" r="638" s="452" spans="1:45">
      <c r="A638" s="44" t="n"/>
      <c r="G638" s="282" t="n"/>
      <c r="H638" s="282" t="n"/>
      <c r="K638" s="282" t="n"/>
      <c r="L638" s="282" t="n"/>
      <c r="O638" s="282" t="n"/>
      <c r="P638" s="282" t="n"/>
      <c r="S638" s="282" t="n"/>
      <c r="T638" s="282" t="n"/>
      <c r="W638" s="282" t="n"/>
      <c r="X638" s="282" t="n"/>
      <c r="Y638" s="282" t="n"/>
      <c r="Z638" s="282" t="n"/>
      <c r="AA638" s="282" t="n"/>
      <c r="AB638" s="282" t="n"/>
      <c r="AC638" s="529" t="n"/>
      <c r="AE638" s="282" t="n"/>
      <c r="AF638" s="282" t="n"/>
      <c r="AI638" s="282" t="n"/>
      <c r="AJ638" s="282" t="n"/>
      <c r="AM638" s="282" t="n"/>
      <c r="AN638" s="282" t="n"/>
      <c r="AQ638" s="282" t="n"/>
      <c r="AR638" s="282" t="n"/>
    </row>
    <row customHeight="1" ht="15.75" r="639" s="452" spans="1:45">
      <c r="A639" s="44" t="n"/>
      <c r="G639" s="282" t="n"/>
      <c r="H639" s="282" t="n"/>
      <c r="K639" s="282" t="n"/>
      <c r="L639" s="282" t="n"/>
      <c r="O639" s="282" t="n"/>
      <c r="P639" s="282" t="n"/>
      <c r="S639" s="282" t="n"/>
      <c r="T639" s="282" t="n"/>
      <c r="W639" s="282" t="n"/>
      <c r="X639" s="282" t="n"/>
      <c r="Y639" s="282" t="n"/>
      <c r="Z639" s="282" t="n"/>
      <c r="AA639" s="282" t="n"/>
      <c r="AB639" s="282" t="n"/>
      <c r="AC639" s="529" t="n"/>
      <c r="AE639" s="282" t="n"/>
      <c r="AF639" s="282" t="n"/>
      <c r="AI639" s="282" t="n"/>
      <c r="AJ639" s="282" t="n"/>
      <c r="AM639" s="282" t="n"/>
      <c r="AN639" s="282" t="n"/>
      <c r="AQ639" s="282" t="n"/>
      <c r="AR639" s="282" t="n"/>
    </row>
    <row customHeight="1" ht="15.75" r="640" s="452" spans="1:45">
      <c r="A640" s="44" t="n"/>
      <c r="G640" s="282" t="n"/>
      <c r="H640" s="282" t="n"/>
      <c r="K640" s="282" t="n"/>
      <c r="L640" s="282" t="n"/>
      <c r="O640" s="282" t="n"/>
      <c r="P640" s="282" t="n"/>
      <c r="S640" s="282" t="n"/>
      <c r="T640" s="282" t="n"/>
      <c r="W640" s="282" t="n"/>
      <c r="X640" s="282" t="n"/>
      <c r="Y640" s="282" t="n"/>
      <c r="Z640" s="282" t="n"/>
      <c r="AA640" s="282" t="n"/>
      <c r="AB640" s="282" t="n"/>
      <c r="AC640" s="529" t="n"/>
      <c r="AE640" s="282" t="n"/>
      <c r="AF640" s="282" t="n"/>
      <c r="AI640" s="282" t="n"/>
      <c r="AJ640" s="282" t="n"/>
      <c r="AM640" s="282" t="n"/>
      <c r="AN640" s="282" t="n"/>
      <c r="AQ640" s="282" t="n"/>
      <c r="AR640" s="282" t="n"/>
    </row>
    <row customHeight="1" ht="15.75" r="641" s="452" spans="1:45">
      <c r="A641" s="44" t="n"/>
      <c r="G641" s="282" t="n"/>
      <c r="H641" s="282" t="n"/>
      <c r="K641" s="282" t="n"/>
      <c r="L641" s="282" t="n"/>
      <c r="O641" s="282" t="n"/>
      <c r="P641" s="282" t="n"/>
      <c r="S641" s="282" t="n"/>
      <c r="T641" s="282" t="n"/>
      <c r="W641" s="282" t="n"/>
      <c r="X641" s="282" t="n"/>
      <c r="Y641" s="282" t="n"/>
      <c r="Z641" s="282" t="n"/>
      <c r="AA641" s="282" t="n"/>
      <c r="AB641" s="282" t="n"/>
      <c r="AC641" s="529" t="n"/>
      <c r="AE641" s="282" t="n"/>
      <c r="AF641" s="282" t="n"/>
      <c r="AI641" s="282" t="n"/>
      <c r="AJ641" s="282" t="n"/>
      <c r="AM641" s="282" t="n"/>
      <c r="AN641" s="282" t="n"/>
      <c r="AQ641" s="282" t="n"/>
      <c r="AR641" s="282" t="n"/>
    </row>
    <row customHeight="1" ht="15.75" r="642" s="452" spans="1:45">
      <c r="A642" s="44" t="n"/>
      <c r="G642" s="282" t="n"/>
      <c r="H642" s="282" t="n"/>
      <c r="K642" s="282" t="n"/>
      <c r="L642" s="282" t="n"/>
      <c r="O642" s="282" t="n"/>
      <c r="P642" s="282" t="n"/>
      <c r="S642" s="282" t="n"/>
      <c r="T642" s="282" t="n"/>
      <c r="W642" s="282" t="n"/>
      <c r="X642" s="282" t="n"/>
      <c r="Y642" s="282" t="n"/>
      <c r="Z642" s="282" t="n"/>
      <c r="AA642" s="282" t="n"/>
      <c r="AB642" s="282" t="n"/>
      <c r="AC642" s="529" t="n"/>
      <c r="AE642" s="282" t="n"/>
      <c r="AF642" s="282" t="n"/>
      <c r="AI642" s="282" t="n"/>
      <c r="AJ642" s="282" t="n"/>
      <c r="AM642" s="282" t="n"/>
      <c r="AN642" s="282" t="n"/>
      <c r="AQ642" s="282" t="n"/>
      <c r="AR642" s="282" t="n"/>
    </row>
    <row customHeight="1" ht="15.75" r="643" s="452" spans="1:45">
      <c r="A643" s="44" t="n"/>
      <c r="G643" s="282" t="n"/>
      <c r="H643" s="282" t="n"/>
      <c r="K643" s="282" t="n"/>
      <c r="L643" s="282" t="n"/>
      <c r="O643" s="282" t="n"/>
      <c r="P643" s="282" t="n"/>
      <c r="S643" s="282" t="n"/>
      <c r="T643" s="282" t="n"/>
      <c r="W643" s="282" t="n"/>
      <c r="X643" s="282" t="n"/>
      <c r="Y643" s="282" t="n"/>
      <c r="Z643" s="282" t="n"/>
      <c r="AA643" s="282" t="n"/>
      <c r="AB643" s="282" t="n"/>
      <c r="AC643" s="529" t="n"/>
      <c r="AE643" s="282" t="n"/>
      <c r="AF643" s="282" t="n"/>
      <c r="AI643" s="282" t="n"/>
      <c r="AJ643" s="282" t="n"/>
      <c r="AM643" s="282" t="n"/>
      <c r="AN643" s="282" t="n"/>
      <c r="AQ643" s="282" t="n"/>
      <c r="AR643" s="282" t="n"/>
    </row>
    <row customHeight="1" ht="15.75" r="644" s="452" spans="1:45">
      <c r="A644" s="44" t="n"/>
      <c r="G644" s="282" t="n"/>
      <c r="H644" s="282" t="n"/>
      <c r="K644" s="282" t="n"/>
      <c r="L644" s="282" t="n"/>
      <c r="O644" s="282" t="n"/>
      <c r="P644" s="282" t="n"/>
      <c r="S644" s="282" t="n"/>
      <c r="T644" s="282" t="n"/>
      <c r="W644" s="282" t="n"/>
      <c r="X644" s="282" t="n"/>
      <c r="Y644" s="282" t="n"/>
      <c r="Z644" s="282" t="n"/>
      <c r="AA644" s="282" t="n"/>
      <c r="AB644" s="282" t="n"/>
      <c r="AC644" s="529" t="n"/>
      <c r="AE644" s="282" t="n"/>
      <c r="AF644" s="282" t="n"/>
      <c r="AI644" s="282" t="n"/>
      <c r="AJ644" s="282" t="n"/>
      <c r="AM644" s="282" t="n"/>
      <c r="AN644" s="282" t="n"/>
      <c r="AQ644" s="282" t="n"/>
      <c r="AR644" s="282" t="n"/>
    </row>
    <row customHeight="1" ht="15.75" r="645" s="452" spans="1:45">
      <c r="A645" s="44" t="n"/>
      <c r="G645" s="282" t="n"/>
      <c r="H645" s="282" t="n"/>
      <c r="K645" s="282" t="n"/>
      <c r="L645" s="282" t="n"/>
      <c r="O645" s="282" t="n"/>
      <c r="P645" s="282" t="n"/>
      <c r="S645" s="282" t="n"/>
      <c r="T645" s="282" t="n"/>
      <c r="W645" s="282" t="n"/>
      <c r="X645" s="282" t="n"/>
      <c r="Y645" s="282" t="n"/>
      <c r="Z645" s="282" t="n"/>
      <c r="AA645" s="282" t="n"/>
      <c r="AB645" s="282" t="n"/>
      <c r="AC645" s="529" t="n"/>
      <c r="AE645" s="282" t="n"/>
      <c r="AF645" s="282" t="n"/>
      <c r="AI645" s="282" t="n"/>
      <c r="AJ645" s="282" t="n"/>
      <c r="AM645" s="282" t="n"/>
      <c r="AN645" s="282" t="n"/>
      <c r="AQ645" s="282" t="n"/>
      <c r="AR645" s="282" t="n"/>
    </row>
    <row customHeight="1" ht="15.75" r="646" s="452" spans="1:45">
      <c r="A646" s="44" t="n"/>
      <c r="G646" s="282" t="n"/>
      <c r="H646" s="282" t="n"/>
      <c r="K646" s="282" t="n"/>
      <c r="L646" s="282" t="n"/>
      <c r="O646" s="282" t="n"/>
      <c r="P646" s="282" t="n"/>
      <c r="S646" s="282" t="n"/>
      <c r="T646" s="282" t="n"/>
      <c r="W646" s="282" t="n"/>
      <c r="X646" s="282" t="n"/>
      <c r="Y646" s="282" t="n"/>
      <c r="Z646" s="282" t="n"/>
      <c r="AA646" s="282" t="n"/>
      <c r="AB646" s="282" t="n"/>
      <c r="AC646" s="529" t="n"/>
      <c r="AE646" s="282" t="n"/>
      <c r="AF646" s="282" t="n"/>
      <c r="AI646" s="282" t="n"/>
      <c r="AJ646" s="282" t="n"/>
      <c r="AM646" s="282" t="n"/>
      <c r="AN646" s="282" t="n"/>
      <c r="AQ646" s="282" t="n"/>
      <c r="AR646" s="282" t="n"/>
    </row>
    <row customHeight="1" ht="15.75" r="647" s="452" spans="1:45">
      <c r="A647" s="44" t="n"/>
      <c r="G647" s="282" t="n"/>
      <c r="H647" s="282" t="n"/>
      <c r="K647" s="282" t="n"/>
      <c r="L647" s="282" t="n"/>
      <c r="O647" s="282" t="n"/>
      <c r="P647" s="282" t="n"/>
      <c r="S647" s="282" t="n"/>
      <c r="T647" s="282" t="n"/>
      <c r="W647" s="282" t="n"/>
      <c r="X647" s="282" t="n"/>
      <c r="Y647" s="282" t="n"/>
      <c r="Z647" s="282" t="n"/>
      <c r="AA647" s="282" t="n"/>
      <c r="AB647" s="282" t="n"/>
      <c r="AC647" s="529" t="n"/>
      <c r="AE647" s="282" t="n"/>
      <c r="AF647" s="282" t="n"/>
      <c r="AI647" s="282" t="n"/>
      <c r="AJ647" s="282" t="n"/>
      <c r="AM647" s="282" t="n"/>
      <c r="AN647" s="282" t="n"/>
      <c r="AQ647" s="282" t="n"/>
      <c r="AR647" s="282" t="n"/>
    </row>
    <row customHeight="1" ht="15.75" r="648" s="452" spans="1:45">
      <c r="A648" s="44" t="n"/>
      <c r="G648" s="282" t="n"/>
      <c r="H648" s="282" t="n"/>
      <c r="K648" s="282" t="n"/>
      <c r="L648" s="282" t="n"/>
      <c r="O648" s="282" t="n"/>
      <c r="P648" s="282" t="n"/>
      <c r="S648" s="282" t="n"/>
      <c r="T648" s="282" t="n"/>
      <c r="W648" s="282" t="n"/>
      <c r="X648" s="282" t="n"/>
      <c r="Y648" s="282" t="n"/>
      <c r="Z648" s="282" t="n"/>
      <c r="AA648" s="282" t="n"/>
      <c r="AB648" s="282" t="n"/>
      <c r="AC648" s="529" t="n"/>
      <c r="AE648" s="282" t="n"/>
      <c r="AF648" s="282" t="n"/>
      <c r="AI648" s="282" t="n"/>
      <c r="AJ648" s="282" t="n"/>
      <c r="AM648" s="282" t="n"/>
      <c r="AN648" s="282" t="n"/>
      <c r="AQ648" s="282" t="n"/>
      <c r="AR648" s="282" t="n"/>
    </row>
    <row customHeight="1" ht="15.75" r="649" s="452" spans="1:45">
      <c r="A649" s="44" t="n"/>
      <c r="G649" s="282" t="n"/>
      <c r="H649" s="282" t="n"/>
      <c r="K649" s="282" t="n"/>
      <c r="L649" s="282" t="n"/>
      <c r="O649" s="282" t="n"/>
      <c r="P649" s="282" t="n"/>
      <c r="S649" s="282" t="n"/>
      <c r="T649" s="282" t="n"/>
      <c r="W649" s="282" t="n"/>
      <c r="X649" s="282" t="n"/>
      <c r="Y649" s="282" t="n"/>
      <c r="Z649" s="282" t="n"/>
      <c r="AA649" s="282" t="n"/>
      <c r="AB649" s="282" t="n"/>
      <c r="AC649" s="529" t="n"/>
      <c r="AE649" s="282" t="n"/>
      <c r="AF649" s="282" t="n"/>
      <c r="AI649" s="282" t="n"/>
      <c r="AJ649" s="282" t="n"/>
      <c r="AM649" s="282" t="n"/>
      <c r="AN649" s="282" t="n"/>
      <c r="AQ649" s="282" t="n"/>
      <c r="AR649" s="282" t="n"/>
    </row>
    <row customHeight="1" ht="15.75" r="650" s="452" spans="1:45">
      <c r="A650" s="44" t="n"/>
      <c r="G650" s="282" t="n"/>
      <c r="H650" s="282" t="n"/>
      <c r="K650" s="282" t="n"/>
      <c r="L650" s="282" t="n"/>
      <c r="O650" s="282" t="n"/>
      <c r="P650" s="282" t="n"/>
      <c r="S650" s="282" t="n"/>
      <c r="T650" s="282" t="n"/>
      <c r="W650" s="282" t="n"/>
      <c r="X650" s="282" t="n"/>
      <c r="Y650" s="282" t="n"/>
      <c r="Z650" s="282" t="n"/>
      <c r="AA650" s="282" t="n"/>
      <c r="AB650" s="282" t="n"/>
      <c r="AC650" s="529" t="n"/>
      <c r="AE650" s="282" t="n"/>
      <c r="AF650" s="282" t="n"/>
      <c r="AI650" s="282" t="n"/>
      <c r="AJ650" s="282" t="n"/>
      <c r="AM650" s="282" t="n"/>
      <c r="AN650" s="282" t="n"/>
      <c r="AQ650" s="282" t="n"/>
      <c r="AR650" s="282" t="n"/>
    </row>
    <row customHeight="1" ht="15.75" r="651" s="452" spans="1:45">
      <c r="A651" s="44" t="n"/>
      <c r="G651" s="282" t="n"/>
      <c r="H651" s="282" t="n"/>
      <c r="K651" s="282" t="n"/>
      <c r="L651" s="282" t="n"/>
      <c r="O651" s="282" t="n"/>
      <c r="P651" s="282" t="n"/>
      <c r="S651" s="282" t="n"/>
      <c r="T651" s="282" t="n"/>
      <c r="W651" s="282" t="n"/>
      <c r="X651" s="282" t="n"/>
      <c r="Y651" s="282" t="n"/>
      <c r="Z651" s="282" t="n"/>
      <c r="AA651" s="282" t="n"/>
      <c r="AB651" s="282" t="n"/>
      <c r="AC651" s="529" t="n"/>
      <c r="AE651" s="282" t="n"/>
      <c r="AF651" s="282" t="n"/>
      <c r="AI651" s="282" t="n"/>
      <c r="AJ651" s="282" t="n"/>
      <c r="AM651" s="282" t="n"/>
      <c r="AN651" s="282" t="n"/>
      <c r="AQ651" s="282" t="n"/>
      <c r="AR651" s="282" t="n"/>
    </row>
    <row customHeight="1" ht="15.75" r="652" s="452" spans="1:45">
      <c r="A652" s="44" t="n"/>
      <c r="G652" s="282" t="n"/>
      <c r="H652" s="282" t="n"/>
      <c r="K652" s="282" t="n"/>
      <c r="L652" s="282" t="n"/>
      <c r="O652" s="282" t="n"/>
      <c r="P652" s="282" t="n"/>
      <c r="S652" s="282" t="n"/>
      <c r="T652" s="282" t="n"/>
      <c r="W652" s="282" t="n"/>
      <c r="X652" s="282" t="n"/>
      <c r="Y652" s="282" t="n"/>
      <c r="Z652" s="282" t="n"/>
      <c r="AA652" s="282" t="n"/>
      <c r="AB652" s="282" t="n"/>
      <c r="AC652" s="529" t="n"/>
      <c r="AE652" s="282" t="n"/>
      <c r="AF652" s="282" t="n"/>
      <c r="AI652" s="282" t="n"/>
      <c r="AJ652" s="282" t="n"/>
      <c r="AM652" s="282" t="n"/>
      <c r="AN652" s="282" t="n"/>
      <c r="AQ652" s="282" t="n"/>
      <c r="AR652" s="282" t="n"/>
    </row>
    <row customHeight="1" ht="15.75" r="653" s="452" spans="1:45">
      <c r="A653" s="44" t="n"/>
      <c r="G653" s="282" t="n"/>
      <c r="H653" s="282" t="n"/>
      <c r="K653" s="282" t="n"/>
      <c r="L653" s="282" t="n"/>
      <c r="O653" s="282" t="n"/>
      <c r="P653" s="282" t="n"/>
      <c r="S653" s="282" t="n"/>
      <c r="T653" s="282" t="n"/>
      <c r="W653" s="282" t="n"/>
      <c r="X653" s="282" t="n"/>
      <c r="Y653" s="282" t="n"/>
      <c r="Z653" s="282" t="n"/>
      <c r="AA653" s="282" t="n"/>
      <c r="AB653" s="282" t="n"/>
      <c r="AC653" s="529" t="n"/>
      <c r="AE653" s="282" t="n"/>
      <c r="AF653" s="282" t="n"/>
      <c r="AI653" s="282" t="n"/>
      <c r="AJ653" s="282" t="n"/>
      <c r="AM653" s="282" t="n"/>
      <c r="AN653" s="282" t="n"/>
      <c r="AQ653" s="282" t="n"/>
      <c r="AR653" s="282" t="n"/>
    </row>
    <row customHeight="1" ht="15.75" r="654" s="452" spans="1:45">
      <c r="A654" s="44" t="n"/>
      <c r="G654" s="282" t="n"/>
      <c r="H654" s="282" t="n"/>
      <c r="K654" s="282" t="n"/>
      <c r="L654" s="282" t="n"/>
      <c r="O654" s="282" t="n"/>
      <c r="P654" s="282" t="n"/>
      <c r="S654" s="282" t="n"/>
      <c r="T654" s="282" t="n"/>
      <c r="W654" s="282" t="n"/>
      <c r="X654" s="282" t="n"/>
      <c r="Y654" s="282" t="n"/>
      <c r="Z654" s="282" t="n"/>
      <c r="AA654" s="282" t="n"/>
      <c r="AB654" s="282" t="n"/>
      <c r="AC654" s="529" t="n"/>
      <c r="AE654" s="282" t="n"/>
      <c r="AF654" s="282" t="n"/>
      <c r="AI654" s="282" t="n"/>
      <c r="AJ654" s="282" t="n"/>
      <c r="AM654" s="282" t="n"/>
      <c r="AN654" s="282" t="n"/>
      <c r="AQ654" s="282" t="n"/>
      <c r="AR654" s="282" t="n"/>
    </row>
    <row customHeight="1" ht="15.75" r="655" s="452" spans="1:45">
      <c r="A655" s="44" t="n"/>
      <c r="G655" s="282" t="n"/>
      <c r="H655" s="282" t="n"/>
      <c r="K655" s="282" t="n"/>
      <c r="L655" s="282" t="n"/>
      <c r="O655" s="282" t="n"/>
      <c r="P655" s="282" t="n"/>
      <c r="S655" s="282" t="n"/>
      <c r="T655" s="282" t="n"/>
      <c r="W655" s="282" t="n"/>
      <c r="X655" s="282" t="n"/>
      <c r="Y655" s="282" t="n"/>
      <c r="Z655" s="282" t="n"/>
      <c r="AA655" s="282" t="n"/>
      <c r="AB655" s="282" t="n"/>
      <c r="AC655" s="529" t="n"/>
      <c r="AE655" s="282" t="n"/>
      <c r="AF655" s="282" t="n"/>
      <c r="AI655" s="282" t="n"/>
      <c r="AJ655" s="282" t="n"/>
      <c r="AM655" s="282" t="n"/>
      <c r="AN655" s="282" t="n"/>
      <c r="AQ655" s="282" t="n"/>
      <c r="AR655" s="282" t="n"/>
    </row>
    <row customHeight="1" ht="15.75" r="656" s="452" spans="1:45">
      <c r="A656" s="44" t="n"/>
      <c r="G656" s="282" t="n"/>
      <c r="H656" s="282" t="n"/>
      <c r="K656" s="282" t="n"/>
      <c r="L656" s="282" t="n"/>
      <c r="O656" s="282" t="n"/>
      <c r="P656" s="282" t="n"/>
      <c r="S656" s="282" t="n"/>
      <c r="T656" s="282" t="n"/>
      <c r="W656" s="282" t="n"/>
      <c r="X656" s="282" t="n"/>
      <c r="Y656" s="282" t="n"/>
      <c r="Z656" s="282" t="n"/>
      <c r="AA656" s="282" t="n"/>
      <c r="AB656" s="282" t="n"/>
      <c r="AC656" s="529" t="n"/>
      <c r="AE656" s="282" t="n"/>
      <c r="AF656" s="282" t="n"/>
      <c r="AI656" s="282" t="n"/>
      <c r="AJ656" s="282" t="n"/>
      <c r="AM656" s="282" t="n"/>
      <c r="AN656" s="282" t="n"/>
      <c r="AQ656" s="282" t="n"/>
      <c r="AR656" s="282" t="n"/>
    </row>
    <row customHeight="1" ht="15.75" r="657" s="452" spans="1:45">
      <c r="A657" s="44" t="n"/>
      <c r="G657" s="282" t="n"/>
      <c r="H657" s="282" t="n"/>
      <c r="K657" s="282" t="n"/>
      <c r="L657" s="282" t="n"/>
      <c r="O657" s="282" t="n"/>
      <c r="P657" s="282" t="n"/>
      <c r="S657" s="282" t="n"/>
      <c r="T657" s="282" t="n"/>
      <c r="W657" s="282" t="n"/>
      <c r="X657" s="282" t="n"/>
      <c r="Y657" s="282" t="n"/>
      <c r="Z657" s="282" t="n"/>
      <c r="AA657" s="282" t="n"/>
      <c r="AB657" s="282" t="n"/>
      <c r="AC657" s="529" t="n"/>
      <c r="AE657" s="282" t="n"/>
      <c r="AF657" s="282" t="n"/>
      <c r="AI657" s="282" t="n"/>
      <c r="AJ657" s="282" t="n"/>
      <c r="AM657" s="282" t="n"/>
      <c r="AN657" s="282" t="n"/>
      <c r="AQ657" s="282" t="n"/>
      <c r="AR657" s="282" t="n"/>
    </row>
    <row customHeight="1" ht="15.75" r="658" s="452" spans="1:45">
      <c r="A658" s="44" t="n"/>
      <c r="G658" s="282" t="n"/>
      <c r="H658" s="282" t="n"/>
      <c r="K658" s="282" t="n"/>
      <c r="L658" s="282" t="n"/>
      <c r="O658" s="282" t="n"/>
      <c r="P658" s="282" t="n"/>
      <c r="S658" s="282" t="n"/>
      <c r="T658" s="282" t="n"/>
      <c r="W658" s="282" t="n"/>
      <c r="X658" s="282" t="n"/>
      <c r="Y658" s="282" t="n"/>
      <c r="Z658" s="282" t="n"/>
      <c r="AA658" s="282" t="n"/>
      <c r="AB658" s="282" t="n"/>
      <c r="AC658" s="529" t="n"/>
      <c r="AE658" s="282" t="n"/>
      <c r="AF658" s="282" t="n"/>
      <c r="AI658" s="282" t="n"/>
      <c r="AJ658" s="282" t="n"/>
      <c r="AM658" s="282" t="n"/>
      <c r="AN658" s="282" t="n"/>
      <c r="AQ658" s="282" t="n"/>
      <c r="AR658" s="282" t="n"/>
    </row>
    <row customHeight="1" ht="15.75" r="659" s="452" spans="1:45">
      <c r="A659" s="44" t="n"/>
      <c r="G659" s="282" t="n"/>
      <c r="H659" s="282" t="n"/>
      <c r="K659" s="282" t="n"/>
      <c r="L659" s="282" t="n"/>
      <c r="O659" s="282" t="n"/>
      <c r="P659" s="282" t="n"/>
      <c r="S659" s="282" t="n"/>
      <c r="T659" s="282" t="n"/>
      <c r="W659" s="282" t="n"/>
      <c r="X659" s="282" t="n"/>
      <c r="Y659" s="282" t="n"/>
      <c r="Z659" s="282" t="n"/>
      <c r="AA659" s="282" t="n"/>
      <c r="AB659" s="282" t="n"/>
      <c r="AC659" s="529" t="n"/>
      <c r="AE659" s="282" t="n"/>
      <c r="AF659" s="282" t="n"/>
      <c r="AI659" s="282" t="n"/>
      <c r="AJ659" s="282" t="n"/>
      <c r="AM659" s="282" t="n"/>
      <c r="AN659" s="282" t="n"/>
      <c r="AQ659" s="282" t="n"/>
      <c r="AR659" s="282" t="n"/>
    </row>
    <row customHeight="1" ht="15.75" r="660" s="452" spans="1:45">
      <c r="A660" s="44" t="n"/>
      <c r="G660" s="282" t="n"/>
      <c r="H660" s="282" t="n"/>
      <c r="K660" s="282" t="n"/>
      <c r="L660" s="282" t="n"/>
      <c r="O660" s="282" t="n"/>
      <c r="P660" s="282" t="n"/>
      <c r="S660" s="282" t="n"/>
      <c r="T660" s="282" t="n"/>
      <c r="W660" s="282" t="n"/>
      <c r="X660" s="282" t="n"/>
      <c r="Y660" s="282" t="n"/>
      <c r="Z660" s="282" t="n"/>
      <c r="AA660" s="282" t="n"/>
      <c r="AB660" s="282" t="n"/>
      <c r="AC660" s="529" t="n"/>
      <c r="AE660" s="282" t="n"/>
      <c r="AF660" s="282" t="n"/>
      <c r="AI660" s="282" t="n"/>
      <c r="AJ660" s="282" t="n"/>
      <c r="AM660" s="282" t="n"/>
      <c r="AN660" s="282" t="n"/>
      <c r="AQ660" s="282" t="n"/>
      <c r="AR660" s="282" t="n"/>
    </row>
    <row customHeight="1" ht="15.75" r="661" s="452" spans="1:45">
      <c r="A661" s="44" t="n"/>
      <c r="G661" s="282" t="n"/>
      <c r="H661" s="282" t="n"/>
      <c r="K661" s="282" t="n"/>
      <c r="L661" s="282" t="n"/>
      <c r="O661" s="282" t="n"/>
      <c r="P661" s="282" t="n"/>
      <c r="S661" s="282" t="n"/>
      <c r="T661" s="282" t="n"/>
      <c r="W661" s="282" t="n"/>
      <c r="X661" s="282" t="n"/>
      <c r="Y661" s="282" t="n"/>
      <c r="Z661" s="282" t="n"/>
      <c r="AA661" s="282" t="n"/>
      <c r="AB661" s="282" t="n"/>
      <c r="AC661" s="529" t="n"/>
      <c r="AE661" s="282" t="n"/>
      <c r="AF661" s="282" t="n"/>
      <c r="AI661" s="282" t="n"/>
      <c r="AJ661" s="282" t="n"/>
      <c r="AM661" s="282" t="n"/>
      <c r="AN661" s="282" t="n"/>
      <c r="AQ661" s="282" t="n"/>
      <c r="AR661" s="282" t="n"/>
    </row>
    <row customHeight="1" ht="15.75" r="662" s="452" spans="1:45">
      <c r="A662" s="44" t="n"/>
      <c r="G662" s="282" t="n"/>
      <c r="H662" s="282" t="n"/>
      <c r="K662" s="282" t="n"/>
      <c r="L662" s="282" t="n"/>
      <c r="O662" s="282" t="n"/>
      <c r="P662" s="282" t="n"/>
      <c r="S662" s="282" t="n"/>
      <c r="T662" s="282" t="n"/>
      <c r="W662" s="282" t="n"/>
      <c r="X662" s="282" t="n"/>
      <c r="Y662" s="282" t="n"/>
      <c r="Z662" s="282" t="n"/>
      <c r="AA662" s="282" t="n"/>
      <c r="AB662" s="282" t="n"/>
      <c r="AC662" s="529" t="n"/>
      <c r="AE662" s="282" t="n"/>
      <c r="AF662" s="282" t="n"/>
      <c r="AI662" s="282" t="n"/>
      <c r="AJ662" s="282" t="n"/>
      <c r="AM662" s="282" t="n"/>
      <c r="AN662" s="282" t="n"/>
      <c r="AQ662" s="282" t="n"/>
      <c r="AR662" s="282" t="n"/>
    </row>
    <row customHeight="1" ht="15.75" r="663" s="452" spans="1:45">
      <c r="A663" s="44" t="n"/>
      <c r="G663" s="282" t="n"/>
      <c r="H663" s="282" t="n"/>
      <c r="K663" s="282" t="n"/>
      <c r="L663" s="282" t="n"/>
      <c r="O663" s="282" t="n"/>
      <c r="P663" s="282" t="n"/>
      <c r="S663" s="282" t="n"/>
      <c r="T663" s="282" t="n"/>
      <c r="W663" s="282" t="n"/>
      <c r="X663" s="282" t="n"/>
      <c r="Y663" s="282" t="n"/>
      <c r="Z663" s="282" t="n"/>
      <c r="AA663" s="282" t="n"/>
      <c r="AB663" s="282" t="n"/>
      <c r="AC663" s="529" t="n"/>
      <c r="AE663" s="282" t="n"/>
      <c r="AF663" s="282" t="n"/>
      <c r="AI663" s="282" t="n"/>
      <c r="AJ663" s="282" t="n"/>
      <c r="AM663" s="282" t="n"/>
      <c r="AN663" s="282" t="n"/>
      <c r="AQ663" s="282" t="n"/>
      <c r="AR663" s="282" t="n"/>
    </row>
    <row customHeight="1" ht="15.75" r="664" s="452" spans="1:45">
      <c r="A664" s="44" t="n"/>
      <c r="G664" s="282" t="n"/>
      <c r="H664" s="282" t="n"/>
      <c r="K664" s="282" t="n"/>
      <c r="L664" s="282" t="n"/>
      <c r="O664" s="282" t="n"/>
      <c r="P664" s="282" t="n"/>
      <c r="S664" s="282" t="n"/>
      <c r="T664" s="282" t="n"/>
      <c r="W664" s="282" t="n"/>
      <c r="X664" s="282" t="n"/>
      <c r="Y664" s="282" t="n"/>
      <c r="Z664" s="282" t="n"/>
      <c r="AA664" s="282" t="n"/>
      <c r="AB664" s="282" t="n"/>
      <c r="AC664" s="529" t="n"/>
      <c r="AE664" s="282" t="n"/>
      <c r="AF664" s="282" t="n"/>
      <c r="AI664" s="282" t="n"/>
      <c r="AJ664" s="282" t="n"/>
      <c r="AM664" s="282" t="n"/>
      <c r="AN664" s="282" t="n"/>
      <c r="AQ664" s="282" t="n"/>
      <c r="AR664" s="282" t="n"/>
    </row>
    <row customHeight="1" ht="15.75" r="665" s="452" spans="1:45">
      <c r="A665" s="44" t="n"/>
      <c r="G665" s="282" t="n"/>
      <c r="H665" s="282" t="n"/>
      <c r="K665" s="282" t="n"/>
      <c r="L665" s="282" t="n"/>
      <c r="O665" s="282" t="n"/>
      <c r="P665" s="282" t="n"/>
      <c r="S665" s="282" t="n"/>
      <c r="T665" s="282" t="n"/>
      <c r="W665" s="282" t="n"/>
      <c r="X665" s="282" t="n"/>
      <c r="Y665" s="282" t="n"/>
      <c r="Z665" s="282" t="n"/>
      <c r="AA665" s="282" t="n"/>
      <c r="AB665" s="282" t="n"/>
      <c r="AC665" s="529" t="n"/>
      <c r="AE665" s="282" t="n"/>
      <c r="AF665" s="282" t="n"/>
      <c r="AI665" s="282" t="n"/>
      <c r="AJ665" s="282" t="n"/>
      <c r="AM665" s="282" t="n"/>
      <c r="AN665" s="282" t="n"/>
      <c r="AQ665" s="282" t="n"/>
      <c r="AR665" s="282" t="n"/>
    </row>
    <row customHeight="1" ht="15.75" r="666" s="452" spans="1:45">
      <c r="A666" s="44" t="n"/>
      <c r="G666" s="282" t="n"/>
      <c r="H666" s="282" t="n"/>
      <c r="K666" s="282" t="n"/>
      <c r="L666" s="282" t="n"/>
      <c r="O666" s="282" t="n"/>
      <c r="P666" s="282" t="n"/>
      <c r="S666" s="282" t="n"/>
      <c r="T666" s="282" t="n"/>
      <c r="W666" s="282" t="n"/>
      <c r="X666" s="282" t="n"/>
      <c r="Y666" s="282" t="n"/>
      <c r="Z666" s="282" t="n"/>
      <c r="AA666" s="282" t="n"/>
      <c r="AB666" s="282" t="n"/>
      <c r="AC666" s="529" t="n"/>
      <c r="AE666" s="282" t="n"/>
      <c r="AF666" s="282" t="n"/>
      <c r="AI666" s="282" t="n"/>
      <c r="AJ666" s="282" t="n"/>
      <c r="AM666" s="282" t="n"/>
      <c r="AN666" s="282" t="n"/>
      <c r="AQ666" s="282" t="n"/>
      <c r="AR666" s="282" t="n"/>
    </row>
    <row customHeight="1" ht="15.75" r="667" s="452" spans="1:45">
      <c r="A667" s="44" t="n"/>
      <c r="G667" s="282" t="n"/>
      <c r="H667" s="282" t="n"/>
      <c r="K667" s="282" t="n"/>
      <c r="L667" s="282" t="n"/>
      <c r="O667" s="282" t="n"/>
      <c r="P667" s="282" t="n"/>
      <c r="S667" s="282" t="n"/>
      <c r="T667" s="282" t="n"/>
      <c r="W667" s="282" t="n"/>
      <c r="X667" s="282" t="n"/>
      <c r="Y667" s="282" t="n"/>
      <c r="Z667" s="282" t="n"/>
      <c r="AA667" s="282" t="n"/>
      <c r="AB667" s="282" t="n"/>
      <c r="AC667" s="529" t="n"/>
      <c r="AE667" s="282" t="n"/>
      <c r="AF667" s="282" t="n"/>
      <c r="AI667" s="282" t="n"/>
      <c r="AJ667" s="282" t="n"/>
      <c r="AM667" s="282" t="n"/>
      <c r="AN667" s="282" t="n"/>
      <c r="AQ667" s="282" t="n"/>
      <c r="AR667" s="282" t="n"/>
    </row>
    <row customHeight="1" ht="15.75" r="668" s="452" spans="1:45">
      <c r="A668" s="44" t="n"/>
      <c r="G668" s="282" t="n"/>
      <c r="H668" s="282" t="n"/>
      <c r="K668" s="282" t="n"/>
      <c r="L668" s="282" t="n"/>
      <c r="O668" s="282" t="n"/>
      <c r="P668" s="282" t="n"/>
      <c r="S668" s="282" t="n"/>
      <c r="T668" s="282" t="n"/>
      <c r="W668" s="282" t="n"/>
      <c r="X668" s="282" t="n"/>
      <c r="Y668" s="282" t="n"/>
      <c r="Z668" s="282" t="n"/>
      <c r="AA668" s="282" t="n"/>
      <c r="AB668" s="282" t="n"/>
      <c r="AC668" s="529" t="n"/>
      <c r="AE668" s="282" t="n"/>
      <c r="AF668" s="282" t="n"/>
      <c r="AI668" s="282" t="n"/>
      <c r="AJ668" s="282" t="n"/>
      <c r="AM668" s="282" t="n"/>
      <c r="AN668" s="282" t="n"/>
      <c r="AQ668" s="282" t="n"/>
      <c r="AR668" s="282" t="n"/>
    </row>
    <row customHeight="1" ht="15.75" r="669" s="452" spans="1:45">
      <c r="A669" s="44" t="n"/>
      <c r="G669" s="282" t="n"/>
      <c r="H669" s="282" t="n"/>
      <c r="K669" s="282" t="n"/>
      <c r="L669" s="282" t="n"/>
      <c r="O669" s="282" t="n"/>
      <c r="P669" s="282" t="n"/>
      <c r="S669" s="282" t="n"/>
      <c r="T669" s="282" t="n"/>
      <c r="W669" s="282" t="n"/>
      <c r="X669" s="282" t="n"/>
      <c r="Y669" s="282" t="n"/>
      <c r="Z669" s="282" t="n"/>
      <c r="AA669" s="282" t="n"/>
      <c r="AB669" s="282" t="n"/>
      <c r="AC669" s="529" t="n"/>
      <c r="AE669" s="282" t="n"/>
      <c r="AF669" s="282" t="n"/>
      <c r="AI669" s="282" t="n"/>
      <c r="AJ669" s="282" t="n"/>
      <c r="AM669" s="282" t="n"/>
      <c r="AN669" s="282" t="n"/>
      <c r="AQ669" s="282" t="n"/>
      <c r="AR669" s="282" t="n"/>
    </row>
    <row customHeight="1" ht="15.75" r="670" s="452" spans="1:45">
      <c r="A670" s="44" t="n"/>
      <c r="G670" s="282" t="n"/>
      <c r="H670" s="282" t="n"/>
      <c r="K670" s="282" t="n"/>
      <c r="L670" s="282" t="n"/>
      <c r="O670" s="282" t="n"/>
      <c r="P670" s="282" t="n"/>
      <c r="S670" s="282" t="n"/>
      <c r="T670" s="282" t="n"/>
      <c r="W670" s="282" t="n"/>
      <c r="X670" s="282" t="n"/>
      <c r="Y670" s="282" t="n"/>
      <c r="Z670" s="282" t="n"/>
      <c r="AA670" s="282" t="n"/>
      <c r="AB670" s="282" t="n"/>
      <c r="AC670" s="529" t="n"/>
      <c r="AE670" s="282" t="n"/>
      <c r="AF670" s="282" t="n"/>
      <c r="AI670" s="282" t="n"/>
      <c r="AJ670" s="282" t="n"/>
      <c r="AM670" s="282" t="n"/>
      <c r="AN670" s="282" t="n"/>
      <c r="AQ670" s="282" t="n"/>
      <c r="AR670" s="282" t="n"/>
    </row>
    <row customHeight="1" ht="15.75" r="671" s="452" spans="1:45">
      <c r="A671" s="44" t="n"/>
      <c r="G671" s="282" t="n"/>
      <c r="H671" s="282" t="n"/>
      <c r="K671" s="282" t="n"/>
      <c r="L671" s="282" t="n"/>
      <c r="O671" s="282" t="n"/>
      <c r="P671" s="282" t="n"/>
      <c r="S671" s="282" t="n"/>
      <c r="T671" s="282" t="n"/>
      <c r="W671" s="282" t="n"/>
      <c r="X671" s="282" t="n"/>
      <c r="Y671" s="282" t="n"/>
      <c r="Z671" s="282" t="n"/>
      <c r="AA671" s="282" t="n"/>
      <c r="AB671" s="282" t="n"/>
      <c r="AC671" s="529" t="n"/>
      <c r="AE671" s="282" t="n"/>
      <c r="AF671" s="282" t="n"/>
      <c r="AI671" s="282" t="n"/>
      <c r="AJ671" s="282" t="n"/>
      <c r="AM671" s="282" t="n"/>
      <c r="AN671" s="282" t="n"/>
      <c r="AQ671" s="282" t="n"/>
      <c r="AR671" s="282" t="n"/>
    </row>
    <row customHeight="1" ht="15.75" r="672" s="452" spans="1:45">
      <c r="A672" s="44" t="n"/>
      <c r="G672" s="282" t="n"/>
      <c r="H672" s="282" t="n"/>
      <c r="K672" s="282" t="n"/>
      <c r="L672" s="282" t="n"/>
      <c r="O672" s="282" t="n"/>
      <c r="P672" s="282" t="n"/>
      <c r="S672" s="282" t="n"/>
      <c r="T672" s="282" t="n"/>
      <c r="W672" s="282" t="n"/>
      <c r="X672" s="282" t="n"/>
      <c r="Y672" s="282" t="n"/>
      <c r="Z672" s="282" t="n"/>
      <c r="AA672" s="282" t="n"/>
      <c r="AB672" s="282" t="n"/>
      <c r="AC672" s="529" t="n"/>
      <c r="AE672" s="282" t="n"/>
      <c r="AF672" s="282" t="n"/>
      <c r="AI672" s="282" t="n"/>
      <c r="AJ672" s="282" t="n"/>
      <c r="AM672" s="282" t="n"/>
      <c r="AN672" s="282" t="n"/>
      <c r="AQ672" s="282" t="n"/>
      <c r="AR672" s="282" t="n"/>
    </row>
    <row customHeight="1" ht="15.75" r="673" s="452" spans="1:45">
      <c r="A673" s="44" t="n"/>
      <c r="G673" s="282" t="n"/>
      <c r="H673" s="282" t="n"/>
      <c r="K673" s="282" t="n"/>
      <c r="L673" s="282" t="n"/>
      <c r="O673" s="282" t="n"/>
      <c r="P673" s="282" t="n"/>
      <c r="S673" s="282" t="n"/>
      <c r="T673" s="282" t="n"/>
      <c r="W673" s="282" t="n"/>
      <c r="X673" s="282" t="n"/>
      <c r="Y673" s="282" t="n"/>
      <c r="Z673" s="282" t="n"/>
      <c r="AA673" s="282" t="n"/>
      <c r="AB673" s="282" t="n"/>
      <c r="AC673" s="529" t="n"/>
      <c r="AE673" s="282" t="n"/>
      <c r="AF673" s="282" t="n"/>
      <c r="AI673" s="282" t="n"/>
      <c r="AJ673" s="282" t="n"/>
      <c r="AM673" s="282" t="n"/>
      <c r="AN673" s="282" t="n"/>
      <c r="AQ673" s="282" t="n"/>
      <c r="AR673" s="282" t="n"/>
    </row>
    <row customHeight="1" ht="15.75" r="674" s="452" spans="1:45">
      <c r="A674" s="44" t="n"/>
      <c r="G674" s="282" t="n"/>
      <c r="H674" s="282" t="n"/>
      <c r="K674" s="282" t="n"/>
      <c r="L674" s="282" t="n"/>
      <c r="O674" s="282" t="n"/>
      <c r="P674" s="282" t="n"/>
      <c r="S674" s="282" t="n"/>
      <c r="T674" s="282" t="n"/>
      <c r="W674" s="282" t="n"/>
      <c r="X674" s="282" t="n"/>
      <c r="Y674" s="282" t="n"/>
      <c r="Z674" s="282" t="n"/>
      <c r="AA674" s="282" t="n"/>
      <c r="AB674" s="282" t="n"/>
      <c r="AC674" s="529" t="n"/>
      <c r="AE674" s="282" t="n"/>
      <c r="AF674" s="282" t="n"/>
      <c r="AI674" s="282" t="n"/>
      <c r="AJ674" s="282" t="n"/>
      <c r="AM674" s="282" t="n"/>
      <c r="AN674" s="282" t="n"/>
      <c r="AQ674" s="282" t="n"/>
      <c r="AR674" s="282" t="n"/>
    </row>
    <row customHeight="1" ht="15.75" r="675" s="452" spans="1:45">
      <c r="A675" s="44" t="n"/>
      <c r="G675" s="282" t="n"/>
      <c r="H675" s="282" t="n"/>
      <c r="K675" s="282" t="n"/>
      <c r="L675" s="282" t="n"/>
      <c r="O675" s="282" t="n"/>
      <c r="P675" s="282" t="n"/>
      <c r="S675" s="282" t="n"/>
      <c r="T675" s="282" t="n"/>
      <c r="W675" s="282" t="n"/>
      <c r="X675" s="282" t="n"/>
      <c r="Y675" s="282" t="n"/>
      <c r="Z675" s="282" t="n"/>
      <c r="AA675" s="282" t="n"/>
      <c r="AB675" s="282" t="n"/>
      <c r="AC675" s="529" t="n"/>
      <c r="AE675" s="282" t="n"/>
      <c r="AF675" s="282" t="n"/>
      <c r="AI675" s="282" t="n"/>
      <c r="AJ675" s="282" t="n"/>
      <c r="AM675" s="282" t="n"/>
      <c r="AN675" s="282" t="n"/>
      <c r="AQ675" s="282" t="n"/>
      <c r="AR675" s="282" t="n"/>
    </row>
    <row customHeight="1" ht="15.75" r="676" s="452" spans="1:45">
      <c r="A676" s="44" t="n"/>
      <c r="G676" s="282" t="n"/>
      <c r="H676" s="282" t="n"/>
      <c r="K676" s="282" t="n"/>
      <c r="L676" s="282" t="n"/>
      <c r="O676" s="282" t="n"/>
      <c r="P676" s="282" t="n"/>
      <c r="S676" s="282" t="n"/>
      <c r="T676" s="282" t="n"/>
      <c r="W676" s="282" t="n"/>
      <c r="X676" s="282" t="n"/>
      <c r="Y676" s="282" t="n"/>
      <c r="Z676" s="282" t="n"/>
      <c r="AA676" s="282" t="n"/>
      <c r="AB676" s="282" t="n"/>
      <c r="AC676" s="529" t="n"/>
      <c r="AE676" s="282" t="n"/>
      <c r="AF676" s="282" t="n"/>
      <c r="AI676" s="282" t="n"/>
      <c r="AJ676" s="282" t="n"/>
      <c r="AM676" s="282" t="n"/>
      <c r="AN676" s="282" t="n"/>
      <c r="AQ676" s="282" t="n"/>
      <c r="AR676" s="282" t="n"/>
    </row>
    <row customHeight="1" ht="15.75" r="677" s="452" spans="1:45">
      <c r="A677" s="44" t="n"/>
      <c r="G677" s="282" t="n"/>
      <c r="H677" s="282" t="n"/>
      <c r="K677" s="282" t="n"/>
      <c r="L677" s="282" t="n"/>
      <c r="O677" s="282" t="n"/>
      <c r="P677" s="282" t="n"/>
      <c r="S677" s="282" t="n"/>
      <c r="T677" s="282" t="n"/>
      <c r="W677" s="282" t="n"/>
      <c r="X677" s="282" t="n"/>
      <c r="Y677" s="282" t="n"/>
      <c r="Z677" s="282" t="n"/>
      <c r="AA677" s="282" t="n"/>
      <c r="AB677" s="282" t="n"/>
      <c r="AC677" s="529" t="n"/>
      <c r="AE677" s="282" t="n"/>
      <c r="AF677" s="282" t="n"/>
      <c r="AI677" s="282" t="n"/>
      <c r="AJ677" s="282" t="n"/>
      <c r="AM677" s="282" t="n"/>
      <c r="AN677" s="282" t="n"/>
      <c r="AQ677" s="282" t="n"/>
      <c r="AR677" s="282" t="n"/>
    </row>
    <row customHeight="1" ht="15.75" r="678" s="452" spans="1:45">
      <c r="A678" s="44" t="n"/>
      <c r="G678" s="282" t="n"/>
      <c r="H678" s="282" t="n"/>
      <c r="K678" s="282" t="n"/>
      <c r="L678" s="282" t="n"/>
      <c r="O678" s="282" t="n"/>
      <c r="P678" s="282" t="n"/>
      <c r="S678" s="282" t="n"/>
      <c r="T678" s="282" t="n"/>
      <c r="W678" s="282" t="n"/>
      <c r="X678" s="282" t="n"/>
      <c r="Y678" s="282" t="n"/>
      <c r="Z678" s="282" t="n"/>
      <c r="AA678" s="282" t="n"/>
      <c r="AB678" s="282" t="n"/>
      <c r="AC678" s="529" t="n"/>
      <c r="AE678" s="282" t="n"/>
      <c r="AF678" s="282" t="n"/>
      <c r="AI678" s="282" t="n"/>
      <c r="AJ678" s="282" t="n"/>
      <c r="AM678" s="282" t="n"/>
      <c r="AN678" s="282" t="n"/>
      <c r="AQ678" s="282" t="n"/>
      <c r="AR678" s="282" t="n"/>
    </row>
    <row customHeight="1" ht="15.75" r="679" s="452" spans="1:45">
      <c r="A679" s="44" t="n"/>
      <c r="G679" s="282" t="n"/>
      <c r="H679" s="282" t="n"/>
      <c r="K679" s="282" t="n"/>
      <c r="L679" s="282" t="n"/>
      <c r="O679" s="282" t="n"/>
      <c r="P679" s="282" t="n"/>
      <c r="S679" s="282" t="n"/>
      <c r="T679" s="282" t="n"/>
      <c r="W679" s="282" t="n"/>
      <c r="X679" s="282" t="n"/>
      <c r="Y679" s="282" t="n"/>
      <c r="Z679" s="282" t="n"/>
      <c r="AA679" s="282" t="n"/>
      <c r="AB679" s="282" t="n"/>
      <c r="AC679" s="529" t="n"/>
      <c r="AE679" s="282" t="n"/>
      <c r="AF679" s="282" t="n"/>
      <c r="AI679" s="282" t="n"/>
      <c r="AJ679" s="282" t="n"/>
      <c r="AM679" s="282" t="n"/>
      <c r="AN679" s="282" t="n"/>
      <c r="AQ679" s="282" t="n"/>
      <c r="AR679" s="282" t="n"/>
    </row>
    <row customHeight="1" ht="15.75" r="680" s="452" spans="1:45">
      <c r="A680" s="44" t="n"/>
      <c r="G680" s="282" t="n"/>
      <c r="H680" s="282" t="n"/>
      <c r="K680" s="282" t="n"/>
      <c r="L680" s="282" t="n"/>
      <c r="O680" s="282" t="n"/>
      <c r="P680" s="282" t="n"/>
      <c r="S680" s="282" t="n"/>
      <c r="T680" s="282" t="n"/>
      <c r="W680" s="282" t="n"/>
      <c r="X680" s="282" t="n"/>
      <c r="Y680" s="282" t="n"/>
      <c r="Z680" s="282" t="n"/>
      <c r="AA680" s="282" t="n"/>
      <c r="AB680" s="282" t="n"/>
      <c r="AC680" s="529" t="n"/>
      <c r="AE680" s="282" t="n"/>
      <c r="AF680" s="282" t="n"/>
      <c r="AI680" s="282" t="n"/>
      <c r="AJ680" s="282" t="n"/>
      <c r="AM680" s="282" t="n"/>
      <c r="AN680" s="282" t="n"/>
      <c r="AQ680" s="282" t="n"/>
      <c r="AR680" s="282" t="n"/>
    </row>
    <row customHeight="1" ht="15.75" r="681" s="452" spans="1:45">
      <c r="A681" s="44" t="n"/>
      <c r="G681" s="282" t="n"/>
      <c r="H681" s="282" t="n"/>
      <c r="K681" s="282" t="n"/>
      <c r="L681" s="282" t="n"/>
      <c r="O681" s="282" t="n"/>
      <c r="P681" s="282" t="n"/>
      <c r="S681" s="282" t="n"/>
      <c r="T681" s="282" t="n"/>
      <c r="W681" s="282" t="n"/>
      <c r="X681" s="282" t="n"/>
      <c r="Y681" s="282" t="n"/>
      <c r="Z681" s="282" t="n"/>
      <c r="AA681" s="282" t="n"/>
      <c r="AB681" s="282" t="n"/>
      <c r="AC681" s="529" t="n"/>
      <c r="AE681" s="282" t="n"/>
      <c r="AF681" s="282" t="n"/>
      <c r="AI681" s="282" t="n"/>
      <c r="AJ681" s="282" t="n"/>
      <c r="AM681" s="282" t="n"/>
      <c r="AN681" s="282" t="n"/>
      <c r="AQ681" s="282" t="n"/>
      <c r="AR681" s="282" t="n"/>
    </row>
    <row customHeight="1" ht="15.75" r="682" s="452" spans="1:45">
      <c r="A682" s="44" t="n"/>
      <c r="G682" s="282" t="n"/>
      <c r="H682" s="282" t="n"/>
      <c r="K682" s="282" t="n"/>
      <c r="L682" s="282" t="n"/>
      <c r="O682" s="282" t="n"/>
      <c r="P682" s="282" t="n"/>
      <c r="S682" s="282" t="n"/>
      <c r="T682" s="282" t="n"/>
      <c r="W682" s="282" t="n"/>
      <c r="X682" s="282" t="n"/>
      <c r="Y682" s="282" t="n"/>
      <c r="Z682" s="282" t="n"/>
      <c r="AA682" s="282" t="n"/>
      <c r="AB682" s="282" t="n"/>
      <c r="AC682" s="529" t="n"/>
      <c r="AE682" s="282" t="n"/>
      <c r="AF682" s="282" t="n"/>
      <c r="AI682" s="282" t="n"/>
      <c r="AJ682" s="282" t="n"/>
      <c r="AM682" s="282" t="n"/>
      <c r="AN682" s="282" t="n"/>
      <c r="AQ682" s="282" t="n"/>
      <c r="AR682" s="282" t="n"/>
    </row>
    <row customHeight="1" ht="15.75" r="683" s="452" spans="1:45">
      <c r="A683" s="44" t="n"/>
      <c r="G683" s="282" t="n"/>
      <c r="H683" s="282" t="n"/>
      <c r="K683" s="282" t="n"/>
      <c r="L683" s="282" t="n"/>
      <c r="O683" s="282" t="n"/>
      <c r="P683" s="282" t="n"/>
      <c r="S683" s="282" t="n"/>
      <c r="T683" s="282" t="n"/>
      <c r="W683" s="282" t="n"/>
      <c r="X683" s="282" t="n"/>
      <c r="Y683" s="282" t="n"/>
      <c r="Z683" s="282" t="n"/>
      <c r="AA683" s="282" t="n"/>
      <c r="AB683" s="282" t="n"/>
      <c r="AC683" s="529" t="n"/>
      <c r="AE683" s="282" t="n"/>
      <c r="AF683" s="282" t="n"/>
      <c r="AI683" s="282" t="n"/>
      <c r="AJ683" s="282" t="n"/>
      <c r="AM683" s="282" t="n"/>
      <c r="AN683" s="282" t="n"/>
      <c r="AQ683" s="282" t="n"/>
      <c r="AR683" s="282" t="n"/>
    </row>
    <row customHeight="1" ht="15.75" r="684" s="452" spans="1:45">
      <c r="A684" s="44" t="n"/>
      <c r="G684" s="282" t="n"/>
      <c r="H684" s="282" t="n"/>
      <c r="K684" s="282" t="n"/>
      <c r="L684" s="282" t="n"/>
      <c r="O684" s="282" t="n"/>
      <c r="P684" s="282" t="n"/>
      <c r="S684" s="282" t="n"/>
      <c r="T684" s="282" t="n"/>
      <c r="W684" s="282" t="n"/>
      <c r="X684" s="282" t="n"/>
      <c r="Y684" s="282" t="n"/>
      <c r="Z684" s="282" t="n"/>
      <c r="AA684" s="282" t="n"/>
      <c r="AB684" s="282" t="n"/>
      <c r="AC684" s="529" t="n"/>
      <c r="AE684" s="282" t="n"/>
      <c r="AF684" s="282" t="n"/>
      <c r="AI684" s="282" t="n"/>
      <c r="AJ684" s="282" t="n"/>
      <c r="AM684" s="282" t="n"/>
      <c r="AN684" s="282" t="n"/>
      <c r="AQ684" s="282" t="n"/>
      <c r="AR684" s="282" t="n"/>
    </row>
    <row customHeight="1" ht="15.75" r="685" s="452" spans="1:45">
      <c r="A685" s="44" t="n"/>
      <c r="G685" s="282" t="n"/>
      <c r="H685" s="282" t="n"/>
      <c r="K685" s="282" t="n"/>
      <c r="L685" s="282" t="n"/>
      <c r="O685" s="282" t="n"/>
      <c r="P685" s="282" t="n"/>
      <c r="S685" s="282" t="n"/>
      <c r="T685" s="282" t="n"/>
      <c r="W685" s="282" t="n"/>
      <c r="X685" s="282" t="n"/>
      <c r="Y685" s="282" t="n"/>
      <c r="Z685" s="282" t="n"/>
      <c r="AA685" s="282" t="n"/>
      <c r="AB685" s="282" t="n"/>
      <c r="AC685" s="529" t="n"/>
      <c r="AE685" s="282" t="n"/>
      <c r="AF685" s="282" t="n"/>
      <c r="AI685" s="282" t="n"/>
      <c r="AJ685" s="282" t="n"/>
      <c r="AM685" s="282" t="n"/>
      <c r="AN685" s="282" t="n"/>
      <c r="AQ685" s="282" t="n"/>
      <c r="AR685" s="282" t="n"/>
    </row>
    <row customHeight="1" ht="15.75" r="686" s="452" spans="1:45">
      <c r="A686" s="44" t="n"/>
      <c r="G686" s="282" t="n"/>
      <c r="H686" s="282" t="n"/>
      <c r="K686" s="282" t="n"/>
      <c r="L686" s="282" t="n"/>
      <c r="O686" s="282" t="n"/>
      <c r="P686" s="282" t="n"/>
      <c r="S686" s="282" t="n"/>
      <c r="T686" s="282" t="n"/>
      <c r="W686" s="282" t="n"/>
      <c r="X686" s="282" t="n"/>
      <c r="Y686" s="282" t="n"/>
      <c r="Z686" s="282" t="n"/>
      <c r="AA686" s="282" t="n"/>
      <c r="AB686" s="282" t="n"/>
      <c r="AC686" s="529" t="n"/>
      <c r="AE686" s="282" t="n"/>
      <c r="AF686" s="282" t="n"/>
      <c r="AI686" s="282" t="n"/>
      <c r="AJ686" s="282" t="n"/>
      <c r="AM686" s="282" t="n"/>
      <c r="AN686" s="282" t="n"/>
      <c r="AQ686" s="282" t="n"/>
      <c r="AR686" s="282" t="n"/>
    </row>
    <row customHeight="1" ht="15.75" r="687" s="452" spans="1:45">
      <c r="A687" s="44" t="n"/>
      <c r="G687" s="282" t="n"/>
      <c r="H687" s="282" t="n"/>
      <c r="K687" s="282" t="n"/>
      <c r="L687" s="282" t="n"/>
      <c r="O687" s="282" t="n"/>
      <c r="P687" s="282" t="n"/>
      <c r="S687" s="282" t="n"/>
      <c r="T687" s="282" t="n"/>
      <c r="W687" s="282" t="n"/>
      <c r="X687" s="282" t="n"/>
      <c r="Y687" s="282" t="n"/>
      <c r="Z687" s="282" t="n"/>
      <c r="AA687" s="282" t="n"/>
      <c r="AB687" s="282" t="n"/>
      <c r="AC687" s="529" t="n"/>
      <c r="AE687" s="282" t="n"/>
      <c r="AF687" s="282" t="n"/>
      <c r="AI687" s="282" t="n"/>
      <c r="AJ687" s="282" t="n"/>
      <c r="AM687" s="282" t="n"/>
      <c r="AN687" s="282" t="n"/>
      <c r="AQ687" s="282" t="n"/>
      <c r="AR687" s="282" t="n"/>
    </row>
    <row customHeight="1" ht="15.75" r="688" s="452" spans="1:45">
      <c r="A688" s="44" t="n"/>
      <c r="G688" s="282" t="n"/>
      <c r="H688" s="282" t="n"/>
      <c r="K688" s="282" t="n"/>
      <c r="L688" s="282" t="n"/>
      <c r="O688" s="282" t="n"/>
      <c r="P688" s="282" t="n"/>
      <c r="S688" s="282" t="n"/>
      <c r="T688" s="282" t="n"/>
      <c r="W688" s="282" t="n"/>
      <c r="X688" s="282" t="n"/>
      <c r="Y688" s="282" t="n"/>
      <c r="Z688" s="282" t="n"/>
      <c r="AA688" s="282" t="n"/>
      <c r="AB688" s="282" t="n"/>
      <c r="AC688" s="529" t="n"/>
      <c r="AE688" s="282" t="n"/>
      <c r="AF688" s="282" t="n"/>
      <c r="AI688" s="282" t="n"/>
      <c r="AJ688" s="282" t="n"/>
      <c r="AM688" s="282" t="n"/>
      <c r="AN688" s="282" t="n"/>
      <c r="AQ688" s="282" t="n"/>
      <c r="AR688" s="282" t="n"/>
    </row>
    <row customHeight="1" ht="15.75" r="689" s="452" spans="1:45">
      <c r="A689" s="44" t="n"/>
      <c r="G689" s="282" t="n"/>
      <c r="H689" s="282" t="n"/>
      <c r="K689" s="282" t="n"/>
      <c r="L689" s="282" t="n"/>
      <c r="O689" s="282" t="n"/>
      <c r="P689" s="282" t="n"/>
      <c r="S689" s="282" t="n"/>
      <c r="T689" s="282" t="n"/>
      <c r="W689" s="282" t="n"/>
      <c r="X689" s="282" t="n"/>
      <c r="Y689" s="282" t="n"/>
      <c r="Z689" s="282" t="n"/>
      <c r="AA689" s="282" t="n"/>
      <c r="AB689" s="282" t="n"/>
      <c r="AC689" s="529" t="n"/>
      <c r="AE689" s="282" t="n"/>
      <c r="AF689" s="282" t="n"/>
      <c r="AI689" s="282" t="n"/>
      <c r="AJ689" s="282" t="n"/>
      <c r="AM689" s="282" t="n"/>
      <c r="AN689" s="282" t="n"/>
      <c r="AQ689" s="282" t="n"/>
      <c r="AR689" s="282" t="n"/>
    </row>
    <row customHeight="1" ht="15.75" r="690" s="452" spans="1:45">
      <c r="A690" s="44" t="n"/>
      <c r="G690" s="282" t="n"/>
      <c r="H690" s="282" t="n"/>
      <c r="K690" s="282" t="n"/>
      <c r="L690" s="282" t="n"/>
      <c r="O690" s="282" t="n"/>
      <c r="P690" s="282" t="n"/>
      <c r="S690" s="282" t="n"/>
      <c r="T690" s="282" t="n"/>
      <c r="W690" s="282" t="n"/>
      <c r="X690" s="282" t="n"/>
      <c r="Y690" s="282" t="n"/>
      <c r="Z690" s="282" t="n"/>
      <c r="AA690" s="282" t="n"/>
      <c r="AB690" s="282" t="n"/>
      <c r="AC690" s="529" t="n"/>
      <c r="AE690" s="282" t="n"/>
      <c r="AF690" s="282" t="n"/>
      <c r="AI690" s="282" t="n"/>
      <c r="AJ690" s="282" t="n"/>
      <c r="AM690" s="282" t="n"/>
      <c r="AN690" s="282" t="n"/>
      <c r="AQ690" s="282" t="n"/>
      <c r="AR690" s="282" t="n"/>
    </row>
    <row customHeight="1" ht="15.75" r="691" s="452" spans="1:45">
      <c r="A691" s="44" t="n"/>
      <c r="G691" s="282" t="n"/>
      <c r="H691" s="282" t="n"/>
      <c r="K691" s="282" t="n"/>
      <c r="L691" s="282" t="n"/>
      <c r="O691" s="282" t="n"/>
      <c r="P691" s="282" t="n"/>
      <c r="S691" s="282" t="n"/>
      <c r="T691" s="282" t="n"/>
      <c r="W691" s="282" t="n"/>
      <c r="X691" s="282" t="n"/>
      <c r="Y691" s="282" t="n"/>
      <c r="Z691" s="282" t="n"/>
      <c r="AA691" s="282" t="n"/>
      <c r="AB691" s="282" t="n"/>
      <c r="AC691" s="529" t="n"/>
      <c r="AE691" s="282" t="n"/>
      <c r="AF691" s="282" t="n"/>
      <c r="AI691" s="282" t="n"/>
      <c r="AJ691" s="282" t="n"/>
      <c r="AM691" s="282" t="n"/>
      <c r="AN691" s="282" t="n"/>
      <c r="AQ691" s="282" t="n"/>
      <c r="AR691" s="282" t="n"/>
    </row>
    <row customHeight="1" ht="15.75" r="692" s="452" spans="1:45">
      <c r="A692" s="44" t="n"/>
      <c r="G692" s="282" t="n"/>
      <c r="H692" s="282" t="n"/>
      <c r="K692" s="282" t="n"/>
      <c r="L692" s="282" t="n"/>
      <c r="O692" s="282" t="n"/>
      <c r="P692" s="282" t="n"/>
      <c r="S692" s="282" t="n"/>
      <c r="T692" s="282" t="n"/>
      <c r="W692" s="282" t="n"/>
      <c r="X692" s="282" t="n"/>
      <c r="Y692" s="282" t="n"/>
      <c r="Z692" s="282" t="n"/>
      <c r="AA692" s="282" t="n"/>
      <c r="AB692" s="282" t="n"/>
      <c r="AC692" s="529" t="n"/>
      <c r="AE692" s="282" t="n"/>
      <c r="AF692" s="282" t="n"/>
      <c r="AI692" s="282" t="n"/>
      <c r="AJ692" s="282" t="n"/>
      <c r="AM692" s="282" t="n"/>
      <c r="AN692" s="282" t="n"/>
      <c r="AQ692" s="282" t="n"/>
      <c r="AR692" s="282" t="n"/>
    </row>
    <row customHeight="1" ht="15.75" r="693" s="452" spans="1:45">
      <c r="A693" s="44" t="n"/>
      <c r="G693" s="282" t="n"/>
      <c r="H693" s="282" t="n"/>
      <c r="K693" s="282" t="n"/>
      <c r="L693" s="282" t="n"/>
      <c r="O693" s="282" t="n"/>
      <c r="P693" s="282" t="n"/>
      <c r="S693" s="282" t="n"/>
      <c r="T693" s="282" t="n"/>
      <c r="W693" s="282" t="n"/>
      <c r="X693" s="282" t="n"/>
      <c r="Y693" s="282" t="n"/>
      <c r="Z693" s="282" t="n"/>
      <c r="AA693" s="282" t="n"/>
      <c r="AB693" s="282" t="n"/>
      <c r="AC693" s="529" t="n"/>
      <c r="AE693" s="282" t="n"/>
      <c r="AF693" s="282" t="n"/>
      <c r="AI693" s="282" t="n"/>
      <c r="AJ693" s="282" t="n"/>
      <c r="AM693" s="282" t="n"/>
      <c r="AN693" s="282" t="n"/>
      <c r="AQ693" s="282" t="n"/>
      <c r="AR693" s="282" t="n"/>
    </row>
    <row customHeight="1" ht="15.75" r="694" s="452" spans="1:45">
      <c r="A694" s="44" t="n"/>
      <c r="G694" s="282" t="n"/>
      <c r="H694" s="282" t="n"/>
      <c r="K694" s="282" t="n"/>
      <c r="L694" s="282" t="n"/>
      <c r="O694" s="282" t="n"/>
      <c r="P694" s="282" t="n"/>
      <c r="S694" s="282" t="n"/>
      <c r="T694" s="282" t="n"/>
      <c r="W694" s="282" t="n"/>
      <c r="X694" s="282" t="n"/>
      <c r="Y694" s="282" t="n"/>
      <c r="Z694" s="282" t="n"/>
      <c r="AA694" s="282" t="n"/>
      <c r="AB694" s="282" t="n"/>
      <c r="AC694" s="529" t="n"/>
      <c r="AE694" s="282" t="n"/>
      <c r="AF694" s="282" t="n"/>
      <c r="AI694" s="282" t="n"/>
      <c r="AJ694" s="282" t="n"/>
      <c r="AM694" s="282" t="n"/>
      <c r="AN694" s="282" t="n"/>
      <c r="AQ694" s="282" t="n"/>
      <c r="AR694" s="282" t="n"/>
    </row>
    <row customHeight="1" ht="15.75" r="695" s="452" spans="1:45">
      <c r="A695" s="44" t="n"/>
      <c r="G695" s="282" t="n"/>
      <c r="H695" s="282" t="n"/>
      <c r="K695" s="282" t="n"/>
      <c r="L695" s="282" t="n"/>
      <c r="O695" s="282" t="n"/>
      <c r="P695" s="282" t="n"/>
      <c r="S695" s="282" t="n"/>
      <c r="T695" s="282" t="n"/>
      <c r="W695" s="282" t="n"/>
      <c r="X695" s="282" t="n"/>
      <c r="Y695" s="282" t="n"/>
      <c r="Z695" s="282" t="n"/>
      <c r="AA695" s="282" t="n"/>
      <c r="AB695" s="282" t="n"/>
      <c r="AC695" s="529" t="n"/>
      <c r="AE695" s="282" t="n"/>
      <c r="AF695" s="282" t="n"/>
      <c r="AI695" s="282" t="n"/>
      <c r="AJ695" s="282" t="n"/>
      <c r="AM695" s="282" t="n"/>
      <c r="AN695" s="282" t="n"/>
      <c r="AQ695" s="282" t="n"/>
      <c r="AR695" s="282" t="n"/>
    </row>
    <row customHeight="1" ht="15.75" r="696" s="452" spans="1:45">
      <c r="A696" s="44" t="n"/>
      <c r="G696" s="282" t="n"/>
      <c r="H696" s="282" t="n"/>
      <c r="K696" s="282" t="n"/>
      <c r="L696" s="282" t="n"/>
      <c r="O696" s="282" t="n"/>
      <c r="P696" s="282" t="n"/>
      <c r="S696" s="282" t="n"/>
      <c r="T696" s="282" t="n"/>
      <c r="W696" s="282" t="n"/>
      <c r="X696" s="282" t="n"/>
      <c r="Y696" s="282" t="n"/>
      <c r="Z696" s="282" t="n"/>
      <c r="AA696" s="282" t="n"/>
      <c r="AB696" s="282" t="n"/>
      <c r="AC696" s="529" t="n"/>
      <c r="AE696" s="282" t="n"/>
      <c r="AF696" s="282" t="n"/>
      <c r="AI696" s="282" t="n"/>
      <c r="AJ696" s="282" t="n"/>
      <c r="AM696" s="282" t="n"/>
      <c r="AN696" s="282" t="n"/>
      <c r="AQ696" s="282" t="n"/>
      <c r="AR696" s="282" t="n"/>
    </row>
    <row customHeight="1" ht="15.75" r="697" s="452" spans="1:45">
      <c r="A697" s="44" t="n"/>
      <c r="G697" s="282" t="n"/>
      <c r="H697" s="282" t="n"/>
      <c r="K697" s="282" t="n"/>
      <c r="L697" s="282" t="n"/>
      <c r="O697" s="282" t="n"/>
      <c r="P697" s="282" t="n"/>
      <c r="S697" s="282" t="n"/>
      <c r="T697" s="282" t="n"/>
      <c r="W697" s="282" t="n"/>
      <c r="X697" s="282" t="n"/>
      <c r="Y697" s="282" t="n"/>
      <c r="Z697" s="282" t="n"/>
      <c r="AA697" s="282" t="n"/>
      <c r="AB697" s="282" t="n"/>
      <c r="AC697" s="529" t="n"/>
      <c r="AE697" s="282" t="n"/>
      <c r="AF697" s="282" t="n"/>
      <c r="AI697" s="282" t="n"/>
      <c r="AJ697" s="282" t="n"/>
      <c r="AM697" s="282" t="n"/>
      <c r="AN697" s="282" t="n"/>
      <c r="AQ697" s="282" t="n"/>
      <c r="AR697" s="282" t="n"/>
    </row>
    <row customHeight="1" ht="15.75" r="698" s="452" spans="1:45">
      <c r="A698" s="44" t="n"/>
      <c r="G698" s="282" t="n"/>
      <c r="H698" s="282" t="n"/>
      <c r="K698" s="282" t="n"/>
      <c r="L698" s="282" t="n"/>
      <c r="O698" s="282" t="n"/>
      <c r="P698" s="282" t="n"/>
      <c r="S698" s="282" t="n"/>
      <c r="T698" s="282" t="n"/>
      <c r="W698" s="282" t="n"/>
      <c r="X698" s="282" t="n"/>
      <c r="Y698" s="282" t="n"/>
      <c r="Z698" s="282" t="n"/>
      <c r="AA698" s="282" t="n"/>
      <c r="AB698" s="282" t="n"/>
      <c r="AC698" s="529" t="n"/>
      <c r="AE698" s="282" t="n"/>
      <c r="AF698" s="282" t="n"/>
      <c r="AI698" s="282" t="n"/>
      <c r="AJ698" s="282" t="n"/>
      <c r="AM698" s="282" t="n"/>
      <c r="AN698" s="282" t="n"/>
      <c r="AQ698" s="282" t="n"/>
      <c r="AR698" s="282" t="n"/>
    </row>
    <row customHeight="1" ht="15.75" r="699" s="452" spans="1:45">
      <c r="A699" s="44" t="n"/>
      <c r="G699" s="282" t="n"/>
      <c r="H699" s="282" t="n"/>
      <c r="K699" s="282" t="n"/>
      <c r="L699" s="282" t="n"/>
      <c r="O699" s="282" t="n"/>
      <c r="P699" s="282" t="n"/>
      <c r="S699" s="282" t="n"/>
      <c r="T699" s="282" t="n"/>
      <c r="W699" s="282" t="n"/>
      <c r="X699" s="282" t="n"/>
      <c r="Y699" s="282" t="n"/>
      <c r="Z699" s="282" t="n"/>
      <c r="AA699" s="282" t="n"/>
      <c r="AB699" s="282" t="n"/>
      <c r="AC699" s="529" t="n"/>
      <c r="AE699" s="282" t="n"/>
      <c r="AF699" s="282" t="n"/>
      <c r="AI699" s="282" t="n"/>
      <c r="AJ699" s="282" t="n"/>
      <c r="AM699" s="282" t="n"/>
      <c r="AN699" s="282" t="n"/>
      <c r="AQ699" s="282" t="n"/>
      <c r="AR699" s="282" t="n"/>
    </row>
    <row customHeight="1" ht="15.75" r="700" s="452" spans="1:45">
      <c r="A700" s="44" t="n"/>
      <c r="G700" s="282" t="n"/>
      <c r="H700" s="282" t="n"/>
      <c r="K700" s="282" t="n"/>
      <c r="L700" s="282" t="n"/>
      <c r="O700" s="282" t="n"/>
      <c r="P700" s="282" t="n"/>
      <c r="S700" s="282" t="n"/>
      <c r="T700" s="282" t="n"/>
      <c r="W700" s="282" t="n"/>
      <c r="X700" s="282" t="n"/>
      <c r="Y700" s="282" t="n"/>
      <c r="Z700" s="282" t="n"/>
      <c r="AA700" s="282" t="n"/>
      <c r="AB700" s="282" t="n"/>
      <c r="AC700" s="529" t="n"/>
      <c r="AE700" s="282" t="n"/>
      <c r="AF700" s="282" t="n"/>
      <c r="AI700" s="282" t="n"/>
      <c r="AJ700" s="282" t="n"/>
      <c r="AM700" s="282" t="n"/>
      <c r="AN700" s="282" t="n"/>
      <c r="AQ700" s="282" t="n"/>
      <c r="AR700" s="282" t="n"/>
    </row>
    <row customHeight="1" ht="15.75" r="701" s="452" spans="1:45">
      <c r="A701" s="44" t="n"/>
      <c r="G701" s="282" t="n"/>
      <c r="H701" s="282" t="n"/>
      <c r="K701" s="282" t="n"/>
      <c r="L701" s="282" t="n"/>
      <c r="O701" s="282" t="n"/>
      <c r="P701" s="282" t="n"/>
      <c r="S701" s="282" t="n"/>
      <c r="T701" s="282" t="n"/>
      <c r="W701" s="282" t="n"/>
      <c r="X701" s="282" t="n"/>
      <c r="Y701" s="282" t="n"/>
      <c r="Z701" s="282" t="n"/>
      <c r="AA701" s="282" t="n"/>
      <c r="AB701" s="282" t="n"/>
      <c r="AC701" s="529" t="n"/>
      <c r="AE701" s="282" t="n"/>
      <c r="AF701" s="282" t="n"/>
      <c r="AI701" s="282" t="n"/>
      <c r="AJ701" s="282" t="n"/>
      <c r="AM701" s="282" t="n"/>
      <c r="AN701" s="282" t="n"/>
      <c r="AQ701" s="282" t="n"/>
      <c r="AR701" s="282" t="n"/>
    </row>
    <row customHeight="1" ht="15.75" r="702" s="452" spans="1:45">
      <c r="A702" s="44" t="n"/>
      <c r="G702" s="282" t="n"/>
      <c r="H702" s="282" t="n"/>
      <c r="K702" s="282" t="n"/>
      <c r="L702" s="282" t="n"/>
      <c r="O702" s="282" t="n"/>
      <c r="P702" s="282" t="n"/>
      <c r="S702" s="282" t="n"/>
      <c r="T702" s="282" t="n"/>
      <c r="W702" s="282" t="n"/>
      <c r="X702" s="282" t="n"/>
      <c r="Y702" s="282" t="n"/>
      <c r="Z702" s="282" t="n"/>
      <c r="AA702" s="282" t="n"/>
      <c r="AB702" s="282" t="n"/>
      <c r="AC702" s="529" t="n"/>
      <c r="AE702" s="282" t="n"/>
      <c r="AF702" s="282" t="n"/>
      <c r="AI702" s="282" t="n"/>
      <c r="AJ702" s="282" t="n"/>
      <c r="AM702" s="282" t="n"/>
      <c r="AN702" s="282" t="n"/>
      <c r="AQ702" s="282" t="n"/>
      <c r="AR702" s="282" t="n"/>
    </row>
    <row customHeight="1" ht="15.75" r="703" s="452" spans="1:45">
      <c r="A703" s="44" t="n"/>
      <c r="G703" s="282" t="n"/>
      <c r="H703" s="282" t="n"/>
      <c r="K703" s="282" t="n"/>
      <c r="L703" s="282" t="n"/>
      <c r="O703" s="282" t="n"/>
      <c r="P703" s="282" t="n"/>
      <c r="S703" s="282" t="n"/>
      <c r="T703" s="282" t="n"/>
      <c r="W703" s="282" t="n"/>
      <c r="X703" s="282" t="n"/>
      <c r="Y703" s="282" t="n"/>
      <c r="Z703" s="282" t="n"/>
      <c r="AA703" s="282" t="n"/>
      <c r="AB703" s="282" t="n"/>
      <c r="AC703" s="529" t="n"/>
      <c r="AE703" s="282" t="n"/>
      <c r="AF703" s="282" t="n"/>
      <c r="AI703" s="282" t="n"/>
      <c r="AJ703" s="282" t="n"/>
      <c r="AM703" s="282" t="n"/>
      <c r="AN703" s="282" t="n"/>
      <c r="AQ703" s="282" t="n"/>
      <c r="AR703" s="282" t="n"/>
    </row>
    <row customHeight="1" ht="15.75" r="704" s="452" spans="1:45">
      <c r="A704" s="44" t="n"/>
      <c r="G704" s="282" t="n"/>
      <c r="H704" s="282" t="n"/>
      <c r="K704" s="282" t="n"/>
      <c r="L704" s="282" t="n"/>
      <c r="O704" s="282" t="n"/>
      <c r="P704" s="282" t="n"/>
      <c r="S704" s="282" t="n"/>
      <c r="T704" s="282" t="n"/>
      <c r="W704" s="282" t="n"/>
      <c r="X704" s="282" t="n"/>
      <c r="Y704" s="282" t="n"/>
      <c r="Z704" s="282" t="n"/>
      <c r="AA704" s="282" t="n"/>
      <c r="AB704" s="282" t="n"/>
      <c r="AC704" s="529" t="n"/>
      <c r="AE704" s="282" t="n"/>
      <c r="AF704" s="282" t="n"/>
      <c r="AI704" s="282" t="n"/>
      <c r="AJ704" s="282" t="n"/>
      <c r="AM704" s="282" t="n"/>
      <c r="AN704" s="282" t="n"/>
      <c r="AQ704" s="282" t="n"/>
      <c r="AR704" s="282" t="n"/>
    </row>
    <row customHeight="1" ht="15.75" r="705" s="452" spans="1:45">
      <c r="A705" s="44" t="n"/>
      <c r="G705" s="282" t="n"/>
      <c r="H705" s="282" t="n"/>
      <c r="K705" s="282" t="n"/>
      <c r="L705" s="282" t="n"/>
      <c r="O705" s="282" t="n"/>
      <c r="P705" s="282" t="n"/>
      <c r="S705" s="282" t="n"/>
      <c r="T705" s="282" t="n"/>
      <c r="W705" s="282" t="n"/>
      <c r="X705" s="282" t="n"/>
      <c r="Y705" s="282" t="n"/>
      <c r="Z705" s="282" t="n"/>
      <c r="AA705" s="282" t="n"/>
      <c r="AB705" s="282" t="n"/>
      <c r="AC705" s="529" t="n"/>
      <c r="AE705" s="282" t="n"/>
      <c r="AF705" s="282" t="n"/>
      <c r="AI705" s="282" t="n"/>
      <c r="AJ705" s="282" t="n"/>
      <c r="AM705" s="282" t="n"/>
      <c r="AN705" s="282" t="n"/>
      <c r="AQ705" s="282" t="n"/>
      <c r="AR705" s="282" t="n"/>
    </row>
    <row customHeight="1" ht="15.75" r="706" s="452" spans="1:45">
      <c r="A706" s="44" t="n"/>
      <c r="G706" s="282" t="n"/>
      <c r="H706" s="282" t="n"/>
      <c r="K706" s="282" t="n"/>
      <c r="L706" s="282" t="n"/>
      <c r="O706" s="282" t="n"/>
      <c r="P706" s="282" t="n"/>
      <c r="S706" s="282" t="n"/>
      <c r="T706" s="282" t="n"/>
      <c r="W706" s="282" t="n"/>
      <c r="X706" s="282" t="n"/>
      <c r="Y706" s="282" t="n"/>
      <c r="Z706" s="282" t="n"/>
      <c r="AA706" s="282" t="n"/>
      <c r="AB706" s="282" t="n"/>
      <c r="AC706" s="529" t="n"/>
      <c r="AE706" s="282" t="n"/>
      <c r="AF706" s="282" t="n"/>
      <c r="AI706" s="282" t="n"/>
      <c r="AJ706" s="282" t="n"/>
      <c r="AM706" s="282" t="n"/>
      <c r="AN706" s="282" t="n"/>
      <c r="AQ706" s="282" t="n"/>
      <c r="AR706" s="282" t="n"/>
    </row>
    <row customHeight="1" ht="15.75" r="707" s="452" spans="1:45">
      <c r="A707" s="44" t="n"/>
      <c r="G707" s="282" t="n"/>
      <c r="H707" s="282" t="n"/>
      <c r="K707" s="282" t="n"/>
      <c r="L707" s="282" t="n"/>
      <c r="O707" s="282" t="n"/>
      <c r="P707" s="282" t="n"/>
      <c r="S707" s="282" t="n"/>
      <c r="T707" s="282" t="n"/>
      <c r="W707" s="282" t="n"/>
      <c r="X707" s="282" t="n"/>
      <c r="Y707" s="282" t="n"/>
      <c r="Z707" s="282" t="n"/>
      <c r="AA707" s="282" t="n"/>
      <c r="AB707" s="282" t="n"/>
      <c r="AC707" s="529" t="n"/>
      <c r="AE707" s="282" t="n"/>
      <c r="AF707" s="282" t="n"/>
      <c r="AI707" s="282" t="n"/>
      <c r="AJ707" s="282" t="n"/>
      <c r="AM707" s="282" t="n"/>
      <c r="AN707" s="282" t="n"/>
      <c r="AQ707" s="282" t="n"/>
      <c r="AR707" s="282" t="n"/>
    </row>
    <row customHeight="1" ht="15.75" r="708" s="452" spans="1:45">
      <c r="A708" s="44" t="n"/>
      <c r="G708" s="282" t="n"/>
      <c r="H708" s="282" t="n"/>
      <c r="K708" s="282" t="n"/>
      <c r="L708" s="282" t="n"/>
      <c r="O708" s="282" t="n"/>
      <c r="P708" s="282" t="n"/>
      <c r="S708" s="282" t="n"/>
      <c r="T708" s="282" t="n"/>
      <c r="W708" s="282" t="n"/>
      <c r="X708" s="282" t="n"/>
      <c r="Y708" s="282" t="n"/>
      <c r="Z708" s="282" t="n"/>
      <c r="AA708" s="282" t="n"/>
      <c r="AB708" s="282" t="n"/>
      <c r="AC708" s="529" t="n"/>
      <c r="AE708" s="282" t="n"/>
      <c r="AF708" s="282" t="n"/>
      <c r="AI708" s="282" t="n"/>
      <c r="AJ708" s="282" t="n"/>
      <c r="AM708" s="282" t="n"/>
      <c r="AN708" s="282" t="n"/>
      <c r="AQ708" s="282" t="n"/>
      <c r="AR708" s="282" t="n"/>
    </row>
    <row customHeight="1" ht="15.75" r="709" s="452" spans="1:45">
      <c r="A709" s="44" t="n"/>
      <c r="G709" s="282" t="n"/>
      <c r="H709" s="282" t="n"/>
      <c r="K709" s="282" t="n"/>
      <c r="L709" s="282" t="n"/>
      <c r="O709" s="282" t="n"/>
      <c r="P709" s="282" t="n"/>
      <c r="S709" s="282" t="n"/>
      <c r="T709" s="282" t="n"/>
      <c r="W709" s="282" t="n"/>
      <c r="X709" s="282" t="n"/>
      <c r="Y709" s="282" t="n"/>
      <c r="Z709" s="282" t="n"/>
      <c r="AA709" s="282" t="n"/>
      <c r="AB709" s="282" t="n"/>
      <c r="AC709" s="529" t="n"/>
      <c r="AE709" s="282" t="n"/>
      <c r="AF709" s="282" t="n"/>
      <c r="AI709" s="282" t="n"/>
      <c r="AJ709" s="282" t="n"/>
      <c r="AM709" s="282" t="n"/>
      <c r="AN709" s="282" t="n"/>
      <c r="AQ709" s="282" t="n"/>
      <c r="AR709" s="282" t="n"/>
    </row>
    <row customHeight="1" ht="15.75" r="710" s="452" spans="1:45">
      <c r="A710" s="44" t="n"/>
      <c r="G710" s="282" t="n"/>
      <c r="H710" s="282" t="n"/>
      <c r="K710" s="282" t="n"/>
      <c r="L710" s="282" t="n"/>
      <c r="O710" s="282" t="n"/>
      <c r="P710" s="282" t="n"/>
      <c r="S710" s="282" t="n"/>
      <c r="T710" s="282" t="n"/>
      <c r="W710" s="282" t="n"/>
      <c r="X710" s="282" t="n"/>
      <c r="Y710" s="282" t="n"/>
      <c r="Z710" s="282" t="n"/>
      <c r="AA710" s="282" t="n"/>
      <c r="AB710" s="282" t="n"/>
      <c r="AC710" s="529" t="n"/>
      <c r="AE710" s="282" t="n"/>
      <c r="AF710" s="282" t="n"/>
      <c r="AI710" s="282" t="n"/>
      <c r="AJ710" s="282" t="n"/>
      <c r="AM710" s="282" t="n"/>
      <c r="AN710" s="282" t="n"/>
      <c r="AQ710" s="282" t="n"/>
      <c r="AR710" s="282" t="n"/>
    </row>
    <row customHeight="1" ht="15.75" r="711" s="452" spans="1:45">
      <c r="A711" s="44" t="n"/>
      <c r="G711" s="282" t="n"/>
      <c r="H711" s="282" t="n"/>
      <c r="K711" s="282" t="n"/>
      <c r="L711" s="282" t="n"/>
      <c r="O711" s="282" t="n"/>
      <c r="P711" s="282" t="n"/>
      <c r="S711" s="282" t="n"/>
      <c r="T711" s="282" t="n"/>
      <c r="W711" s="282" t="n"/>
      <c r="X711" s="282" t="n"/>
      <c r="Y711" s="282" t="n"/>
      <c r="Z711" s="282" t="n"/>
      <c r="AA711" s="282" t="n"/>
      <c r="AB711" s="282" t="n"/>
      <c r="AC711" s="529" t="n"/>
      <c r="AE711" s="282" t="n"/>
      <c r="AF711" s="282" t="n"/>
      <c r="AI711" s="282" t="n"/>
      <c r="AJ711" s="282" t="n"/>
      <c r="AM711" s="282" t="n"/>
      <c r="AN711" s="282" t="n"/>
      <c r="AQ711" s="282" t="n"/>
      <c r="AR711" s="282" t="n"/>
    </row>
    <row customHeight="1" ht="15.75" r="712" s="452" spans="1:45">
      <c r="A712" s="44" t="n"/>
      <c r="G712" s="282" t="n"/>
      <c r="H712" s="282" t="n"/>
      <c r="K712" s="282" t="n"/>
      <c r="L712" s="282" t="n"/>
      <c r="O712" s="282" t="n"/>
      <c r="P712" s="282" t="n"/>
      <c r="S712" s="282" t="n"/>
      <c r="T712" s="282" t="n"/>
      <c r="W712" s="282" t="n"/>
      <c r="X712" s="282" t="n"/>
      <c r="Y712" s="282" t="n"/>
      <c r="Z712" s="282" t="n"/>
      <c r="AA712" s="282" t="n"/>
      <c r="AB712" s="282" t="n"/>
      <c r="AC712" s="529" t="n"/>
      <c r="AE712" s="282" t="n"/>
      <c r="AF712" s="282" t="n"/>
      <c r="AI712" s="282" t="n"/>
      <c r="AJ712" s="282" t="n"/>
      <c r="AM712" s="282" t="n"/>
      <c r="AN712" s="282" t="n"/>
      <c r="AQ712" s="282" t="n"/>
      <c r="AR712" s="282" t="n"/>
    </row>
    <row customHeight="1" ht="15.75" r="713" s="452" spans="1:45">
      <c r="A713" s="44" t="n"/>
      <c r="G713" s="282" t="n"/>
      <c r="H713" s="282" t="n"/>
      <c r="K713" s="282" t="n"/>
      <c r="L713" s="282" t="n"/>
      <c r="O713" s="282" t="n"/>
      <c r="P713" s="282" t="n"/>
      <c r="S713" s="282" t="n"/>
      <c r="T713" s="282" t="n"/>
      <c r="W713" s="282" t="n"/>
      <c r="X713" s="282" t="n"/>
      <c r="Y713" s="282" t="n"/>
      <c r="Z713" s="282" t="n"/>
      <c r="AA713" s="282" t="n"/>
      <c r="AB713" s="282" t="n"/>
      <c r="AC713" s="529" t="n"/>
      <c r="AE713" s="282" t="n"/>
      <c r="AF713" s="282" t="n"/>
      <c r="AI713" s="282" t="n"/>
      <c r="AJ713" s="282" t="n"/>
      <c r="AM713" s="282" t="n"/>
      <c r="AN713" s="282" t="n"/>
      <c r="AQ713" s="282" t="n"/>
      <c r="AR713" s="282" t="n"/>
    </row>
    <row customHeight="1" ht="15.75" r="714" s="452" spans="1:45">
      <c r="A714" s="44" t="n"/>
      <c r="G714" s="282" t="n"/>
      <c r="H714" s="282" t="n"/>
      <c r="K714" s="282" t="n"/>
      <c r="L714" s="282" t="n"/>
      <c r="O714" s="282" t="n"/>
      <c r="P714" s="282" t="n"/>
      <c r="S714" s="282" t="n"/>
      <c r="T714" s="282" t="n"/>
      <c r="W714" s="282" t="n"/>
      <c r="X714" s="282" t="n"/>
      <c r="Y714" s="282" t="n"/>
      <c r="Z714" s="282" t="n"/>
      <c r="AA714" s="282" t="n"/>
      <c r="AB714" s="282" t="n"/>
      <c r="AC714" s="529" t="n"/>
      <c r="AE714" s="282" t="n"/>
      <c r="AF714" s="282" t="n"/>
      <c r="AI714" s="282" t="n"/>
      <c r="AJ714" s="282" t="n"/>
      <c r="AM714" s="282" t="n"/>
      <c r="AN714" s="282" t="n"/>
      <c r="AQ714" s="282" t="n"/>
      <c r="AR714" s="282" t="n"/>
    </row>
    <row customHeight="1" ht="15.75" r="715" s="452" spans="1:45">
      <c r="A715" s="44" t="n"/>
      <c r="G715" s="282" t="n"/>
      <c r="H715" s="282" t="n"/>
      <c r="K715" s="282" t="n"/>
      <c r="L715" s="282" t="n"/>
      <c r="O715" s="282" t="n"/>
      <c r="P715" s="282" t="n"/>
      <c r="S715" s="282" t="n"/>
      <c r="T715" s="282" t="n"/>
      <c r="W715" s="282" t="n"/>
      <c r="X715" s="282" t="n"/>
      <c r="Y715" s="282" t="n"/>
      <c r="Z715" s="282" t="n"/>
      <c r="AA715" s="282" t="n"/>
      <c r="AB715" s="282" t="n"/>
      <c r="AC715" s="529" t="n"/>
      <c r="AE715" s="282" t="n"/>
      <c r="AF715" s="282" t="n"/>
      <c r="AI715" s="282" t="n"/>
      <c r="AJ715" s="282" t="n"/>
      <c r="AM715" s="282" t="n"/>
      <c r="AN715" s="282" t="n"/>
      <c r="AQ715" s="282" t="n"/>
      <c r="AR715" s="282" t="n"/>
    </row>
    <row customHeight="1" ht="15.75" r="716" s="452" spans="1:45">
      <c r="A716" s="44" t="n"/>
      <c r="G716" s="282" t="n"/>
      <c r="H716" s="282" t="n"/>
      <c r="K716" s="282" t="n"/>
      <c r="L716" s="282" t="n"/>
      <c r="O716" s="282" t="n"/>
      <c r="P716" s="282" t="n"/>
      <c r="S716" s="282" t="n"/>
      <c r="T716" s="282" t="n"/>
      <c r="W716" s="282" t="n"/>
      <c r="X716" s="282" t="n"/>
      <c r="Y716" s="282" t="n"/>
      <c r="Z716" s="282" t="n"/>
      <c r="AA716" s="282" t="n"/>
      <c r="AB716" s="282" t="n"/>
      <c r="AC716" s="529" t="n"/>
      <c r="AE716" s="282" t="n"/>
      <c r="AF716" s="282" t="n"/>
      <c r="AI716" s="282" t="n"/>
      <c r="AJ716" s="282" t="n"/>
      <c r="AM716" s="282" t="n"/>
      <c r="AN716" s="282" t="n"/>
      <c r="AQ716" s="282" t="n"/>
      <c r="AR716" s="282" t="n"/>
    </row>
    <row customHeight="1" ht="15.75" r="717" s="452" spans="1:45">
      <c r="A717" s="44" t="n"/>
      <c r="G717" s="282" t="n"/>
      <c r="H717" s="282" t="n"/>
      <c r="K717" s="282" t="n"/>
      <c r="L717" s="282" t="n"/>
      <c r="O717" s="282" t="n"/>
      <c r="P717" s="282" t="n"/>
      <c r="S717" s="282" t="n"/>
      <c r="T717" s="282" t="n"/>
      <c r="W717" s="282" t="n"/>
      <c r="X717" s="282" t="n"/>
      <c r="Y717" s="282" t="n"/>
      <c r="Z717" s="282" t="n"/>
      <c r="AA717" s="282" t="n"/>
      <c r="AB717" s="282" t="n"/>
      <c r="AC717" s="529" t="n"/>
      <c r="AE717" s="282" t="n"/>
      <c r="AF717" s="282" t="n"/>
      <c r="AI717" s="282" t="n"/>
      <c r="AJ717" s="282" t="n"/>
      <c r="AM717" s="282" t="n"/>
      <c r="AN717" s="282" t="n"/>
      <c r="AQ717" s="282" t="n"/>
      <c r="AR717" s="282" t="n"/>
    </row>
    <row customHeight="1" ht="15.75" r="718" s="452" spans="1:45">
      <c r="A718" s="44" t="n"/>
      <c r="G718" s="282" t="n"/>
      <c r="H718" s="282" t="n"/>
      <c r="K718" s="282" t="n"/>
      <c r="L718" s="282" t="n"/>
      <c r="O718" s="282" t="n"/>
      <c r="P718" s="282" t="n"/>
      <c r="S718" s="282" t="n"/>
      <c r="T718" s="282" t="n"/>
      <c r="W718" s="282" t="n"/>
      <c r="X718" s="282" t="n"/>
      <c r="Y718" s="282" t="n"/>
      <c r="Z718" s="282" t="n"/>
      <c r="AA718" s="282" t="n"/>
      <c r="AB718" s="282" t="n"/>
      <c r="AC718" s="529" t="n"/>
      <c r="AE718" s="282" t="n"/>
      <c r="AF718" s="282" t="n"/>
      <c r="AI718" s="282" t="n"/>
      <c r="AJ718" s="282" t="n"/>
      <c r="AM718" s="282" t="n"/>
      <c r="AN718" s="282" t="n"/>
      <c r="AQ718" s="282" t="n"/>
      <c r="AR718" s="282" t="n"/>
    </row>
    <row customHeight="1" ht="15.75" r="719" s="452" spans="1:45">
      <c r="A719" s="44" t="n"/>
      <c r="G719" s="282" t="n"/>
      <c r="H719" s="282" t="n"/>
      <c r="K719" s="282" t="n"/>
      <c r="L719" s="282" t="n"/>
      <c r="O719" s="282" t="n"/>
      <c r="P719" s="282" t="n"/>
      <c r="S719" s="282" t="n"/>
      <c r="T719" s="282" t="n"/>
      <c r="W719" s="282" t="n"/>
      <c r="X719" s="282" t="n"/>
      <c r="Y719" s="282" t="n"/>
      <c r="Z719" s="282" t="n"/>
      <c r="AA719" s="282" t="n"/>
      <c r="AB719" s="282" t="n"/>
      <c r="AC719" s="529" t="n"/>
      <c r="AE719" s="282" t="n"/>
      <c r="AF719" s="282" t="n"/>
      <c r="AI719" s="282" t="n"/>
      <c r="AJ719" s="282" t="n"/>
      <c r="AM719" s="282" t="n"/>
      <c r="AN719" s="282" t="n"/>
      <c r="AQ719" s="282" t="n"/>
      <c r="AR719" s="282" t="n"/>
    </row>
    <row customHeight="1" ht="15.75" r="720" s="452" spans="1:45">
      <c r="A720" s="44" t="n"/>
      <c r="G720" s="282" t="n"/>
      <c r="H720" s="282" t="n"/>
      <c r="K720" s="282" t="n"/>
      <c r="L720" s="282" t="n"/>
      <c r="O720" s="282" t="n"/>
      <c r="P720" s="282" t="n"/>
      <c r="S720" s="282" t="n"/>
      <c r="T720" s="282" t="n"/>
      <c r="W720" s="282" t="n"/>
      <c r="X720" s="282" t="n"/>
      <c r="Y720" s="282" t="n"/>
      <c r="Z720" s="282" t="n"/>
      <c r="AA720" s="282" t="n"/>
      <c r="AB720" s="282" t="n"/>
      <c r="AC720" s="529" t="n"/>
      <c r="AE720" s="282" t="n"/>
      <c r="AF720" s="282" t="n"/>
      <c r="AI720" s="282" t="n"/>
      <c r="AJ720" s="282" t="n"/>
      <c r="AM720" s="282" t="n"/>
      <c r="AN720" s="282" t="n"/>
      <c r="AQ720" s="282" t="n"/>
      <c r="AR720" s="282" t="n"/>
    </row>
    <row customHeight="1" ht="15.75" r="721" s="452" spans="1:45">
      <c r="A721" s="44" t="n"/>
      <c r="G721" s="282" t="n"/>
      <c r="H721" s="282" t="n"/>
      <c r="K721" s="282" t="n"/>
      <c r="L721" s="282" t="n"/>
      <c r="O721" s="282" t="n"/>
      <c r="P721" s="282" t="n"/>
      <c r="S721" s="282" t="n"/>
      <c r="T721" s="282" t="n"/>
      <c r="W721" s="282" t="n"/>
      <c r="X721" s="282" t="n"/>
      <c r="Y721" s="282" t="n"/>
      <c r="Z721" s="282" t="n"/>
      <c r="AA721" s="282" t="n"/>
      <c r="AB721" s="282" t="n"/>
      <c r="AC721" s="529" t="n"/>
      <c r="AE721" s="282" t="n"/>
      <c r="AF721" s="282" t="n"/>
      <c r="AI721" s="282" t="n"/>
      <c r="AJ721" s="282" t="n"/>
      <c r="AM721" s="282" t="n"/>
      <c r="AN721" s="282" t="n"/>
      <c r="AQ721" s="282" t="n"/>
      <c r="AR721" s="282" t="n"/>
    </row>
    <row customHeight="1" ht="15.75" r="722" s="452" spans="1:45">
      <c r="A722" s="44" t="n"/>
      <c r="G722" s="282" t="n"/>
      <c r="H722" s="282" t="n"/>
      <c r="K722" s="282" t="n"/>
      <c r="L722" s="282" t="n"/>
      <c r="O722" s="282" t="n"/>
      <c r="P722" s="282" t="n"/>
      <c r="S722" s="282" t="n"/>
      <c r="T722" s="282" t="n"/>
      <c r="W722" s="282" t="n"/>
      <c r="X722" s="282" t="n"/>
      <c r="Y722" s="282" t="n"/>
      <c r="Z722" s="282" t="n"/>
      <c r="AA722" s="282" t="n"/>
      <c r="AB722" s="282" t="n"/>
      <c r="AC722" s="529" t="n"/>
      <c r="AE722" s="282" t="n"/>
      <c r="AF722" s="282" t="n"/>
      <c r="AI722" s="282" t="n"/>
      <c r="AJ722" s="282" t="n"/>
      <c r="AM722" s="282" t="n"/>
      <c r="AN722" s="282" t="n"/>
      <c r="AQ722" s="282" t="n"/>
      <c r="AR722" s="282" t="n"/>
    </row>
    <row customHeight="1" ht="15.75" r="723" s="452" spans="1:45">
      <c r="A723" s="44" t="n"/>
      <c r="G723" s="282" t="n"/>
      <c r="H723" s="282" t="n"/>
      <c r="K723" s="282" t="n"/>
      <c r="L723" s="282" t="n"/>
      <c r="O723" s="282" t="n"/>
      <c r="P723" s="282" t="n"/>
      <c r="S723" s="282" t="n"/>
      <c r="T723" s="282" t="n"/>
      <c r="W723" s="282" t="n"/>
      <c r="X723" s="282" t="n"/>
      <c r="Y723" s="282" t="n"/>
      <c r="Z723" s="282" t="n"/>
      <c r="AA723" s="282" t="n"/>
      <c r="AB723" s="282" t="n"/>
      <c r="AC723" s="529" t="n"/>
      <c r="AE723" s="282" t="n"/>
      <c r="AF723" s="282" t="n"/>
      <c r="AI723" s="282" t="n"/>
      <c r="AJ723" s="282" t="n"/>
      <c r="AM723" s="282" t="n"/>
      <c r="AN723" s="282" t="n"/>
      <c r="AQ723" s="282" t="n"/>
      <c r="AR723" s="282" t="n"/>
    </row>
    <row customHeight="1" ht="15.75" r="724" s="452" spans="1:45">
      <c r="A724" s="44" t="n"/>
      <c r="G724" s="282" t="n"/>
      <c r="H724" s="282" t="n"/>
      <c r="K724" s="282" t="n"/>
      <c r="L724" s="282" t="n"/>
      <c r="O724" s="282" t="n"/>
      <c r="P724" s="282" t="n"/>
      <c r="S724" s="282" t="n"/>
      <c r="T724" s="282" t="n"/>
      <c r="W724" s="282" t="n"/>
      <c r="X724" s="282" t="n"/>
      <c r="Y724" s="282" t="n"/>
      <c r="Z724" s="282" t="n"/>
      <c r="AA724" s="282" t="n"/>
      <c r="AB724" s="282" t="n"/>
      <c r="AC724" s="529" t="n"/>
      <c r="AE724" s="282" t="n"/>
      <c r="AF724" s="282" t="n"/>
      <c r="AI724" s="282" t="n"/>
      <c r="AJ724" s="282" t="n"/>
      <c r="AM724" s="282" t="n"/>
      <c r="AN724" s="282" t="n"/>
      <c r="AQ724" s="282" t="n"/>
      <c r="AR724" s="282" t="n"/>
    </row>
    <row customHeight="1" ht="15.75" r="725" s="452" spans="1:45">
      <c r="A725" s="44" t="n"/>
      <c r="G725" s="282" t="n"/>
      <c r="H725" s="282" t="n"/>
      <c r="K725" s="282" t="n"/>
      <c r="L725" s="282" t="n"/>
      <c r="O725" s="282" t="n"/>
      <c r="P725" s="282" t="n"/>
      <c r="S725" s="282" t="n"/>
      <c r="T725" s="282" t="n"/>
      <c r="W725" s="282" t="n"/>
      <c r="X725" s="282" t="n"/>
      <c r="Y725" s="282" t="n"/>
      <c r="Z725" s="282" t="n"/>
      <c r="AA725" s="282" t="n"/>
      <c r="AB725" s="282" t="n"/>
      <c r="AC725" s="529" t="n"/>
      <c r="AE725" s="282" t="n"/>
      <c r="AF725" s="282" t="n"/>
      <c r="AI725" s="282" t="n"/>
      <c r="AJ725" s="282" t="n"/>
      <c r="AM725" s="282" t="n"/>
      <c r="AN725" s="282" t="n"/>
      <c r="AQ725" s="282" t="n"/>
      <c r="AR725" s="282" t="n"/>
    </row>
    <row customHeight="1" ht="15.75" r="726" s="452" spans="1:45">
      <c r="A726" s="44" t="n"/>
      <c r="G726" s="282" t="n"/>
      <c r="H726" s="282" t="n"/>
      <c r="K726" s="282" t="n"/>
      <c r="L726" s="282" t="n"/>
      <c r="O726" s="282" t="n"/>
      <c r="P726" s="282" t="n"/>
      <c r="S726" s="282" t="n"/>
      <c r="T726" s="282" t="n"/>
      <c r="W726" s="282" t="n"/>
      <c r="X726" s="282" t="n"/>
      <c r="Y726" s="282" t="n"/>
      <c r="Z726" s="282" t="n"/>
      <c r="AA726" s="282" t="n"/>
      <c r="AB726" s="282" t="n"/>
      <c r="AC726" s="529" t="n"/>
      <c r="AE726" s="282" t="n"/>
      <c r="AF726" s="282" t="n"/>
      <c r="AI726" s="282" t="n"/>
      <c r="AJ726" s="282" t="n"/>
      <c r="AM726" s="282" t="n"/>
      <c r="AN726" s="282" t="n"/>
      <c r="AQ726" s="282" t="n"/>
      <c r="AR726" s="282" t="n"/>
    </row>
    <row customHeight="1" ht="15.75" r="727" s="452" spans="1:45">
      <c r="A727" s="44" t="n"/>
      <c r="G727" s="282" t="n"/>
      <c r="H727" s="282" t="n"/>
      <c r="K727" s="282" t="n"/>
      <c r="L727" s="282" t="n"/>
      <c r="O727" s="282" t="n"/>
      <c r="P727" s="282" t="n"/>
      <c r="S727" s="282" t="n"/>
      <c r="T727" s="282" t="n"/>
      <c r="W727" s="282" t="n"/>
      <c r="X727" s="282" t="n"/>
      <c r="Y727" s="282" t="n"/>
      <c r="Z727" s="282" t="n"/>
      <c r="AA727" s="282" t="n"/>
      <c r="AB727" s="282" t="n"/>
      <c r="AC727" s="529" t="n"/>
      <c r="AE727" s="282" t="n"/>
      <c r="AF727" s="282" t="n"/>
      <c r="AI727" s="282" t="n"/>
      <c r="AJ727" s="282" t="n"/>
      <c r="AM727" s="282" t="n"/>
      <c r="AN727" s="282" t="n"/>
      <c r="AQ727" s="282" t="n"/>
      <c r="AR727" s="282" t="n"/>
    </row>
    <row customHeight="1" ht="15.75" r="728" s="452" spans="1:45">
      <c r="A728" s="44" t="n"/>
      <c r="G728" s="282" t="n"/>
      <c r="H728" s="282" t="n"/>
      <c r="K728" s="282" t="n"/>
      <c r="L728" s="282" t="n"/>
      <c r="O728" s="282" t="n"/>
      <c r="P728" s="282" t="n"/>
      <c r="S728" s="282" t="n"/>
      <c r="T728" s="282" t="n"/>
      <c r="W728" s="282" t="n"/>
      <c r="X728" s="282" t="n"/>
      <c r="Y728" s="282" t="n"/>
      <c r="Z728" s="282" t="n"/>
      <c r="AA728" s="282" t="n"/>
      <c r="AB728" s="282" t="n"/>
      <c r="AC728" s="529" t="n"/>
      <c r="AE728" s="282" t="n"/>
      <c r="AF728" s="282" t="n"/>
      <c r="AI728" s="282" t="n"/>
      <c r="AJ728" s="282" t="n"/>
      <c r="AM728" s="282" t="n"/>
      <c r="AN728" s="282" t="n"/>
      <c r="AQ728" s="282" t="n"/>
      <c r="AR728" s="282" t="n"/>
    </row>
    <row customHeight="1" ht="15.75" r="729" s="452" spans="1:45">
      <c r="A729" s="44" t="n"/>
      <c r="G729" s="282" t="n"/>
      <c r="H729" s="282" t="n"/>
      <c r="K729" s="282" t="n"/>
      <c r="L729" s="282" t="n"/>
      <c r="O729" s="282" t="n"/>
      <c r="P729" s="282" t="n"/>
      <c r="S729" s="282" t="n"/>
      <c r="T729" s="282" t="n"/>
      <c r="W729" s="282" t="n"/>
      <c r="X729" s="282" t="n"/>
      <c r="Y729" s="282" t="n"/>
      <c r="Z729" s="282" t="n"/>
      <c r="AA729" s="282" t="n"/>
      <c r="AB729" s="282" t="n"/>
      <c r="AC729" s="529" t="n"/>
      <c r="AE729" s="282" t="n"/>
      <c r="AF729" s="282" t="n"/>
      <c r="AI729" s="282" t="n"/>
      <c r="AJ729" s="282" t="n"/>
      <c r="AM729" s="282" t="n"/>
      <c r="AN729" s="282" t="n"/>
      <c r="AQ729" s="282" t="n"/>
      <c r="AR729" s="282" t="n"/>
    </row>
    <row customHeight="1" ht="15.75" r="730" s="452" spans="1:45">
      <c r="A730" s="44" t="n"/>
      <c r="G730" s="282" t="n"/>
      <c r="H730" s="282" t="n"/>
      <c r="K730" s="282" t="n"/>
      <c r="L730" s="282" t="n"/>
      <c r="O730" s="282" t="n"/>
      <c r="P730" s="282" t="n"/>
      <c r="S730" s="282" t="n"/>
      <c r="T730" s="282" t="n"/>
      <c r="W730" s="282" t="n"/>
      <c r="X730" s="282" t="n"/>
      <c r="Y730" s="282" t="n"/>
      <c r="Z730" s="282" t="n"/>
      <c r="AA730" s="282" t="n"/>
      <c r="AB730" s="282" t="n"/>
      <c r="AC730" s="529" t="n"/>
      <c r="AE730" s="282" t="n"/>
      <c r="AF730" s="282" t="n"/>
      <c r="AI730" s="282" t="n"/>
      <c r="AJ730" s="282" t="n"/>
      <c r="AM730" s="282" t="n"/>
      <c r="AN730" s="282" t="n"/>
      <c r="AQ730" s="282" t="n"/>
      <c r="AR730" s="282" t="n"/>
    </row>
    <row customHeight="1" ht="15.75" r="731" s="452" spans="1:45">
      <c r="A731" s="44" t="n"/>
      <c r="G731" s="282" t="n"/>
      <c r="H731" s="282" t="n"/>
      <c r="K731" s="282" t="n"/>
      <c r="L731" s="282" t="n"/>
      <c r="O731" s="282" t="n"/>
      <c r="P731" s="282" t="n"/>
      <c r="S731" s="282" t="n"/>
      <c r="T731" s="282" t="n"/>
      <c r="W731" s="282" t="n"/>
      <c r="X731" s="282" t="n"/>
      <c r="Y731" s="282" t="n"/>
      <c r="Z731" s="282" t="n"/>
      <c r="AA731" s="282" t="n"/>
      <c r="AB731" s="282" t="n"/>
      <c r="AC731" s="529" t="n"/>
      <c r="AE731" s="282" t="n"/>
      <c r="AF731" s="282" t="n"/>
      <c r="AI731" s="282" t="n"/>
      <c r="AJ731" s="282" t="n"/>
      <c r="AM731" s="282" t="n"/>
      <c r="AN731" s="282" t="n"/>
      <c r="AQ731" s="282" t="n"/>
      <c r="AR731" s="282" t="n"/>
    </row>
    <row customHeight="1" ht="15.75" r="732" s="452" spans="1:45">
      <c r="A732" s="44" t="n"/>
      <c r="G732" s="282" t="n"/>
      <c r="H732" s="282" t="n"/>
      <c r="K732" s="282" t="n"/>
      <c r="L732" s="282" t="n"/>
      <c r="O732" s="282" t="n"/>
      <c r="P732" s="282" t="n"/>
      <c r="S732" s="282" t="n"/>
      <c r="T732" s="282" t="n"/>
      <c r="W732" s="282" t="n"/>
      <c r="X732" s="282" t="n"/>
      <c r="Y732" s="282" t="n"/>
      <c r="Z732" s="282" t="n"/>
      <c r="AA732" s="282" t="n"/>
      <c r="AB732" s="282" t="n"/>
      <c r="AC732" s="529" t="n"/>
      <c r="AE732" s="282" t="n"/>
      <c r="AF732" s="282" t="n"/>
      <c r="AI732" s="282" t="n"/>
      <c r="AJ732" s="282" t="n"/>
      <c r="AM732" s="282" t="n"/>
      <c r="AN732" s="282" t="n"/>
      <c r="AQ732" s="282" t="n"/>
      <c r="AR732" s="282" t="n"/>
    </row>
    <row customHeight="1" ht="15.75" r="733" s="452" spans="1:45">
      <c r="A733" s="44" t="n"/>
      <c r="G733" s="282" t="n"/>
      <c r="H733" s="282" t="n"/>
      <c r="K733" s="282" t="n"/>
      <c r="L733" s="282" t="n"/>
      <c r="O733" s="282" t="n"/>
      <c r="P733" s="282" t="n"/>
      <c r="S733" s="282" t="n"/>
      <c r="T733" s="282" t="n"/>
      <c r="W733" s="282" t="n"/>
      <c r="X733" s="282" t="n"/>
      <c r="Y733" s="282" t="n"/>
      <c r="Z733" s="282" t="n"/>
      <c r="AA733" s="282" t="n"/>
      <c r="AB733" s="282" t="n"/>
      <c r="AC733" s="529" t="n"/>
      <c r="AE733" s="282" t="n"/>
      <c r="AF733" s="282" t="n"/>
      <c r="AI733" s="282" t="n"/>
      <c r="AJ733" s="282" t="n"/>
      <c r="AM733" s="282" t="n"/>
      <c r="AN733" s="282" t="n"/>
      <c r="AQ733" s="282" t="n"/>
      <c r="AR733" s="282" t="n"/>
    </row>
    <row customHeight="1" ht="15.75" r="734" s="452" spans="1:45">
      <c r="A734" s="44" t="n"/>
      <c r="G734" s="282" t="n"/>
      <c r="H734" s="282" t="n"/>
      <c r="K734" s="282" t="n"/>
      <c r="L734" s="282" t="n"/>
      <c r="O734" s="282" t="n"/>
      <c r="P734" s="282" t="n"/>
      <c r="S734" s="282" t="n"/>
      <c r="T734" s="282" t="n"/>
      <c r="W734" s="282" t="n"/>
      <c r="X734" s="282" t="n"/>
      <c r="Y734" s="282" t="n"/>
      <c r="Z734" s="282" t="n"/>
      <c r="AA734" s="282" t="n"/>
      <c r="AB734" s="282" t="n"/>
      <c r="AC734" s="529" t="n"/>
      <c r="AE734" s="282" t="n"/>
      <c r="AF734" s="282" t="n"/>
      <c r="AI734" s="282" t="n"/>
      <c r="AJ734" s="282" t="n"/>
      <c r="AM734" s="282" t="n"/>
      <c r="AN734" s="282" t="n"/>
      <c r="AQ734" s="282" t="n"/>
      <c r="AR734" s="282" t="n"/>
    </row>
    <row customHeight="1" ht="15.75" r="735" s="452" spans="1:45">
      <c r="A735" s="44" t="n"/>
      <c r="G735" s="282" t="n"/>
      <c r="H735" s="282" t="n"/>
      <c r="K735" s="282" t="n"/>
      <c r="L735" s="282" t="n"/>
      <c r="O735" s="282" t="n"/>
      <c r="P735" s="282" t="n"/>
      <c r="S735" s="282" t="n"/>
      <c r="T735" s="282" t="n"/>
      <c r="W735" s="282" t="n"/>
      <c r="X735" s="282" t="n"/>
      <c r="Y735" s="282" t="n"/>
      <c r="Z735" s="282" t="n"/>
      <c r="AA735" s="282" t="n"/>
      <c r="AB735" s="282" t="n"/>
      <c r="AC735" s="529" t="n"/>
      <c r="AE735" s="282" t="n"/>
      <c r="AF735" s="282" t="n"/>
      <c r="AI735" s="282" t="n"/>
      <c r="AJ735" s="282" t="n"/>
      <c r="AM735" s="282" t="n"/>
      <c r="AN735" s="282" t="n"/>
      <c r="AQ735" s="282" t="n"/>
      <c r="AR735" s="282" t="n"/>
    </row>
    <row customHeight="1" ht="15.75" r="736" s="452" spans="1:45">
      <c r="A736" s="44" t="n"/>
      <c r="G736" s="282" t="n"/>
      <c r="H736" s="282" t="n"/>
      <c r="K736" s="282" t="n"/>
      <c r="L736" s="282" t="n"/>
      <c r="O736" s="282" t="n"/>
      <c r="P736" s="282" t="n"/>
      <c r="S736" s="282" t="n"/>
      <c r="T736" s="282" t="n"/>
      <c r="W736" s="282" t="n"/>
      <c r="X736" s="282" t="n"/>
      <c r="Y736" s="282" t="n"/>
      <c r="Z736" s="282" t="n"/>
      <c r="AA736" s="282" t="n"/>
      <c r="AB736" s="282" t="n"/>
      <c r="AC736" s="529" t="n"/>
      <c r="AE736" s="282" t="n"/>
      <c r="AF736" s="282" t="n"/>
      <c r="AI736" s="282" t="n"/>
      <c r="AJ736" s="282" t="n"/>
      <c r="AM736" s="282" t="n"/>
      <c r="AN736" s="282" t="n"/>
      <c r="AQ736" s="282" t="n"/>
      <c r="AR736" s="282" t="n"/>
    </row>
    <row customHeight="1" ht="15.75" r="737" s="452" spans="1:45">
      <c r="A737" s="44" t="n"/>
      <c r="G737" s="282" t="n"/>
      <c r="H737" s="282" t="n"/>
      <c r="K737" s="282" t="n"/>
      <c r="L737" s="282" t="n"/>
      <c r="O737" s="282" t="n"/>
      <c r="P737" s="282" t="n"/>
      <c r="S737" s="282" t="n"/>
      <c r="T737" s="282" t="n"/>
      <c r="W737" s="282" t="n"/>
      <c r="X737" s="282" t="n"/>
      <c r="Y737" s="282" t="n"/>
      <c r="Z737" s="282" t="n"/>
      <c r="AA737" s="282" t="n"/>
      <c r="AB737" s="282" t="n"/>
      <c r="AC737" s="529" t="n"/>
      <c r="AE737" s="282" t="n"/>
      <c r="AF737" s="282" t="n"/>
      <c r="AI737" s="282" t="n"/>
      <c r="AJ737" s="282" t="n"/>
      <c r="AM737" s="282" t="n"/>
      <c r="AN737" s="282" t="n"/>
      <c r="AQ737" s="282" t="n"/>
      <c r="AR737" s="282" t="n"/>
    </row>
    <row customHeight="1" ht="15.75" r="738" s="452" spans="1:45">
      <c r="A738" s="44" t="n"/>
      <c r="G738" s="282" t="n"/>
      <c r="H738" s="282" t="n"/>
      <c r="K738" s="282" t="n"/>
      <c r="L738" s="282" t="n"/>
      <c r="O738" s="282" t="n"/>
      <c r="P738" s="282" t="n"/>
      <c r="S738" s="282" t="n"/>
      <c r="T738" s="282" t="n"/>
      <c r="W738" s="282" t="n"/>
      <c r="X738" s="282" t="n"/>
      <c r="Y738" s="282" t="n"/>
      <c r="Z738" s="282" t="n"/>
      <c r="AA738" s="282" t="n"/>
      <c r="AB738" s="282" t="n"/>
      <c r="AC738" s="529" t="n"/>
      <c r="AE738" s="282" t="n"/>
      <c r="AF738" s="282" t="n"/>
      <c r="AI738" s="282" t="n"/>
      <c r="AJ738" s="282" t="n"/>
      <c r="AM738" s="282" t="n"/>
      <c r="AN738" s="282" t="n"/>
      <c r="AQ738" s="282" t="n"/>
      <c r="AR738" s="282" t="n"/>
    </row>
    <row customHeight="1" ht="15.75" r="739" s="452" spans="1:45">
      <c r="A739" s="44" t="n"/>
      <c r="G739" s="282" t="n"/>
      <c r="H739" s="282" t="n"/>
      <c r="K739" s="282" t="n"/>
      <c r="L739" s="282" t="n"/>
      <c r="O739" s="282" t="n"/>
      <c r="P739" s="282" t="n"/>
      <c r="S739" s="282" t="n"/>
      <c r="T739" s="282" t="n"/>
      <c r="W739" s="282" t="n"/>
      <c r="X739" s="282" t="n"/>
      <c r="Y739" s="282" t="n"/>
      <c r="Z739" s="282" t="n"/>
      <c r="AA739" s="282" t="n"/>
      <c r="AB739" s="282" t="n"/>
      <c r="AC739" s="529" t="n"/>
      <c r="AE739" s="282" t="n"/>
      <c r="AF739" s="282" t="n"/>
      <c r="AI739" s="282" t="n"/>
      <c r="AJ739" s="282" t="n"/>
      <c r="AM739" s="282" t="n"/>
      <c r="AN739" s="282" t="n"/>
      <c r="AQ739" s="282" t="n"/>
      <c r="AR739" s="282" t="n"/>
    </row>
    <row customHeight="1" ht="15.75" r="740" s="452" spans="1:45">
      <c r="A740" s="44" t="n"/>
      <c r="G740" s="282" t="n"/>
      <c r="H740" s="282" t="n"/>
      <c r="K740" s="282" t="n"/>
      <c r="L740" s="282" t="n"/>
      <c r="O740" s="282" t="n"/>
      <c r="P740" s="282" t="n"/>
      <c r="S740" s="282" t="n"/>
      <c r="T740" s="282" t="n"/>
      <c r="W740" s="282" t="n"/>
      <c r="X740" s="282" t="n"/>
      <c r="Y740" s="282" t="n"/>
      <c r="Z740" s="282" t="n"/>
      <c r="AA740" s="282" t="n"/>
      <c r="AB740" s="282" t="n"/>
      <c r="AC740" s="529" t="n"/>
      <c r="AE740" s="282" t="n"/>
      <c r="AF740" s="282" t="n"/>
      <c r="AI740" s="282" t="n"/>
      <c r="AJ740" s="282" t="n"/>
      <c r="AM740" s="282" t="n"/>
      <c r="AN740" s="282" t="n"/>
      <c r="AQ740" s="282" t="n"/>
      <c r="AR740" s="282" t="n"/>
    </row>
    <row customHeight="1" ht="15.75" r="741" s="452" spans="1:45">
      <c r="A741" s="44" t="n"/>
      <c r="G741" s="282" t="n"/>
      <c r="H741" s="282" t="n"/>
      <c r="K741" s="282" t="n"/>
      <c r="L741" s="282" t="n"/>
      <c r="O741" s="282" t="n"/>
      <c r="P741" s="282" t="n"/>
      <c r="S741" s="282" t="n"/>
      <c r="T741" s="282" t="n"/>
      <c r="W741" s="282" t="n"/>
      <c r="X741" s="282" t="n"/>
      <c r="Y741" s="282" t="n"/>
      <c r="Z741" s="282" t="n"/>
      <c r="AA741" s="282" t="n"/>
      <c r="AB741" s="282" t="n"/>
      <c r="AC741" s="529" t="n"/>
      <c r="AE741" s="282" t="n"/>
      <c r="AF741" s="282" t="n"/>
      <c r="AI741" s="282" t="n"/>
      <c r="AJ741" s="282" t="n"/>
      <c r="AM741" s="282" t="n"/>
      <c r="AN741" s="282" t="n"/>
      <c r="AQ741" s="282" t="n"/>
      <c r="AR741" s="282" t="n"/>
    </row>
    <row customHeight="1" ht="15.75" r="742" s="452" spans="1:45">
      <c r="A742" s="44" t="n"/>
      <c r="G742" s="282" t="n"/>
      <c r="H742" s="282" t="n"/>
      <c r="K742" s="282" t="n"/>
      <c r="L742" s="282" t="n"/>
      <c r="O742" s="282" t="n"/>
      <c r="P742" s="282" t="n"/>
      <c r="S742" s="282" t="n"/>
      <c r="T742" s="282" t="n"/>
      <c r="W742" s="282" t="n"/>
      <c r="X742" s="282" t="n"/>
      <c r="Y742" s="282" t="n"/>
      <c r="Z742" s="282" t="n"/>
      <c r="AA742" s="282" t="n"/>
      <c r="AB742" s="282" t="n"/>
      <c r="AC742" s="529" t="n"/>
      <c r="AE742" s="282" t="n"/>
      <c r="AF742" s="282" t="n"/>
      <c r="AI742" s="282" t="n"/>
      <c r="AJ742" s="282" t="n"/>
      <c r="AM742" s="282" t="n"/>
      <c r="AN742" s="282" t="n"/>
      <c r="AQ742" s="282" t="n"/>
      <c r="AR742" s="282" t="n"/>
    </row>
    <row customHeight="1" ht="15.75" r="743" s="452" spans="1:45">
      <c r="A743" s="44" t="n"/>
      <c r="G743" s="282" t="n"/>
      <c r="H743" s="282" t="n"/>
      <c r="K743" s="282" t="n"/>
      <c r="L743" s="282" t="n"/>
      <c r="O743" s="282" t="n"/>
      <c r="P743" s="282" t="n"/>
      <c r="S743" s="282" t="n"/>
      <c r="T743" s="282" t="n"/>
      <c r="W743" s="282" t="n"/>
      <c r="X743" s="282" t="n"/>
      <c r="Y743" s="282" t="n"/>
      <c r="Z743" s="282" t="n"/>
      <c r="AA743" s="282" t="n"/>
      <c r="AB743" s="282" t="n"/>
      <c r="AC743" s="529" t="n"/>
      <c r="AE743" s="282" t="n"/>
      <c r="AF743" s="282" t="n"/>
      <c r="AI743" s="282" t="n"/>
      <c r="AJ743" s="282" t="n"/>
      <c r="AM743" s="282" t="n"/>
      <c r="AN743" s="282" t="n"/>
      <c r="AQ743" s="282" t="n"/>
      <c r="AR743" s="282" t="n"/>
    </row>
    <row customHeight="1" ht="15.75" r="744" s="452" spans="1:45">
      <c r="A744" s="44" t="n"/>
      <c r="G744" s="282" t="n"/>
      <c r="H744" s="282" t="n"/>
      <c r="K744" s="282" t="n"/>
      <c r="L744" s="282" t="n"/>
      <c r="O744" s="282" t="n"/>
      <c r="P744" s="282" t="n"/>
      <c r="S744" s="282" t="n"/>
      <c r="T744" s="282" t="n"/>
      <c r="W744" s="282" t="n"/>
      <c r="X744" s="282" t="n"/>
      <c r="Y744" s="282" t="n"/>
      <c r="Z744" s="282" t="n"/>
      <c r="AA744" s="282" t="n"/>
      <c r="AB744" s="282" t="n"/>
      <c r="AC744" s="529" t="n"/>
      <c r="AE744" s="282" t="n"/>
      <c r="AF744" s="282" t="n"/>
      <c r="AI744" s="282" t="n"/>
      <c r="AJ744" s="282" t="n"/>
      <c r="AM744" s="282" t="n"/>
      <c r="AN744" s="282" t="n"/>
      <c r="AQ744" s="282" t="n"/>
      <c r="AR744" s="282" t="n"/>
    </row>
    <row customHeight="1" ht="15.75" r="745" s="452" spans="1:45">
      <c r="A745" s="44" t="n"/>
      <c r="G745" s="282" t="n"/>
      <c r="H745" s="282" t="n"/>
      <c r="K745" s="282" t="n"/>
      <c r="L745" s="282" t="n"/>
      <c r="O745" s="282" t="n"/>
      <c r="P745" s="282" t="n"/>
      <c r="S745" s="282" t="n"/>
      <c r="T745" s="282" t="n"/>
      <c r="W745" s="282" t="n"/>
      <c r="X745" s="282" t="n"/>
      <c r="Y745" s="282" t="n"/>
      <c r="Z745" s="282" t="n"/>
      <c r="AA745" s="282" t="n"/>
      <c r="AB745" s="282" t="n"/>
      <c r="AC745" s="529" t="n"/>
      <c r="AE745" s="282" t="n"/>
      <c r="AF745" s="282" t="n"/>
      <c r="AI745" s="282" t="n"/>
      <c r="AJ745" s="282" t="n"/>
      <c r="AM745" s="282" t="n"/>
      <c r="AN745" s="282" t="n"/>
      <c r="AQ745" s="282" t="n"/>
      <c r="AR745" s="282" t="n"/>
    </row>
    <row customHeight="1" ht="15.75" r="746" s="452" spans="1:45">
      <c r="A746" s="44" t="n"/>
      <c r="G746" s="282" t="n"/>
      <c r="H746" s="282" t="n"/>
      <c r="K746" s="282" t="n"/>
      <c r="L746" s="282" t="n"/>
      <c r="O746" s="282" t="n"/>
      <c r="P746" s="282" t="n"/>
      <c r="S746" s="282" t="n"/>
      <c r="T746" s="282" t="n"/>
      <c r="W746" s="282" t="n"/>
      <c r="X746" s="282" t="n"/>
      <c r="Y746" s="282" t="n"/>
      <c r="Z746" s="282" t="n"/>
      <c r="AA746" s="282" t="n"/>
      <c r="AB746" s="282" t="n"/>
      <c r="AC746" s="529" t="n"/>
      <c r="AE746" s="282" t="n"/>
      <c r="AF746" s="282" t="n"/>
      <c r="AI746" s="282" t="n"/>
      <c r="AJ746" s="282" t="n"/>
      <c r="AM746" s="282" t="n"/>
      <c r="AN746" s="282" t="n"/>
      <c r="AQ746" s="282" t="n"/>
      <c r="AR746" s="282" t="n"/>
    </row>
    <row customHeight="1" ht="15.75" r="747" s="452" spans="1:45">
      <c r="A747" s="44" t="n"/>
      <c r="G747" s="282" t="n"/>
      <c r="H747" s="282" t="n"/>
      <c r="K747" s="282" t="n"/>
      <c r="L747" s="282" t="n"/>
      <c r="O747" s="282" t="n"/>
      <c r="P747" s="282" t="n"/>
      <c r="S747" s="282" t="n"/>
      <c r="T747" s="282" t="n"/>
      <c r="W747" s="282" t="n"/>
      <c r="X747" s="282" t="n"/>
      <c r="Y747" s="282" t="n"/>
      <c r="Z747" s="282" t="n"/>
      <c r="AA747" s="282" t="n"/>
      <c r="AB747" s="282" t="n"/>
      <c r="AC747" s="529" t="n"/>
      <c r="AE747" s="282" t="n"/>
      <c r="AF747" s="282" t="n"/>
      <c r="AI747" s="282" t="n"/>
      <c r="AJ747" s="282" t="n"/>
      <c r="AM747" s="282" t="n"/>
      <c r="AN747" s="282" t="n"/>
      <c r="AQ747" s="282" t="n"/>
      <c r="AR747" s="282" t="n"/>
    </row>
    <row customHeight="1" ht="15.75" r="748" s="452" spans="1:45">
      <c r="A748" s="44" t="n"/>
      <c r="G748" s="282" t="n"/>
      <c r="H748" s="282" t="n"/>
      <c r="K748" s="282" t="n"/>
      <c r="L748" s="282" t="n"/>
      <c r="O748" s="282" t="n"/>
      <c r="P748" s="282" t="n"/>
      <c r="S748" s="282" t="n"/>
      <c r="T748" s="282" t="n"/>
      <c r="W748" s="282" t="n"/>
      <c r="X748" s="282" t="n"/>
      <c r="Y748" s="282" t="n"/>
      <c r="Z748" s="282" t="n"/>
      <c r="AA748" s="282" t="n"/>
      <c r="AB748" s="282" t="n"/>
      <c r="AC748" s="529" t="n"/>
      <c r="AE748" s="282" t="n"/>
      <c r="AF748" s="282" t="n"/>
      <c r="AI748" s="282" t="n"/>
      <c r="AJ748" s="282" t="n"/>
      <c r="AM748" s="282" t="n"/>
      <c r="AN748" s="282" t="n"/>
      <c r="AQ748" s="282" t="n"/>
      <c r="AR748" s="282" t="n"/>
    </row>
    <row customHeight="1" ht="15.75" r="749" s="452" spans="1:45">
      <c r="A749" s="44" t="n"/>
      <c r="G749" s="282" t="n"/>
      <c r="H749" s="282" t="n"/>
      <c r="K749" s="282" t="n"/>
      <c r="L749" s="282" t="n"/>
      <c r="O749" s="282" t="n"/>
      <c r="P749" s="282" t="n"/>
      <c r="S749" s="282" t="n"/>
      <c r="T749" s="282" t="n"/>
      <c r="W749" s="282" t="n"/>
      <c r="X749" s="282" t="n"/>
      <c r="Y749" s="282" t="n"/>
      <c r="Z749" s="282" t="n"/>
      <c r="AA749" s="282" t="n"/>
      <c r="AB749" s="282" t="n"/>
      <c r="AC749" s="529" t="n"/>
      <c r="AE749" s="282" t="n"/>
      <c r="AF749" s="282" t="n"/>
      <c r="AI749" s="282" t="n"/>
      <c r="AJ749" s="282" t="n"/>
      <c r="AM749" s="282" t="n"/>
      <c r="AN749" s="282" t="n"/>
      <c r="AQ749" s="282" t="n"/>
      <c r="AR749" s="282" t="n"/>
    </row>
    <row customHeight="1" ht="15.75" r="750" s="452" spans="1:45">
      <c r="A750" s="44" t="n"/>
      <c r="G750" s="282" t="n"/>
      <c r="H750" s="282" t="n"/>
      <c r="K750" s="282" t="n"/>
      <c r="L750" s="282" t="n"/>
      <c r="O750" s="282" t="n"/>
      <c r="P750" s="282" t="n"/>
      <c r="S750" s="282" t="n"/>
      <c r="T750" s="282" t="n"/>
      <c r="W750" s="282" t="n"/>
      <c r="X750" s="282" t="n"/>
      <c r="Y750" s="282" t="n"/>
      <c r="Z750" s="282" t="n"/>
      <c r="AA750" s="282" t="n"/>
      <c r="AB750" s="282" t="n"/>
      <c r="AC750" s="529" t="n"/>
      <c r="AE750" s="282" t="n"/>
      <c r="AF750" s="282" t="n"/>
      <c r="AI750" s="282" t="n"/>
      <c r="AJ750" s="282" t="n"/>
      <c r="AM750" s="282" t="n"/>
      <c r="AN750" s="282" t="n"/>
      <c r="AQ750" s="282" t="n"/>
      <c r="AR750" s="282" t="n"/>
    </row>
    <row customHeight="1" ht="15.75" r="751" s="452" spans="1:45">
      <c r="A751" s="44" t="n"/>
      <c r="G751" s="282" t="n"/>
      <c r="H751" s="282" t="n"/>
      <c r="K751" s="282" t="n"/>
      <c r="L751" s="282" t="n"/>
      <c r="O751" s="282" t="n"/>
      <c r="P751" s="282" t="n"/>
      <c r="S751" s="282" t="n"/>
      <c r="T751" s="282" t="n"/>
      <c r="W751" s="282" t="n"/>
      <c r="X751" s="282" t="n"/>
      <c r="Y751" s="282" t="n"/>
      <c r="Z751" s="282" t="n"/>
      <c r="AA751" s="282" t="n"/>
      <c r="AB751" s="282" t="n"/>
      <c r="AC751" s="529" t="n"/>
      <c r="AE751" s="282" t="n"/>
      <c r="AF751" s="282" t="n"/>
      <c r="AI751" s="282" t="n"/>
      <c r="AJ751" s="282" t="n"/>
      <c r="AM751" s="282" t="n"/>
      <c r="AN751" s="282" t="n"/>
      <c r="AQ751" s="282" t="n"/>
      <c r="AR751" s="282" t="n"/>
    </row>
    <row customHeight="1" ht="15.75" r="752" s="452" spans="1:45">
      <c r="A752" s="44" t="n"/>
      <c r="G752" s="282" t="n"/>
      <c r="H752" s="282" t="n"/>
      <c r="K752" s="282" t="n"/>
      <c r="L752" s="282" t="n"/>
      <c r="O752" s="282" t="n"/>
      <c r="P752" s="282" t="n"/>
      <c r="S752" s="282" t="n"/>
      <c r="T752" s="282" t="n"/>
      <c r="W752" s="282" t="n"/>
      <c r="X752" s="282" t="n"/>
      <c r="Y752" s="282" t="n"/>
      <c r="Z752" s="282" t="n"/>
      <c r="AA752" s="282" t="n"/>
      <c r="AB752" s="282" t="n"/>
      <c r="AC752" s="529" t="n"/>
      <c r="AE752" s="282" t="n"/>
      <c r="AF752" s="282" t="n"/>
      <c r="AI752" s="282" t="n"/>
      <c r="AJ752" s="282" t="n"/>
      <c r="AM752" s="282" t="n"/>
      <c r="AN752" s="282" t="n"/>
      <c r="AQ752" s="282" t="n"/>
      <c r="AR752" s="282" t="n"/>
    </row>
    <row customHeight="1" ht="15.75" r="753" s="452" spans="1:45">
      <c r="A753" s="44" t="n"/>
      <c r="G753" s="282" t="n"/>
      <c r="H753" s="282" t="n"/>
      <c r="K753" s="282" t="n"/>
      <c r="L753" s="282" t="n"/>
      <c r="O753" s="282" t="n"/>
      <c r="P753" s="282" t="n"/>
      <c r="S753" s="282" t="n"/>
      <c r="T753" s="282" t="n"/>
      <c r="W753" s="282" t="n"/>
      <c r="X753" s="282" t="n"/>
      <c r="Y753" s="282" t="n"/>
      <c r="Z753" s="282" t="n"/>
      <c r="AA753" s="282" t="n"/>
      <c r="AB753" s="282" t="n"/>
      <c r="AC753" s="529" t="n"/>
      <c r="AE753" s="282" t="n"/>
      <c r="AF753" s="282" t="n"/>
      <c r="AI753" s="282" t="n"/>
      <c r="AJ753" s="282" t="n"/>
      <c r="AM753" s="282" t="n"/>
      <c r="AN753" s="282" t="n"/>
      <c r="AQ753" s="282" t="n"/>
      <c r="AR753" s="282" t="n"/>
    </row>
    <row customHeight="1" ht="15.75" r="754" s="452" spans="1:45">
      <c r="A754" s="44" t="n"/>
      <c r="G754" s="282" t="n"/>
      <c r="H754" s="282" t="n"/>
      <c r="K754" s="282" t="n"/>
      <c r="L754" s="282" t="n"/>
      <c r="O754" s="282" t="n"/>
      <c r="P754" s="282" t="n"/>
      <c r="S754" s="282" t="n"/>
      <c r="T754" s="282" t="n"/>
      <c r="W754" s="282" t="n"/>
      <c r="X754" s="282" t="n"/>
      <c r="Y754" s="282" t="n"/>
      <c r="Z754" s="282" t="n"/>
      <c r="AA754" s="282" t="n"/>
      <c r="AB754" s="282" t="n"/>
      <c r="AC754" s="529" t="n"/>
      <c r="AE754" s="282" t="n"/>
      <c r="AF754" s="282" t="n"/>
      <c r="AI754" s="282" t="n"/>
      <c r="AJ754" s="282" t="n"/>
      <c r="AM754" s="282" t="n"/>
      <c r="AN754" s="282" t="n"/>
      <c r="AQ754" s="282" t="n"/>
      <c r="AR754" s="282" t="n"/>
    </row>
    <row customHeight="1" ht="15.75" r="755" s="452" spans="1:45">
      <c r="A755" s="44" t="n"/>
      <c r="G755" s="282" t="n"/>
      <c r="H755" s="282" t="n"/>
      <c r="K755" s="282" t="n"/>
      <c r="L755" s="282" t="n"/>
      <c r="O755" s="282" t="n"/>
      <c r="P755" s="282" t="n"/>
      <c r="S755" s="282" t="n"/>
      <c r="T755" s="282" t="n"/>
      <c r="W755" s="282" t="n"/>
      <c r="X755" s="282" t="n"/>
      <c r="Y755" s="282" t="n"/>
      <c r="Z755" s="282" t="n"/>
      <c r="AA755" s="282" t="n"/>
      <c r="AB755" s="282" t="n"/>
      <c r="AC755" s="529" t="n"/>
      <c r="AE755" s="282" t="n"/>
      <c r="AF755" s="282" t="n"/>
      <c r="AI755" s="282" t="n"/>
      <c r="AJ755" s="282" t="n"/>
      <c r="AM755" s="282" t="n"/>
      <c r="AN755" s="282" t="n"/>
      <c r="AQ755" s="282" t="n"/>
      <c r="AR755" s="282" t="n"/>
    </row>
    <row customHeight="1" ht="15.75" r="756" s="452" spans="1:45">
      <c r="A756" s="44" t="n"/>
      <c r="G756" s="282" t="n"/>
      <c r="H756" s="282" t="n"/>
      <c r="K756" s="282" t="n"/>
      <c r="L756" s="282" t="n"/>
      <c r="O756" s="282" t="n"/>
      <c r="P756" s="282" t="n"/>
      <c r="S756" s="282" t="n"/>
      <c r="T756" s="282" t="n"/>
      <c r="W756" s="282" t="n"/>
      <c r="X756" s="282" t="n"/>
      <c r="Y756" s="282" t="n"/>
      <c r="Z756" s="282" t="n"/>
      <c r="AA756" s="282" t="n"/>
      <c r="AB756" s="282" t="n"/>
      <c r="AC756" s="529" t="n"/>
      <c r="AE756" s="282" t="n"/>
      <c r="AF756" s="282" t="n"/>
      <c r="AI756" s="282" t="n"/>
      <c r="AJ756" s="282" t="n"/>
      <c r="AM756" s="282" t="n"/>
      <c r="AN756" s="282" t="n"/>
      <c r="AQ756" s="282" t="n"/>
      <c r="AR756" s="282" t="n"/>
    </row>
    <row customHeight="1" ht="15.75" r="757" s="452" spans="1:45">
      <c r="A757" s="44" t="n"/>
      <c r="G757" s="282" t="n"/>
      <c r="H757" s="282" t="n"/>
      <c r="K757" s="282" t="n"/>
      <c r="L757" s="282" t="n"/>
      <c r="O757" s="282" t="n"/>
      <c r="P757" s="282" t="n"/>
      <c r="S757" s="282" t="n"/>
      <c r="T757" s="282" t="n"/>
      <c r="W757" s="282" t="n"/>
      <c r="X757" s="282" t="n"/>
      <c r="Y757" s="282" t="n"/>
      <c r="Z757" s="282" t="n"/>
      <c r="AA757" s="282" t="n"/>
      <c r="AB757" s="282" t="n"/>
      <c r="AC757" s="529" t="n"/>
      <c r="AE757" s="282" t="n"/>
      <c r="AF757" s="282" t="n"/>
      <c r="AI757" s="282" t="n"/>
      <c r="AJ757" s="282" t="n"/>
      <c r="AM757" s="282" t="n"/>
      <c r="AN757" s="282" t="n"/>
      <c r="AQ757" s="282" t="n"/>
      <c r="AR757" s="282" t="n"/>
    </row>
    <row customHeight="1" ht="15.75" r="758" s="452" spans="1:45">
      <c r="A758" s="44" t="n"/>
      <c r="G758" s="282" t="n"/>
      <c r="H758" s="282" t="n"/>
      <c r="K758" s="282" t="n"/>
      <c r="L758" s="282" t="n"/>
      <c r="O758" s="282" t="n"/>
      <c r="P758" s="282" t="n"/>
      <c r="S758" s="282" t="n"/>
      <c r="T758" s="282" t="n"/>
      <c r="W758" s="282" t="n"/>
      <c r="X758" s="282" t="n"/>
      <c r="Y758" s="282" t="n"/>
      <c r="Z758" s="282" t="n"/>
      <c r="AA758" s="282" t="n"/>
      <c r="AB758" s="282" t="n"/>
      <c r="AC758" s="529" t="n"/>
      <c r="AE758" s="282" t="n"/>
      <c r="AF758" s="282" t="n"/>
      <c r="AI758" s="282" t="n"/>
      <c r="AJ758" s="282" t="n"/>
      <c r="AM758" s="282" t="n"/>
      <c r="AN758" s="282" t="n"/>
      <c r="AQ758" s="282" t="n"/>
      <c r="AR758" s="282" t="n"/>
    </row>
    <row customHeight="1" ht="15.75" r="759" s="452" spans="1:45">
      <c r="A759" s="44" t="n"/>
      <c r="G759" s="282" t="n"/>
      <c r="H759" s="282" t="n"/>
      <c r="K759" s="282" t="n"/>
      <c r="L759" s="282" t="n"/>
      <c r="O759" s="282" t="n"/>
      <c r="P759" s="282" t="n"/>
      <c r="S759" s="282" t="n"/>
      <c r="T759" s="282" t="n"/>
      <c r="W759" s="282" t="n"/>
      <c r="X759" s="282" t="n"/>
      <c r="Y759" s="282" t="n"/>
      <c r="Z759" s="282" t="n"/>
      <c r="AA759" s="282" t="n"/>
      <c r="AB759" s="282" t="n"/>
      <c r="AC759" s="529" t="n"/>
      <c r="AE759" s="282" t="n"/>
      <c r="AF759" s="282" t="n"/>
      <c r="AI759" s="282" t="n"/>
      <c r="AJ759" s="282" t="n"/>
      <c r="AM759" s="282" t="n"/>
      <c r="AN759" s="282" t="n"/>
      <c r="AQ759" s="282" t="n"/>
      <c r="AR759" s="282" t="n"/>
    </row>
    <row customHeight="1" ht="15.75" r="760" s="452" spans="1:45">
      <c r="A760" s="44" t="n"/>
      <c r="G760" s="282" t="n"/>
      <c r="H760" s="282" t="n"/>
      <c r="K760" s="282" t="n"/>
      <c r="L760" s="282" t="n"/>
      <c r="O760" s="282" t="n"/>
      <c r="P760" s="282" t="n"/>
      <c r="S760" s="282" t="n"/>
      <c r="T760" s="282" t="n"/>
      <c r="W760" s="282" t="n"/>
      <c r="X760" s="282" t="n"/>
      <c r="Y760" s="282" t="n"/>
      <c r="Z760" s="282" t="n"/>
      <c r="AA760" s="282" t="n"/>
      <c r="AB760" s="282" t="n"/>
      <c r="AC760" s="529" t="n"/>
      <c r="AE760" s="282" t="n"/>
      <c r="AF760" s="282" t="n"/>
      <c r="AI760" s="282" t="n"/>
      <c r="AJ760" s="282" t="n"/>
      <c r="AM760" s="282" t="n"/>
      <c r="AN760" s="282" t="n"/>
      <c r="AQ760" s="282" t="n"/>
      <c r="AR760" s="282" t="n"/>
    </row>
    <row customHeight="1" ht="15.75" r="761" s="452" spans="1:45">
      <c r="A761" s="44" t="n"/>
      <c r="G761" s="282" t="n"/>
      <c r="H761" s="282" t="n"/>
      <c r="K761" s="282" t="n"/>
      <c r="L761" s="282" t="n"/>
      <c r="O761" s="282" t="n"/>
      <c r="P761" s="282" t="n"/>
      <c r="S761" s="282" t="n"/>
      <c r="T761" s="282" t="n"/>
      <c r="W761" s="282" t="n"/>
      <c r="X761" s="282" t="n"/>
      <c r="Y761" s="282" t="n"/>
      <c r="Z761" s="282" t="n"/>
      <c r="AA761" s="282" t="n"/>
      <c r="AB761" s="282" t="n"/>
      <c r="AC761" s="529" t="n"/>
      <c r="AE761" s="282" t="n"/>
      <c r="AF761" s="282" t="n"/>
      <c r="AI761" s="282" t="n"/>
      <c r="AJ761" s="282" t="n"/>
      <c r="AM761" s="282" t="n"/>
      <c r="AN761" s="282" t="n"/>
      <c r="AQ761" s="282" t="n"/>
      <c r="AR761" s="282" t="n"/>
    </row>
    <row customHeight="1" ht="15.75" r="762" s="452" spans="1:45">
      <c r="A762" s="44" t="n"/>
      <c r="G762" s="282" t="n"/>
      <c r="H762" s="282" t="n"/>
      <c r="K762" s="282" t="n"/>
      <c r="L762" s="282" t="n"/>
      <c r="O762" s="282" t="n"/>
      <c r="P762" s="282" t="n"/>
      <c r="S762" s="282" t="n"/>
      <c r="T762" s="282" t="n"/>
      <c r="W762" s="282" t="n"/>
      <c r="X762" s="282" t="n"/>
      <c r="Y762" s="282" t="n"/>
      <c r="Z762" s="282" t="n"/>
      <c r="AA762" s="282" t="n"/>
      <c r="AB762" s="282" t="n"/>
      <c r="AC762" s="529" t="n"/>
      <c r="AE762" s="282" t="n"/>
      <c r="AF762" s="282" t="n"/>
      <c r="AI762" s="282" t="n"/>
      <c r="AJ762" s="282" t="n"/>
      <c r="AM762" s="282" t="n"/>
      <c r="AN762" s="282" t="n"/>
      <c r="AQ762" s="282" t="n"/>
      <c r="AR762" s="282" t="n"/>
    </row>
    <row customHeight="1" ht="15.75" r="763" s="452" spans="1:45">
      <c r="A763" s="44" t="n"/>
      <c r="G763" s="282" t="n"/>
      <c r="H763" s="282" t="n"/>
      <c r="K763" s="282" t="n"/>
      <c r="L763" s="282" t="n"/>
      <c r="O763" s="282" t="n"/>
      <c r="P763" s="282" t="n"/>
      <c r="S763" s="282" t="n"/>
      <c r="T763" s="282" t="n"/>
      <c r="W763" s="282" t="n"/>
      <c r="X763" s="282" t="n"/>
      <c r="Y763" s="282" t="n"/>
      <c r="Z763" s="282" t="n"/>
      <c r="AA763" s="282" t="n"/>
      <c r="AB763" s="282" t="n"/>
      <c r="AC763" s="529" t="n"/>
      <c r="AE763" s="282" t="n"/>
      <c r="AF763" s="282" t="n"/>
      <c r="AI763" s="282" t="n"/>
      <c r="AJ763" s="282" t="n"/>
      <c r="AM763" s="282" t="n"/>
      <c r="AN763" s="282" t="n"/>
      <c r="AQ763" s="282" t="n"/>
      <c r="AR763" s="282" t="n"/>
    </row>
    <row customHeight="1" ht="15.75" r="764" s="452" spans="1:45">
      <c r="A764" s="44" t="n"/>
      <c r="G764" s="282" t="n"/>
      <c r="H764" s="282" t="n"/>
      <c r="K764" s="282" t="n"/>
      <c r="L764" s="282" t="n"/>
      <c r="O764" s="282" t="n"/>
      <c r="P764" s="282" t="n"/>
      <c r="S764" s="282" t="n"/>
      <c r="T764" s="282" t="n"/>
      <c r="W764" s="282" t="n"/>
      <c r="X764" s="282" t="n"/>
      <c r="Y764" s="282" t="n"/>
      <c r="Z764" s="282" t="n"/>
      <c r="AA764" s="282" t="n"/>
      <c r="AB764" s="282" t="n"/>
      <c r="AC764" s="529" t="n"/>
      <c r="AE764" s="282" t="n"/>
      <c r="AF764" s="282" t="n"/>
      <c r="AI764" s="282" t="n"/>
      <c r="AJ764" s="282" t="n"/>
      <c r="AM764" s="282" t="n"/>
      <c r="AN764" s="282" t="n"/>
      <c r="AQ764" s="282" t="n"/>
      <c r="AR764" s="282" t="n"/>
    </row>
    <row customHeight="1" ht="15.75" r="765" s="452" spans="1:45">
      <c r="A765" s="44" t="n"/>
      <c r="G765" s="282" t="n"/>
      <c r="H765" s="282" t="n"/>
      <c r="K765" s="282" t="n"/>
      <c r="L765" s="282" t="n"/>
      <c r="O765" s="282" t="n"/>
      <c r="P765" s="282" t="n"/>
      <c r="S765" s="282" t="n"/>
      <c r="T765" s="282" t="n"/>
      <c r="W765" s="282" t="n"/>
      <c r="X765" s="282" t="n"/>
      <c r="Y765" s="282" t="n"/>
      <c r="Z765" s="282" t="n"/>
      <c r="AA765" s="282" t="n"/>
      <c r="AB765" s="282" t="n"/>
      <c r="AC765" s="529" t="n"/>
      <c r="AE765" s="282" t="n"/>
      <c r="AF765" s="282" t="n"/>
      <c r="AI765" s="282" t="n"/>
      <c r="AJ765" s="282" t="n"/>
      <c r="AM765" s="282" t="n"/>
      <c r="AN765" s="282" t="n"/>
      <c r="AQ765" s="282" t="n"/>
      <c r="AR765" s="282" t="n"/>
    </row>
    <row customHeight="1" ht="15.75" r="766" s="452" spans="1:45">
      <c r="A766" s="44" t="n"/>
      <c r="G766" s="282" t="n"/>
      <c r="H766" s="282" t="n"/>
      <c r="K766" s="282" t="n"/>
      <c r="L766" s="282" t="n"/>
      <c r="O766" s="282" t="n"/>
      <c r="P766" s="282" t="n"/>
      <c r="S766" s="282" t="n"/>
      <c r="T766" s="282" t="n"/>
      <c r="W766" s="282" t="n"/>
      <c r="X766" s="282" t="n"/>
      <c r="Y766" s="282" t="n"/>
      <c r="Z766" s="282" t="n"/>
      <c r="AA766" s="282" t="n"/>
      <c r="AB766" s="282" t="n"/>
      <c r="AC766" s="529" t="n"/>
      <c r="AE766" s="282" t="n"/>
      <c r="AF766" s="282" t="n"/>
      <c r="AI766" s="282" t="n"/>
      <c r="AJ766" s="282" t="n"/>
      <c r="AM766" s="282" t="n"/>
      <c r="AN766" s="282" t="n"/>
      <c r="AQ766" s="282" t="n"/>
      <c r="AR766" s="282" t="n"/>
    </row>
    <row customHeight="1" ht="15.75" r="767" s="452" spans="1:45">
      <c r="A767" s="44" t="n"/>
      <c r="G767" s="282" t="n"/>
      <c r="H767" s="282" t="n"/>
      <c r="K767" s="282" t="n"/>
      <c r="L767" s="282" t="n"/>
      <c r="O767" s="282" t="n"/>
      <c r="P767" s="282" t="n"/>
      <c r="S767" s="282" t="n"/>
      <c r="T767" s="282" t="n"/>
      <c r="W767" s="282" t="n"/>
      <c r="X767" s="282" t="n"/>
      <c r="Y767" s="282" t="n"/>
      <c r="Z767" s="282" t="n"/>
      <c r="AA767" s="282" t="n"/>
      <c r="AB767" s="282" t="n"/>
      <c r="AC767" s="529" t="n"/>
      <c r="AE767" s="282" t="n"/>
      <c r="AF767" s="282" t="n"/>
      <c r="AI767" s="282" t="n"/>
      <c r="AJ767" s="282" t="n"/>
      <c r="AM767" s="282" t="n"/>
      <c r="AN767" s="282" t="n"/>
      <c r="AQ767" s="282" t="n"/>
      <c r="AR767" s="282" t="n"/>
    </row>
    <row customHeight="1" ht="15.75" r="768" s="452" spans="1:45">
      <c r="A768" s="44" t="n"/>
      <c r="G768" s="282" t="n"/>
      <c r="H768" s="282" t="n"/>
      <c r="K768" s="282" t="n"/>
      <c r="L768" s="282" t="n"/>
      <c r="O768" s="282" t="n"/>
      <c r="P768" s="282" t="n"/>
      <c r="S768" s="282" t="n"/>
      <c r="T768" s="282" t="n"/>
      <c r="W768" s="282" t="n"/>
      <c r="X768" s="282" t="n"/>
      <c r="Y768" s="282" t="n"/>
      <c r="Z768" s="282" t="n"/>
      <c r="AA768" s="282" t="n"/>
      <c r="AB768" s="282" t="n"/>
      <c r="AC768" s="529" t="n"/>
      <c r="AE768" s="282" t="n"/>
      <c r="AF768" s="282" t="n"/>
      <c r="AI768" s="282" t="n"/>
      <c r="AJ768" s="282" t="n"/>
      <c r="AM768" s="282" t="n"/>
      <c r="AN768" s="282" t="n"/>
      <c r="AQ768" s="282" t="n"/>
      <c r="AR768" s="282" t="n"/>
    </row>
    <row customHeight="1" ht="15.75" r="769" s="452" spans="1:45">
      <c r="A769" s="44" t="n"/>
      <c r="G769" s="282" t="n"/>
      <c r="H769" s="282" t="n"/>
      <c r="K769" s="282" t="n"/>
      <c r="L769" s="282" t="n"/>
      <c r="O769" s="282" t="n"/>
      <c r="P769" s="282" t="n"/>
      <c r="S769" s="282" t="n"/>
      <c r="T769" s="282" t="n"/>
      <c r="W769" s="282" t="n"/>
      <c r="X769" s="282" t="n"/>
      <c r="Y769" s="282" t="n"/>
      <c r="Z769" s="282" t="n"/>
      <c r="AA769" s="282" t="n"/>
      <c r="AB769" s="282" t="n"/>
      <c r="AC769" s="529" t="n"/>
      <c r="AE769" s="282" t="n"/>
      <c r="AF769" s="282" t="n"/>
      <c r="AI769" s="282" t="n"/>
      <c r="AJ769" s="282" t="n"/>
      <c r="AM769" s="282" t="n"/>
      <c r="AN769" s="282" t="n"/>
      <c r="AQ769" s="282" t="n"/>
      <c r="AR769" s="282" t="n"/>
    </row>
    <row customHeight="1" ht="15.75" r="770" s="452" spans="1:45">
      <c r="A770" s="44" t="n"/>
      <c r="G770" s="282" t="n"/>
      <c r="H770" s="282" t="n"/>
      <c r="K770" s="282" t="n"/>
      <c r="L770" s="282" t="n"/>
      <c r="O770" s="282" t="n"/>
      <c r="P770" s="282" t="n"/>
      <c r="S770" s="282" t="n"/>
      <c r="T770" s="282" t="n"/>
      <c r="W770" s="282" t="n"/>
      <c r="X770" s="282" t="n"/>
      <c r="Y770" s="282" t="n"/>
      <c r="Z770" s="282" t="n"/>
      <c r="AA770" s="282" t="n"/>
      <c r="AB770" s="282" t="n"/>
      <c r="AC770" s="529" t="n"/>
      <c r="AE770" s="282" t="n"/>
      <c r="AF770" s="282" t="n"/>
      <c r="AI770" s="282" t="n"/>
      <c r="AJ770" s="282" t="n"/>
      <c r="AM770" s="282" t="n"/>
      <c r="AN770" s="282" t="n"/>
      <c r="AQ770" s="282" t="n"/>
      <c r="AR770" s="282" t="n"/>
    </row>
    <row customHeight="1" ht="15.75" r="771" s="452" spans="1:45">
      <c r="A771" s="44" t="n"/>
      <c r="G771" s="282" t="n"/>
      <c r="H771" s="282" t="n"/>
      <c r="K771" s="282" t="n"/>
      <c r="L771" s="282" t="n"/>
      <c r="O771" s="282" t="n"/>
      <c r="P771" s="282" t="n"/>
      <c r="S771" s="282" t="n"/>
      <c r="T771" s="282" t="n"/>
      <c r="W771" s="282" t="n"/>
      <c r="X771" s="282" t="n"/>
      <c r="Y771" s="282" t="n"/>
      <c r="Z771" s="282" t="n"/>
      <c r="AA771" s="282" t="n"/>
      <c r="AB771" s="282" t="n"/>
      <c r="AC771" s="529" t="n"/>
      <c r="AE771" s="282" t="n"/>
      <c r="AF771" s="282" t="n"/>
      <c r="AI771" s="282" t="n"/>
      <c r="AJ771" s="282" t="n"/>
      <c r="AM771" s="282" t="n"/>
      <c r="AN771" s="282" t="n"/>
      <c r="AQ771" s="282" t="n"/>
      <c r="AR771" s="282" t="n"/>
    </row>
    <row customHeight="1" ht="15.75" r="772" s="452" spans="1:45">
      <c r="A772" s="44" t="n"/>
      <c r="G772" s="282" t="n"/>
      <c r="H772" s="282" t="n"/>
      <c r="K772" s="282" t="n"/>
      <c r="L772" s="282" t="n"/>
      <c r="O772" s="282" t="n"/>
      <c r="P772" s="282" t="n"/>
      <c r="S772" s="282" t="n"/>
      <c r="T772" s="282" t="n"/>
      <c r="W772" s="282" t="n"/>
      <c r="X772" s="282" t="n"/>
      <c r="Y772" s="282" t="n"/>
      <c r="Z772" s="282" t="n"/>
      <c r="AA772" s="282" t="n"/>
      <c r="AB772" s="282" t="n"/>
      <c r="AC772" s="529" t="n"/>
      <c r="AE772" s="282" t="n"/>
      <c r="AF772" s="282" t="n"/>
      <c r="AI772" s="282" t="n"/>
      <c r="AJ772" s="282" t="n"/>
      <c r="AM772" s="282" t="n"/>
      <c r="AN772" s="282" t="n"/>
      <c r="AQ772" s="282" t="n"/>
      <c r="AR772" s="282" t="n"/>
    </row>
    <row customHeight="1" ht="15.75" r="773" s="452" spans="1:45">
      <c r="A773" s="44" t="n"/>
      <c r="G773" s="282" t="n"/>
      <c r="H773" s="282" t="n"/>
      <c r="K773" s="282" t="n"/>
      <c r="L773" s="282" t="n"/>
      <c r="O773" s="282" t="n"/>
      <c r="P773" s="282" t="n"/>
      <c r="S773" s="282" t="n"/>
      <c r="T773" s="282" t="n"/>
      <c r="W773" s="282" t="n"/>
      <c r="X773" s="282" t="n"/>
      <c r="Y773" s="282" t="n"/>
      <c r="Z773" s="282" t="n"/>
      <c r="AA773" s="282" t="n"/>
      <c r="AB773" s="282" t="n"/>
      <c r="AC773" s="529" t="n"/>
      <c r="AE773" s="282" t="n"/>
      <c r="AF773" s="282" t="n"/>
      <c r="AI773" s="282" t="n"/>
      <c r="AJ773" s="282" t="n"/>
      <c r="AM773" s="282" t="n"/>
      <c r="AN773" s="282" t="n"/>
      <c r="AQ773" s="282" t="n"/>
      <c r="AR773" s="282" t="n"/>
    </row>
    <row customHeight="1" ht="15.75" r="774" s="452" spans="1:45">
      <c r="A774" s="44" t="n"/>
      <c r="G774" s="282" t="n"/>
      <c r="H774" s="282" t="n"/>
      <c r="K774" s="282" t="n"/>
      <c r="L774" s="282" t="n"/>
      <c r="O774" s="282" t="n"/>
      <c r="P774" s="282" t="n"/>
      <c r="S774" s="282" t="n"/>
      <c r="T774" s="282" t="n"/>
      <c r="W774" s="282" t="n"/>
      <c r="X774" s="282" t="n"/>
      <c r="Y774" s="282" t="n"/>
      <c r="Z774" s="282" t="n"/>
      <c r="AA774" s="282" t="n"/>
      <c r="AB774" s="282" t="n"/>
      <c r="AC774" s="529" t="n"/>
      <c r="AE774" s="282" t="n"/>
      <c r="AF774" s="282" t="n"/>
      <c r="AI774" s="282" t="n"/>
      <c r="AJ774" s="282" t="n"/>
      <c r="AM774" s="282" t="n"/>
      <c r="AN774" s="282" t="n"/>
      <c r="AQ774" s="282" t="n"/>
      <c r="AR774" s="282" t="n"/>
    </row>
    <row customHeight="1" ht="15.75" r="775" s="452" spans="1:45">
      <c r="A775" s="44" t="n"/>
      <c r="G775" s="282" t="n"/>
      <c r="H775" s="282" t="n"/>
      <c r="K775" s="282" t="n"/>
      <c r="L775" s="282" t="n"/>
      <c r="O775" s="282" t="n"/>
      <c r="P775" s="282" t="n"/>
      <c r="S775" s="282" t="n"/>
      <c r="T775" s="282" t="n"/>
      <c r="W775" s="282" t="n"/>
      <c r="X775" s="282" t="n"/>
      <c r="Y775" s="282" t="n"/>
      <c r="Z775" s="282" t="n"/>
      <c r="AA775" s="282" t="n"/>
      <c r="AB775" s="282" t="n"/>
      <c r="AC775" s="529" t="n"/>
      <c r="AE775" s="282" t="n"/>
      <c r="AF775" s="282" t="n"/>
      <c r="AI775" s="282" t="n"/>
      <c r="AJ775" s="282" t="n"/>
      <c r="AM775" s="282" t="n"/>
      <c r="AN775" s="282" t="n"/>
      <c r="AQ775" s="282" t="n"/>
      <c r="AR775" s="282" t="n"/>
    </row>
    <row customHeight="1" ht="15.75" r="776" s="452" spans="1:45">
      <c r="A776" s="44" t="n"/>
      <c r="G776" s="282" t="n"/>
      <c r="H776" s="282" t="n"/>
      <c r="K776" s="282" t="n"/>
      <c r="L776" s="282" t="n"/>
      <c r="O776" s="282" t="n"/>
      <c r="P776" s="282" t="n"/>
      <c r="S776" s="282" t="n"/>
      <c r="T776" s="282" t="n"/>
      <c r="W776" s="282" t="n"/>
      <c r="X776" s="282" t="n"/>
      <c r="Y776" s="282" t="n"/>
      <c r="Z776" s="282" t="n"/>
      <c r="AA776" s="282" t="n"/>
      <c r="AB776" s="282" t="n"/>
      <c r="AC776" s="529" t="n"/>
      <c r="AE776" s="282" t="n"/>
      <c r="AF776" s="282" t="n"/>
      <c r="AI776" s="282" t="n"/>
      <c r="AJ776" s="282" t="n"/>
      <c r="AM776" s="282" t="n"/>
      <c r="AN776" s="282" t="n"/>
      <c r="AQ776" s="282" t="n"/>
      <c r="AR776" s="282" t="n"/>
    </row>
    <row customHeight="1" ht="15.75" r="777" s="452" spans="1:45">
      <c r="A777" s="44" t="n"/>
      <c r="G777" s="282" t="n"/>
      <c r="H777" s="282" t="n"/>
      <c r="K777" s="282" t="n"/>
      <c r="L777" s="282" t="n"/>
      <c r="O777" s="282" t="n"/>
      <c r="P777" s="282" t="n"/>
      <c r="S777" s="282" t="n"/>
      <c r="T777" s="282" t="n"/>
      <c r="W777" s="282" t="n"/>
      <c r="X777" s="282" t="n"/>
      <c r="Y777" s="282" t="n"/>
      <c r="Z777" s="282" t="n"/>
      <c r="AA777" s="282" t="n"/>
      <c r="AB777" s="282" t="n"/>
      <c r="AC777" s="529" t="n"/>
      <c r="AE777" s="282" t="n"/>
      <c r="AF777" s="282" t="n"/>
      <c r="AI777" s="282" t="n"/>
      <c r="AJ777" s="282" t="n"/>
      <c r="AM777" s="282" t="n"/>
      <c r="AN777" s="282" t="n"/>
      <c r="AQ777" s="282" t="n"/>
      <c r="AR777" s="282" t="n"/>
    </row>
    <row customHeight="1" ht="15.75" r="778" s="452" spans="1:45">
      <c r="A778" s="44" t="n"/>
      <c r="G778" s="282" t="n"/>
      <c r="H778" s="282" t="n"/>
      <c r="K778" s="282" t="n"/>
      <c r="L778" s="282" t="n"/>
      <c r="O778" s="282" t="n"/>
      <c r="P778" s="282" t="n"/>
      <c r="S778" s="282" t="n"/>
      <c r="T778" s="282" t="n"/>
      <c r="W778" s="282" t="n"/>
      <c r="X778" s="282" t="n"/>
      <c r="Y778" s="282" t="n"/>
      <c r="Z778" s="282" t="n"/>
      <c r="AA778" s="282" t="n"/>
      <c r="AB778" s="282" t="n"/>
      <c r="AC778" s="529" t="n"/>
      <c r="AE778" s="282" t="n"/>
      <c r="AF778" s="282" t="n"/>
      <c r="AI778" s="282" t="n"/>
      <c r="AJ778" s="282" t="n"/>
      <c r="AM778" s="282" t="n"/>
      <c r="AN778" s="282" t="n"/>
      <c r="AQ778" s="282" t="n"/>
      <c r="AR778" s="282" t="n"/>
    </row>
    <row customHeight="1" ht="15.75" r="779" s="452" spans="1:45">
      <c r="A779" s="44" t="n"/>
      <c r="G779" s="282" t="n"/>
      <c r="H779" s="282" t="n"/>
      <c r="K779" s="282" t="n"/>
      <c r="L779" s="282" t="n"/>
      <c r="O779" s="282" t="n"/>
      <c r="P779" s="282" t="n"/>
      <c r="S779" s="282" t="n"/>
      <c r="T779" s="282" t="n"/>
      <c r="W779" s="282" t="n"/>
      <c r="X779" s="282" t="n"/>
      <c r="Y779" s="282" t="n"/>
      <c r="Z779" s="282" t="n"/>
      <c r="AA779" s="282" t="n"/>
      <c r="AB779" s="282" t="n"/>
      <c r="AC779" s="529" t="n"/>
      <c r="AE779" s="282" t="n"/>
      <c r="AF779" s="282" t="n"/>
      <c r="AI779" s="282" t="n"/>
      <c r="AJ779" s="282" t="n"/>
      <c r="AM779" s="282" t="n"/>
      <c r="AN779" s="282" t="n"/>
      <c r="AQ779" s="282" t="n"/>
      <c r="AR779" s="282" t="n"/>
    </row>
    <row customHeight="1" ht="15.75" r="780" s="452" spans="1:45">
      <c r="A780" s="44" t="n"/>
      <c r="G780" s="282" t="n"/>
      <c r="H780" s="282" t="n"/>
      <c r="K780" s="282" t="n"/>
      <c r="L780" s="282" t="n"/>
      <c r="O780" s="282" t="n"/>
      <c r="P780" s="282" t="n"/>
      <c r="S780" s="282" t="n"/>
      <c r="T780" s="282" t="n"/>
      <c r="W780" s="282" t="n"/>
      <c r="X780" s="282" t="n"/>
      <c r="Y780" s="282" t="n"/>
      <c r="Z780" s="282" t="n"/>
      <c r="AA780" s="282" t="n"/>
      <c r="AB780" s="282" t="n"/>
      <c r="AC780" s="529" t="n"/>
      <c r="AE780" s="282" t="n"/>
      <c r="AF780" s="282" t="n"/>
      <c r="AI780" s="282" t="n"/>
      <c r="AJ780" s="282" t="n"/>
      <c r="AM780" s="282" t="n"/>
      <c r="AN780" s="282" t="n"/>
      <c r="AQ780" s="282" t="n"/>
      <c r="AR780" s="282" t="n"/>
    </row>
    <row customHeight="1" ht="15.75" r="781" s="452" spans="1:45">
      <c r="A781" s="44" t="n"/>
      <c r="G781" s="282" t="n"/>
      <c r="H781" s="282" t="n"/>
      <c r="K781" s="282" t="n"/>
      <c r="L781" s="282" t="n"/>
      <c r="O781" s="282" t="n"/>
      <c r="P781" s="282" t="n"/>
      <c r="S781" s="282" t="n"/>
      <c r="T781" s="282" t="n"/>
      <c r="W781" s="282" t="n"/>
      <c r="X781" s="282" t="n"/>
      <c r="Y781" s="282" t="n"/>
      <c r="Z781" s="282" t="n"/>
      <c r="AA781" s="282" t="n"/>
      <c r="AB781" s="282" t="n"/>
      <c r="AC781" s="529" t="n"/>
      <c r="AE781" s="282" t="n"/>
      <c r="AF781" s="282" t="n"/>
      <c r="AI781" s="282" t="n"/>
      <c r="AJ781" s="282" t="n"/>
      <c r="AM781" s="282" t="n"/>
      <c r="AN781" s="282" t="n"/>
      <c r="AQ781" s="282" t="n"/>
      <c r="AR781" s="282" t="n"/>
    </row>
    <row customHeight="1" ht="15.75" r="782" s="452" spans="1:45">
      <c r="A782" s="44" t="n"/>
      <c r="G782" s="282" t="n"/>
      <c r="H782" s="282" t="n"/>
      <c r="K782" s="282" t="n"/>
      <c r="L782" s="282" t="n"/>
      <c r="O782" s="282" t="n"/>
      <c r="P782" s="282" t="n"/>
      <c r="S782" s="282" t="n"/>
      <c r="T782" s="282" t="n"/>
      <c r="W782" s="282" t="n"/>
      <c r="X782" s="282" t="n"/>
      <c r="Y782" s="282" t="n"/>
      <c r="Z782" s="282" t="n"/>
      <c r="AA782" s="282" t="n"/>
      <c r="AB782" s="282" t="n"/>
      <c r="AC782" s="529" t="n"/>
      <c r="AE782" s="282" t="n"/>
      <c r="AF782" s="282" t="n"/>
      <c r="AI782" s="282" t="n"/>
      <c r="AJ782" s="282" t="n"/>
      <c r="AM782" s="282" t="n"/>
      <c r="AN782" s="282" t="n"/>
      <c r="AQ782" s="282" t="n"/>
      <c r="AR782" s="282" t="n"/>
    </row>
    <row customHeight="1" ht="15.75" r="783" s="452" spans="1:45">
      <c r="A783" s="44" t="n"/>
      <c r="G783" s="282" t="n"/>
      <c r="H783" s="282" t="n"/>
      <c r="K783" s="282" t="n"/>
      <c r="L783" s="282" t="n"/>
      <c r="O783" s="282" t="n"/>
      <c r="P783" s="282" t="n"/>
      <c r="S783" s="282" t="n"/>
      <c r="T783" s="282" t="n"/>
      <c r="W783" s="282" t="n"/>
      <c r="X783" s="282" t="n"/>
      <c r="Y783" s="282" t="n"/>
      <c r="Z783" s="282" t="n"/>
      <c r="AA783" s="282" t="n"/>
      <c r="AB783" s="282" t="n"/>
      <c r="AC783" s="529" t="n"/>
      <c r="AE783" s="282" t="n"/>
      <c r="AF783" s="282" t="n"/>
      <c r="AI783" s="282" t="n"/>
      <c r="AJ783" s="282" t="n"/>
      <c r="AM783" s="282" t="n"/>
      <c r="AN783" s="282" t="n"/>
      <c r="AQ783" s="282" t="n"/>
      <c r="AR783" s="282" t="n"/>
    </row>
    <row customHeight="1" ht="15.75" r="784" s="452" spans="1:45">
      <c r="A784" s="44" t="n"/>
      <c r="G784" s="282" t="n"/>
      <c r="H784" s="282" t="n"/>
      <c r="K784" s="282" t="n"/>
      <c r="L784" s="282" t="n"/>
      <c r="O784" s="282" t="n"/>
      <c r="P784" s="282" t="n"/>
      <c r="S784" s="282" t="n"/>
      <c r="T784" s="282" t="n"/>
      <c r="W784" s="282" t="n"/>
      <c r="X784" s="282" t="n"/>
      <c r="Y784" s="282" t="n"/>
      <c r="Z784" s="282" t="n"/>
      <c r="AA784" s="282" t="n"/>
      <c r="AB784" s="282" t="n"/>
      <c r="AC784" s="529" t="n"/>
      <c r="AE784" s="282" t="n"/>
      <c r="AF784" s="282" t="n"/>
      <c r="AI784" s="282" t="n"/>
      <c r="AJ784" s="282" t="n"/>
      <c r="AM784" s="282" t="n"/>
      <c r="AN784" s="282" t="n"/>
      <c r="AQ784" s="282" t="n"/>
      <c r="AR784" s="282" t="n"/>
    </row>
    <row customHeight="1" ht="15.75" r="785" s="452" spans="1:45">
      <c r="A785" s="44" t="n"/>
      <c r="G785" s="282" t="n"/>
      <c r="H785" s="282" t="n"/>
      <c r="K785" s="282" t="n"/>
      <c r="L785" s="282" t="n"/>
      <c r="O785" s="282" t="n"/>
      <c r="P785" s="282" t="n"/>
      <c r="S785" s="282" t="n"/>
      <c r="T785" s="282" t="n"/>
      <c r="W785" s="282" t="n"/>
      <c r="X785" s="282" t="n"/>
      <c r="Y785" s="282" t="n"/>
      <c r="Z785" s="282" t="n"/>
      <c r="AA785" s="282" t="n"/>
      <c r="AB785" s="282" t="n"/>
      <c r="AC785" s="529" t="n"/>
      <c r="AE785" s="282" t="n"/>
      <c r="AF785" s="282" t="n"/>
      <c r="AI785" s="282" t="n"/>
      <c r="AJ785" s="282" t="n"/>
      <c r="AM785" s="282" t="n"/>
      <c r="AN785" s="282" t="n"/>
      <c r="AQ785" s="282" t="n"/>
      <c r="AR785" s="282" t="n"/>
    </row>
    <row customHeight="1" ht="15.75" r="786" s="452" spans="1:45">
      <c r="A786" s="44" t="n"/>
      <c r="G786" s="282" t="n"/>
      <c r="H786" s="282" t="n"/>
      <c r="K786" s="282" t="n"/>
      <c r="L786" s="282" t="n"/>
      <c r="O786" s="282" t="n"/>
      <c r="P786" s="282" t="n"/>
      <c r="S786" s="282" t="n"/>
      <c r="T786" s="282" t="n"/>
      <c r="W786" s="282" t="n"/>
      <c r="X786" s="282" t="n"/>
      <c r="Y786" s="282" t="n"/>
      <c r="Z786" s="282" t="n"/>
      <c r="AA786" s="282" t="n"/>
      <c r="AB786" s="282" t="n"/>
      <c r="AC786" s="529" t="n"/>
      <c r="AE786" s="282" t="n"/>
      <c r="AF786" s="282" t="n"/>
      <c r="AI786" s="282" t="n"/>
      <c r="AJ786" s="282" t="n"/>
      <c r="AM786" s="282" t="n"/>
      <c r="AN786" s="282" t="n"/>
      <c r="AQ786" s="282" t="n"/>
      <c r="AR786" s="282" t="n"/>
    </row>
    <row customHeight="1" ht="15.75" r="787" s="452" spans="1:45">
      <c r="A787" s="44" t="n"/>
      <c r="G787" s="282" t="n"/>
      <c r="H787" s="282" t="n"/>
      <c r="K787" s="282" t="n"/>
      <c r="L787" s="282" t="n"/>
      <c r="O787" s="282" t="n"/>
      <c r="P787" s="282" t="n"/>
      <c r="S787" s="282" t="n"/>
      <c r="T787" s="282" t="n"/>
      <c r="W787" s="282" t="n"/>
      <c r="X787" s="282" t="n"/>
      <c r="Y787" s="282" t="n"/>
      <c r="Z787" s="282" t="n"/>
      <c r="AA787" s="282" t="n"/>
      <c r="AB787" s="282" t="n"/>
      <c r="AC787" s="529" t="n"/>
      <c r="AE787" s="282" t="n"/>
      <c r="AF787" s="282" t="n"/>
      <c r="AI787" s="282" t="n"/>
      <c r="AJ787" s="282" t="n"/>
      <c r="AM787" s="282" t="n"/>
      <c r="AN787" s="282" t="n"/>
      <c r="AQ787" s="282" t="n"/>
      <c r="AR787" s="282" t="n"/>
    </row>
    <row customHeight="1" ht="15.75" r="788" s="452" spans="1:45">
      <c r="A788" s="44" t="n"/>
      <c r="G788" s="282" t="n"/>
      <c r="H788" s="282" t="n"/>
      <c r="K788" s="282" t="n"/>
      <c r="L788" s="282" t="n"/>
      <c r="O788" s="282" t="n"/>
      <c r="P788" s="282" t="n"/>
      <c r="S788" s="282" t="n"/>
      <c r="T788" s="282" t="n"/>
      <c r="W788" s="282" t="n"/>
      <c r="X788" s="282" t="n"/>
      <c r="Y788" s="282" t="n"/>
      <c r="Z788" s="282" t="n"/>
      <c r="AA788" s="282" t="n"/>
      <c r="AB788" s="282" t="n"/>
      <c r="AC788" s="529" t="n"/>
      <c r="AE788" s="282" t="n"/>
      <c r="AF788" s="282" t="n"/>
      <c r="AI788" s="282" t="n"/>
      <c r="AJ788" s="282" t="n"/>
      <c r="AM788" s="282" t="n"/>
      <c r="AN788" s="282" t="n"/>
      <c r="AQ788" s="282" t="n"/>
      <c r="AR788" s="282" t="n"/>
    </row>
    <row customHeight="1" ht="15.75" r="789" s="452" spans="1:45">
      <c r="A789" s="44" t="n"/>
      <c r="G789" s="282" t="n"/>
      <c r="H789" s="282" t="n"/>
      <c r="K789" s="282" t="n"/>
      <c r="L789" s="282" t="n"/>
      <c r="O789" s="282" t="n"/>
      <c r="P789" s="282" t="n"/>
      <c r="S789" s="282" t="n"/>
      <c r="T789" s="282" t="n"/>
      <c r="W789" s="282" t="n"/>
      <c r="X789" s="282" t="n"/>
      <c r="Y789" s="282" t="n"/>
      <c r="Z789" s="282" t="n"/>
      <c r="AA789" s="282" t="n"/>
      <c r="AB789" s="282" t="n"/>
      <c r="AC789" s="529" t="n"/>
      <c r="AE789" s="282" t="n"/>
      <c r="AF789" s="282" t="n"/>
      <c r="AI789" s="282" t="n"/>
      <c r="AJ789" s="282" t="n"/>
      <c r="AM789" s="282" t="n"/>
      <c r="AN789" s="282" t="n"/>
      <c r="AQ789" s="282" t="n"/>
      <c r="AR789" s="282" t="n"/>
    </row>
    <row customHeight="1" ht="15.75" r="790" s="452" spans="1:45">
      <c r="A790" s="44" t="n"/>
      <c r="G790" s="282" t="n"/>
      <c r="H790" s="282" t="n"/>
      <c r="K790" s="282" t="n"/>
      <c r="L790" s="282" t="n"/>
      <c r="O790" s="282" t="n"/>
      <c r="P790" s="282" t="n"/>
      <c r="S790" s="282" t="n"/>
      <c r="T790" s="282" t="n"/>
      <c r="W790" s="282" t="n"/>
      <c r="X790" s="282" t="n"/>
      <c r="Y790" s="282" t="n"/>
      <c r="Z790" s="282" t="n"/>
      <c r="AA790" s="282" t="n"/>
      <c r="AB790" s="282" t="n"/>
      <c r="AC790" s="529" t="n"/>
      <c r="AE790" s="282" t="n"/>
      <c r="AF790" s="282" t="n"/>
      <c r="AI790" s="282" t="n"/>
      <c r="AJ790" s="282" t="n"/>
      <c r="AM790" s="282" t="n"/>
      <c r="AN790" s="282" t="n"/>
      <c r="AQ790" s="282" t="n"/>
      <c r="AR790" s="282" t="n"/>
    </row>
    <row customHeight="1" ht="15.75" r="791" s="452" spans="1:45">
      <c r="A791" s="44" t="n"/>
      <c r="G791" s="282" t="n"/>
      <c r="H791" s="282" t="n"/>
      <c r="K791" s="282" t="n"/>
      <c r="L791" s="282" t="n"/>
      <c r="O791" s="282" t="n"/>
      <c r="P791" s="282" t="n"/>
      <c r="S791" s="282" t="n"/>
      <c r="T791" s="282" t="n"/>
      <c r="W791" s="282" t="n"/>
      <c r="X791" s="282" t="n"/>
      <c r="Y791" s="282" t="n"/>
      <c r="Z791" s="282" t="n"/>
      <c r="AA791" s="282" t="n"/>
      <c r="AB791" s="282" t="n"/>
      <c r="AC791" s="529" t="n"/>
      <c r="AE791" s="282" t="n"/>
      <c r="AF791" s="282" t="n"/>
      <c r="AI791" s="282" t="n"/>
      <c r="AJ791" s="282" t="n"/>
      <c r="AM791" s="282" t="n"/>
      <c r="AN791" s="282" t="n"/>
      <c r="AQ791" s="282" t="n"/>
      <c r="AR791" s="282" t="n"/>
    </row>
    <row customHeight="1" ht="15.75" r="792" s="452" spans="1:45">
      <c r="A792" s="44" t="n"/>
      <c r="G792" s="282" t="n"/>
      <c r="H792" s="282" t="n"/>
      <c r="K792" s="282" t="n"/>
      <c r="L792" s="282" t="n"/>
      <c r="O792" s="282" t="n"/>
      <c r="P792" s="282" t="n"/>
      <c r="S792" s="282" t="n"/>
      <c r="T792" s="282" t="n"/>
      <c r="W792" s="282" t="n"/>
      <c r="X792" s="282" t="n"/>
      <c r="Y792" s="282" t="n"/>
      <c r="Z792" s="282" t="n"/>
      <c r="AA792" s="282" t="n"/>
      <c r="AB792" s="282" t="n"/>
      <c r="AC792" s="529" t="n"/>
      <c r="AE792" s="282" t="n"/>
      <c r="AF792" s="282" t="n"/>
      <c r="AI792" s="282" t="n"/>
      <c r="AJ792" s="282" t="n"/>
      <c r="AM792" s="282" t="n"/>
      <c r="AN792" s="282" t="n"/>
      <c r="AQ792" s="282" t="n"/>
      <c r="AR792" s="282" t="n"/>
    </row>
    <row customHeight="1" ht="15.75" r="793" s="452" spans="1:45">
      <c r="A793" s="44" t="n"/>
      <c r="G793" s="282" t="n"/>
      <c r="H793" s="282" t="n"/>
      <c r="K793" s="282" t="n"/>
      <c r="L793" s="282" t="n"/>
      <c r="O793" s="282" t="n"/>
      <c r="P793" s="282" t="n"/>
      <c r="S793" s="282" t="n"/>
      <c r="T793" s="282" t="n"/>
      <c r="W793" s="282" t="n"/>
      <c r="X793" s="282" t="n"/>
      <c r="Y793" s="282" t="n"/>
      <c r="Z793" s="282" t="n"/>
      <c r="AA793" s="282" t="n"/>
      <c r="AB793" s="282" t="n"/>
      <c r="AC793" s="529" t="n"/>
      <c r="AE793" s="282" t="n"/>
      <c r="AF793" s="282" t="n"/>
      <c r="AI793" s="282" t="n"/>
      <c r="AJ793" s="282" t="n"/>
      <c r="AM793" s="282" t="n"/>
      <c r="AN793" s="282" t="n"/>
      <c r="AQ793" s="282" t="n"/>
      <c r="AR793" s="282" t="n"/>
    </row>
    <row customHeight="1" ht="15.75" r="794" s="452" spans="1:45">
      <c r="A794" s="44" t="n"/>
      <c r="G794" s="282" t="n"/>
      <c r="H794" s="282" t="n"/>
      <c r="K794" s="282" t="n"/>
      <c r="L794" s="282" t="n"/>
      <c r="O794" s="282" t="n"/>
      <c r="P794" s="282" t="n"/>
      <c r="S794" s="282" t="n"/>
      <c r="T794" s="282" t="n"/>
      <c r="W794" s="282" t="n"/>
      <c r="X794" s="282" t="n"/>
      <c r="Y794" s="282" t="n"/>
      <c r="Z794" s="282" t="n"/>
      <c r="AA794" s="282" t="n"/>
      <c r="AB794" s="282" t="n"/>
      <c r="AC794" s="529" t="n"/>
      <c r="AE794" s="282" t="n"/>
      <c r="AF794" s="282" t="n"/>
      <c r="AI794" s="282" t="n"/>
      <c r="AJ794" s="282" t="n"/>
      <c r="AM794" s="282" t="n"/>
      <c r="AN794" s="282" t="n"/>
      <c r="AQ794" s="282" t="n"/>
      <c r="AR794" s="282" t="n"/>
    </row>
    <row customHeight="1" ht="15.75" r="795" s="452" spans="1:45">
      <c r="A795" s="44" t="n"/>
      <c r="G795" s="282" t="n"/>
      <c r="H795" s="282" t="n"/>
      <c r="K795" s="282" t="n"/>
      <c r="L795" s="282" t="n"/>
      <c r="O795" s="282" t="n"/>
      <c r="P795" s="282" t="n"/>
      <c r="S795" s="282" t="n"/>
      <c r="T795" s="282" t="n"/>
      <c r="W795" s="282" t="n"/>
      <c r="X795" s="282" t="n"/>
      <c r="Y795" s="282" t="n"/>
      <c r="Z795" s="282" t="n"/>
      <c r="AA795" s="282" t="n"/>
      <c r="AB795" s="282" t="n"/>
      <c r="AC795" s="529" t="n"/>
      <c r="AE795" s="282" t="n"/>
      <c r="AF795" s="282" t="n"/>
      <c r="AI795" s="282" t="n"/>
      <c r="AJ795" s="282" t="n"/>
      <c r="AM795" s="282" t="n"/>
      <c r="AN795" s="282" t="n"/>
      <c r="AQ795" s="282" t="n"/>
      <c r="AR795" s="282" t="n"/>
    </row>
    <row customHeight="1" ht="15.75" r="796" s="452" spans="1:45">
      <c r="A796" s="44" t="n"/>
      <c r="G796" s="282" t="n"/>
      <c r="H796" s="282" t="n"/>
      <c r="K796" s="282" t="n"/>
      <c r="L796" s="282" t="n"/>
      <c r="O796" s="282" t="n"/>
      <c r="P796" s="282" t="n"/>
      <c r="S796" s="282" t="n"/>
      <c r="T796" s="282" t="n"/>
      <c r="W796" s="282" t="n"/>
      <c r="X796" s="282" t="n"/>
      <c r="Y796" s="282" t="n"/>
      <c r="Z796" s="282" t="n"/>
      <c r="AA796" s="282" t="n"/>
      <c r="AB796" s="282" t="n"/>
      <c r="AC796" s="529" t="n"/>
      <c r="AE796" s="282" t="n"/>
      <c r="AF796" s="282" t="n"/>
      <c r="AI796" s="282" t="n"/>
      <c r="AJ796" s="282" t="n"/>
      <c r="AM796" s="282" t="n"/>
      <c r="AN796" s="282" t="n"/>
      <c r="AQ796" s="282" t="n"/>
      <c r="AR796" s="282" t="n"/>
    </row>
    <row customHeight="1" ht="15.75" r="797" s="452" spans="1:45">
      <c r="A797" s="44" t="n"/>
      <c r="G797" s="282" t="n"/>
      <c r="H797" s="282" t="n"/>
      <c r="K797" s="282" t="n"/>
      <c r="L797" s="282" t="n"/>
      <c r="O797" s="282" t="n"/>
      <c r="P797" s="282" t="n"/>
      <c r="S797" s="282" t="n"/>
      <c r="T797" s="282" t="n"/>
      <c r="W797" s="282" t="n"/>
      <c r="X797" s="282" t="n"/>
      <c r="Y797" s="282" t="n"/>
      <c r="Z797" s="282" t="n"/>
      <c r="AA797" s="282" t="n"/>
      <c r="AB797" s="282" t="n"/>
      <c r="AC797" s="529" t="n"/>
      <c r="AE797" s="282" t="n"/>
      <c r="AF797" s="282" t="n"/>
      <c r="AI797" s="282" t="n"/>
      <c r="AJ797" s="282" t="n"/>
      <c r="AM797" s="282" t="n"/>
      <c r="AN797" s="282" t="n"/>
      <c r="AQ797" s="282" t="n"/>
      <c r="AR797" s="282" t="n"/>
    </row>
    <row customHeight="1" ht="15.75" r="798" s="452" spans="1:45">
      <c r="A798" s="44" t="n"/>
      <c r="G798" s="282" t="n"/>
      <c r="H798" s="282" t="n"/>
      <c r="K798" s="282" t="n"/>
      <c r="L798" s="282" t="n"/>
      <c r="O798" s="282" t="n"/>
      <c r="P798" s="282" t="n"/>
      <c r="S798" s="282" t="n"/>
      <c r="T798" s="282" t="n"/>
      <c r="W798" s="282" t="n"/>
      <c r="X798" s="282" t="n"/>
      <c r="Y798" s="282" t="n"/>
      <c r="Z798" s="282" t="n"/>
      <c r="AA798" s="282" t="n"/>
      <c r="AB798" s="282" t="n"/>
      <c r="AC798" s="529" t="n"/>
      <c r="AE798" s="282" t="n"/>
      <c r="AF798" s="282" t="n"/>
      <c r="AI798" s="282" t="n"/>
      <c r="AJ798" s="282" t="n"/>
      <c r="AM798" s="282" t="n"/>
      <c r="AN798" s="282" t="n"/>
      <c r="AQ798" s="282" t="n"/>
      <c r="AR798" s="282" t="n"/>
    </row>
    <row customHeight="1" ht="15.75" r="799" s="452" spans="1:45">
      <c r="A799" s="44" t="n"/>
      <c r="G799" s="282" t="n"/>
      <c r="H799" s="282" t="n"/>
      <c r="K799" s="282" t="n"/>
      <c r="L799" s="282" t="n"/>
      <c r="O799" s="282" t="n"/>
      <c r="P799" s="282" t="n"/>
      <c r="S799" s="282" t="n"/>
      <c r="T799" s="282" t="n"/>
      <c r="W799" s="282" t="n"/>
      <c r="X799" s="282" t="n"/>
      <c r="Y799" s="282" t="n"/>
      <c r="Z799" s="282" t="n"/>
      <c r="AA799" s="282" t="n"/>
      <c r="AB799" s="282" t="n"/>
      <c r="AC799" s="529" t="n"/>
      <c r="AE799" s="282" t="n"/>
      <c r="AF799" s="282" t="n"/>
      <c r="AI799" s="282" t="n"/>
      <c r="AJ799" s="282" t="n"/>
      <c r="AM799" s="282" t="n"/>
      <c r="AN799" s="282" t="n"/>
      <c r="AQ799" s="282" t="n"/>
      <c r="AR799" s="282" t="n"/>
    </row>
    <row customHeight="1" ht="15.75" r="800" s="452" spans="1:45">
      <c r="A800" s="44" t="n"/>
      <c r="G800" s="282" t="n"/>
      <c r="H800" s="282" t="n"/>
      <c r="K800" s="282" t="n"/>
      <c r="L800" s="282" t="n"/>
      <c r="O800" s="282" t="n"/>
      <c r="P800" s="282" t="n"/>
      <c r="S800" s="282" t="n"/>
      <c r="T800" s="282" t="n"/>
      <c r="W800" s="282" t="n"/>
      <c r="X800" s="282" t="n"/>
      <c r="Y800" s="282" t="n"/>
      <c r="Z800" s="282" t="n"/>
      <c r="AA800" s="282" t="n"/>
      <c r="AB800" s="282" t="n"/>
      <c r="AC800" s="529" t="n"/>
      <c r="AE800" s="282" t="n"/>
      <c r="AF800" s="282" t="n"/>
      <c r="AI800" s="282" t="n"/>
      <c r="AJ800" s="282" t="n"/>
      <c r="AM800" s="282" t="n"/>
      <c r="AN800" s="282" t="n"/>
      <c r="AQ800" s="282" t="n"/>
      <c r="AR800" s="282" t="n"/>
    </row>
    <row customHeight="1" ht="15.75" r="801" s="452" spans="1:45">
      <c r="A801" s="44" t="n"/>
      <c r="G801" s="282" t="n"/>
      <c r="H801" s="282" t="n"/>
      <c r="K801" s="282" t="n"/>
      <c r="L801" s="282" t="n"/>
      <c r="O801" s="282" t="n"/>
      <c r="P801" s="282" t="n"/>
      <c r="S801" s="282" t="n"/>
      <c r="T801" s="282" t="n"/>
      <c r="W801" s="282" t="n"/>
      <c r="X801" s="282" t="n"/>
      <c r="Y801" s="282" t="n"/>
      <c r="Z801" s="282" t="n"/>
      <c r="AA801" s="282" t="n"/>
      <c r="AB801" s="282" t="n"/>
      <c r="AC801" s="529" t="n"/>
      <c r="AE801" s="282" t="n"/>
      <c r="AF801" s="282" t="n"/>
      <c r="AI801" s="282" t="n"/>
      <c r="AJ801" s="282" t="n"/>
      <c r="AM801" s="282" t="n"/>
      <c r="AN801" s="282" t="n"/>
      <c r="AQ801" s="282" t="n"/>
      <c r="AR801" s="282" t="n"/>
    </row>
    <row customHeight="1" ht="15.75" r="802" s="452" spans="1:45">
      <c r="A802" s="44" t="n"/>
      <c r="G802" s="282" t="n"/>
      <c r="H802" s="282" t="n"/>
      <c r="K802" s="282" t="n"/>
      <c r="L802" s="282" t="n"/>
      <c r="O802" s="282" t="n"/>
      <c r="P802" s="282" t="n"/>
      <c r="S802" s="282" t="n"/>
      <c r="T802" s="282" t="n"/>
      <c r="W802" s="282" t="n"/>
      <c r="X802" s="282" t="n"/>
      <c r="Y802" s="282" t="n"/>
      <c r="Z802" s="282" t="n"/>
      <c r="AA802" s="282" t="n"/>
      <c r="AB802" s="282" t="n"/>
      <c r="AC802" s="529" t="n"/>
      <c r="AE802" s="282" t="n"/>
      <c r="AF802" s="282" t="n"/>
      <c r="AI802" s="282" t="n"/>
      <c r="AJ802" s="282" t="n"/>
      <c r="AM802" s="282" t="n"/>
      <c r="AN802" s="282" t="n"/>
      <c r="AQ802" s="282" t="n"/>
      <c r="AR802" s="282" t="n"/>
    </row>
    <row customHeight="1" ht="15.75" r="803" s="452" spans="1:45">
      <c r="A803" s="44" t="n"/>
      <c r="G803" s="282" t="n"/>
      <c r="H803" s="282" t="n"/>
      <c r="K803" s="282" t="n"/>
      <c r="L803" s="282" t="n"/>
      <c r="O803" s="282" t="n"/>
      <c r="P803" s="282" t="n"/>
      <c r="S803" s="282" t="n"/>
      <c r="T803" s="282" t="n"/>
      <c r="W803" s="282" t="n"/>
      <c r="X803" s="282" t="n"/>
      <c r="Y803" s="282" t="n"/>
      <c r="Z803" s="282" t="n"/>
      <c r="AA803" s="282" t="n"/>
      <c r="AB803" s="282" t="n"/>
      <c r="AC803" s="529" t="n"/>
      <c r="AE803" s="282" t="n"/>
      <c r="AF803" s="282" t="n"/>
      <c r="AI803" s="282" t="n"/>
      <c r="AJ803" s="282" t="n"/>
      <c r="AM803" s="282" t="n"/>
      <c r="AN803" s="282" t="n"/>
      <c r="AQ803" s="282" t="n"/>
      <c r="AR803" s="282" t="n"/>
    </row>
    <row customHeight="1" ht="15.75" r="804" s="452" spans="1:45">
      <c r="A804" s="44" t="n"/>
      <c r="G804" s="282" t="n"/>
      <c r="H804" s="282" t="n"/>
      <c r="K804" s="282" t="n"/>
      <c r="L804" s="282" t="n"/>
      <c r="O804" s="282" t="n"/>
      <c r="P804" s="282" t="n"/>
      <c r="S804" s="282" t="n"/>
      <c r="T804" s="282" t="n"/>
      <c r="W804" s="282" t="n"/>
      <c r="X804" s="282" t="n"/>
      <c r="Y804" s="282" t="n"/>
      <c r="Z804" s="282" t="n"/>
      <c r="AA804" s="282" t="n"/>
      <c r="AB804" s="282" t="n"/>
      <c r="AC804" s="529" t="n"/>
      <c r="AE804" s="282" t="n"/>
      <c r="AF804" s="282" t="n"/>
      <c r="AI804" s="282" t="n"/>
      <c r="AJ804" s="282" t="n"/>
      <c r="AM804" s="282" t="n"/>
      <c r="AN804" s="282" t="n"/>
      <c r="AQ804" s="282" t="n"/>
      <c r="AR804" s="282" t="n"/>
    </row>
    <row customHeight="1" ht="15.75" r="805" s="452" spans="1:45">
      <c r="A805" s="44" t="n"/>
      <c r="G805" s="282" t="n"/>
      <c r="H805" s="282" t="n"/>
      <c r="K805" s="282" t="n"/>
      <c r="L805" s="282" t="n"/>
      <c r="O805" s="282" t="n"/>
      <c r="P805" s="282" t="n"/>
      <c r="S805" s="282" t="n"/>
      <c r="T805" s="282" t="n"/>
      <c r="W805" s="282" t="n"/>
      <c r="X805" s="282" t="n"/>
      <c r="Y805" s="282" t="n"/>
      <c r="Z805" s="282" t="n"/>
      <c r="AA805" s="282" t="n"/>
      <c r="AB805" s="282" t="n"/>
      <c r="AC805" s="529" t="n"/>
      <c r="AE805" s="282" t="n"/>
      <c r="AF805" s="282" t="n"/>
      <c r="AI805" s="282" t="n"/>
      <c r="AJ805" s="282" t="n"/>
      <c r="AM805" s="282" t="n"/>
      <c r="AN805" s="282" t="n"/>
      <c r="AQ805" s="282" t="n"/>
      <c r="AR805" s="282" t="n"/>
    </row>
    <row customHeight="1" ht="15.75" r="806" s="452" spans="1:45">
      <c r="A806" s="44" t="n"/>
      <c r="G806" s="282" t="n"/>
      <c r="H806" s="282" t="n"/>
      <c r="K806" s="282" t="n"/>
      <c r="L806" s="282" t="n"/>
      <c r="O806" s="282" t="n"/>
      <c r="P806" s="282" t="n"/>
      <c r="S806" s="282" t="n"/>
      <c r="T806" s="282" t="n"/>
      <c r="W806" s="282" t="n"/>
      <c r="X806" s="282" t="n"/>
      <c r="Y806" s="282" t="n"/>
      <c r="Z806" s="282" t="n"/>
      <c r="AA806" s="282" t="n"/>
      <c r="AB806" s="282" t="n"/>
      <c r="AC806" s="529" t="n"/>
      <c r="AE806" s="282" t="n"/>
      <c r="AF806" s="282" t="n"/>
      <c r="AI806" s="282" t="n"/>
      <c r="AJ806" s="282" t="n"/>
      <c r="AM806" s="282" t="n"/>
      <c r="AN806" s="282" t="n"/>
      <c r="AQ806" s="282" t="n"/>
      <c r="AR806" s="282" t="n"/>
    </row>
    <row customHeight="1" ht="15.75" r="807" s="452" spans="1:45">
      <c r="A807" s="44" t="n"/>
      <c r="G807" s="282" t="n"/>
      <c r="H807" s="282" t="n"/>
      <c r="K807" s="282" t="n"/>
      <c r="L807" s="282" t="n"/>
      <c r="O807" s="282" t="n"/>
      <c r="P807" s="282" t="n"/>
      <c r="S807" s="282" t="n"/>
      <c r="T807" s="282" t="n"/>
      <c r="W807" s="282" t="n"/>
      <c r="X807" s="282" t="n"/>
      <c r="Y807" s="282" t="n"/>
      <c r="Z807" s="282" t="n"/>
      <c r="AA807" s="282" t="n"/>
      <c r="AB807" s="282" t="n"/>
      <c r="AC807" s="529" t="n"/>
      <c r="AE807" s="282" t="n"/>
      <c r="AF807" s="282" t="n"/>
      <c r="AI807" s="282" t="n"/>
      <c r="AJ807" s="282" t="n"/>
      <c r="AM807" s="282" t="n"/>
      <c r="AN807" s="282" t="n"/>
      <c r="AQ807" s="282" t="n"/>
      <c r="AR807" s="282" t="n"/>
    </row>
    <row customHeight="1" ht="15.75" r="808" s="452" spans="1:45">
      <c r="A808" s="44" t="n"/>
      <c r="G808" s="282" t="n"/>
      <c r="H808" s="282" t="n"/>
      <c r="K808" s="282" t="n"/>
      <c r="L808" s="282" t="n"/>
      <c r="O808" s="282" t="n"/>
      <c r="P808" s="282" t="n"/>
      <c r="S808" s="282" t="n"/>
      <c r="T808" s="282" t="n"/>
      <c r="W808" s="282" t="n"/>
      <c r="X808" s="282" t="n"/>
      <c r="Y808" s="282" t="n"/>
      <c r="Z808" s="282" t="n"/>
      <c r="AA808" s="282" t="n"/>
      <c r="AB808" s="282" t="n"/>
      <c r="AC808" s="529" t="n"/>
      <c r="AE808" s="282" t="n"/>
      <c r="AF808" s="282" t="n"/>
      <c r="AI808" s="282" t="n"/>
      <c r="AJ808" s="282" t="n"/>
      <c r="AM808" s="282" t="n"/>
      <c r="AN808" s="282" t="n"/>
      <c r="AQ808" s="282" t="n"/>
      <c r="AR808" s="282" t="n"/>
    </row>
    <row customHeight="1" ht="15.75" r="809" s="452" spans="1:45">
      <c r="A809" s="44" t="n"/>
      <c r="G809" s="282" t="n"/>
      <c r="H809" s="282" t="n"/>
      <c r="K809" s="282" t="n"/>
      <c r="L809" s="282" t="n"/>
      <c r="O809" s="282" t="n"/>
      <c r="P809" s="282" t="n"/>
      <c r="S809" s="282" t="n"/>
      <c r="T809" s="282" t="n"/>
      <c r="W809" s="282" t="n"/>
      <c r="X809" s="282" t="n"/>
      <c r="Y809" s="282" t="n"/>
      <c r="Z809" s="282" t="n"/>
      <c r="AA809" s="282" t="n"/>
      <c r="AB809" s="282" t="n"/>
      <c r="AC809" s="529" t="n"/>
      <c r="AE809" s="282" t="n"/>
      <c r="AF809" s="282" t="n"/>
      <c r="AI809" s="282" t="n"/>
      <c r="AJ809" s="282" t="n"/>
      <c r="AM809" s="282" t="n"/>
      <c r="AN809" s="282" t="n"/>
      <c r="AQ809" s="282" t="n"/>
      <c r="AR809" s="282" t="n"/>
    </row>
    <row customHeight="1" ht="15.75" r="810" s="452" spans="1:45">
      <c r="A810" s="44" t="n"/>
      <c r="G810" s="282" t="n"/>
      <c r="H810" s="282" t="n"/>
      <c r="K810" s="282" t="n"/>
      <c r="L810" s="282" t="n"/>
      <c r="O810" s="282" t="n"/>
      <c r="P810" s="282" t="n"/>
      <c r="S810" s="282" t="n"/>
      <c r="T810" s="282" t="n"/>
      <c r="W810" s="282" t="n"/>
      <c r="X810" s="282" t="n"/>
      <c r="Y810" s="282" t="n"/>
      <c r="Z810" s="282" t="n"/>
      <c r="AA810" s="282" t="n"/>
      <c r="AB810" s="282" t="n"/>
      <c r="AC810" s="529" t="n"/>
      <c r="AE810" s="282" t="n"/>
      <c r="AF810" s="282" t="n"/>
      <c r="AI810" s="282" t="n"/>
      <c r="AJ810" s="282" t="n"/>
      <c r="AM810" s="282" t="n"/>
      <c r="AN810" s="282" t="n"/>
      <c r="AQ810" s="282" t="n"/>
      <c r="AR810" s="282" t="n"/>
    </row>
    <row customHeight="1" ht="15.75" r="811" s="452" spans="1:45">
      <c r="A811" s="44" t="n"/>
      <c r="G811" s="282" t="n"/>
      <c r="H811" s="282" t="n"/>
      <c r="K811" s="282" t="n"/>
      <c r="L811" s="282" t="n"/>
      <c r="O811" s="282" t="n"/>
      <c r="P811" s="282" t="n"/>
      <c r="S811" s="282" t="n"/>
      <c r="T811" s="282" t="n"/>
      <c r="W811" s="282" t="n"/>
      <c r="X811" s="282" t="n"/>
      <c r="Y811" s="282" t="n"/>
      <c r="Z811" s="282" t="n"/>
      <c r="AA811" s="282" t="n"/>
      <c r="AB811" s="282" t="n"/>
      <c r="AC811" s="529" t="n"/>
      <c r="AE811" s="282" t="n"/>
      <c r="AF811" s="282" t="n"/>
      <c r="AI811" s="282" t="n"/>
      <c r="AJ811" s="282" t="n"/>
      <c r="AM811" s="282" t="n"/>
      <c r="AN811" s="282" t="n"/>
      <c r="AQ811" s="282" t="n"/>
      <c r="AR811" s="282" t="n"/>
    </row>
    <row customHeight="1" ht="15.75" r="812" s="452" spans="1:45">
      <c r="A812" s="44" t="n"/>
      <c r="G812" s="282" t="n"/>
      <c r="H812" s="282" t="n"/>
      <c r="K812" s="282" t="n"/>
      <c r="L812" s="282" t="n"/>
      <c r="O812" s="282" t="n"/>
      <c r="P812" s="282" t="n"/>
      <c r="S812" s="282" t="n"/>
      <c r="T812" s="282" t="n"/>
      <c r="W812" s="282" t="n"/>
      <c r="X812" s="282" t="n"/>
      <c r="Y812" s="282" t="n"/>
      <c r="Z812" s="282" t="n"/>
      <c r="AA812" s="282" t="n"/>
      <c r="AB812" s="282" t="n"/>
      <c r="AC812" s="529" t="n"/>
      <c r="AE812" s="282" t="n"/>
      <c r="AF812" s="282" t="n"/>
      <c r="AI812" s="282" t="n"/>
      <c r="AJ812" s="282" t="n"/>
      <c r="AM812" s="282" t="n"/>
      <c r="AN812" s="282" t="n"/>
      <c r="AQ812" s="282" t="n"/>
      <c r="AR812" s="282" t="n"/>
    </row>
    <row customHeight="1" ht="15.75" r="813" s="452" spans="1:45">
      <c r="A813" s="44" t="n"/>
      <c r="G813" s="282" t="n"/>
      <c r="H813" s="282" t="n"/>
      <c r="K813" s="282" t="n"/>
      <c r="L813" s="282" t="n"/>
      <c r="O813" s="282" t="n"/>
      <c r="P813" s="282" t="n"/>
      <c r="S813" s="282" t="n"/>
      <c r="T813" s="282" t="n"/>
      <c r="W813" s="282" t="n"/>
      <c r="X813" s="282" t="n"/>
      <c r="Y813" s="282" t="n"/>
      <c r="Z813" s="282" t="n"/>
      <c r="AA813" s="282" t="n"/>
      <c r="AB813" s="282" t="n"/>
      <c r="AC813" s="529" t="n"/>
      <c r="AE813" s="282" t="n"/>
      <c r="AF813" s="282" t="n"/>
      <c r="AI813" s="282" t="n"/>
      <c r="AJ813" s="282" t="n"/>
      <c r="AM813" s="282" t="n"/>
      <c r="AN813" s="282" t="n"/>
      <c r="AQ813" s="282" t="n"/>
      <c r="AR813" s="282" t="n"/>
    </row>
    <row customHeight="1" ht="15.75" r="814" s="452" spans="1:45">
      <c r="A814" s="44" t="n"/>
      <c r="G814" s="282" t="n"/>
      <c r="H814" s="282" t="n"/>
      <c r="K814" s="282" t="n"/>
      <c r="L814" s="282" t="n"/>
      <c r="O814" s="282" t="n"/>
      <c r="P814" s="282" t="n"/>
      <c r="S814" s="282" t="n"/>
      <c r="T814" s="282" t="n"/>
      <c r="W814" s="282" t="n"/>
      <c r="X814" s="282" t="n"/>
      <c r="Y814" s="282" t="n"/>
      <c r="Z814" s="282" t="n"/>
      <c r="AA814" s="282" t="n"/>
      <c r="AB814" s="282" t="n"/>
      <c r="AC814" s="529" t="n"/>
      <c r="AE814" s="282" t="n"/>
      <c r="AF814" s="282" t="n"/>
      <c r="AI814" s="282" t="n"/>
      <c r="AJ814" s="282" t="n"/>
      <c r="AM814" s="282" t="n"/>
      <c r="AN814" s="282" t="n"/>
      <c r="AQ814" s="282" t="n"/>
      <c r="AR814" s="282" t="n"/>
    </row>
    <row customHeight="1" ht="15.75" r="815" s="452" spans="1:45">
      <c r="A815" s="44" t="n"/>
      <c r="G815" s="282" t="n"/>
      <c r="H815" s="282" t="n"/>
      <c r="K815" s="282" t="n"/>
      <c r="L815" s="282" t="n"/>
      <c r="O815" s="282" t="n"/>
      <c r="P815" s="282" t="n"/>
      <c r="S815" s="282" t="n"/>
      <c r="T815" s="282" t="n"/>
      <c r="W815" s="282" t="n"/>
      <c r="X815" s="282" t="n"/>
      <c r="Y815" s="282" t="n"/>
      <c r="Z815" s="282" t="n"/>
      <c r="AA815" s="282" t="n"/>
      <c r="AB815" s="282" t="n"/>
      <c r="AC815" s="529" t="n"/>
      <c r="AE815" s="282" t="n"/>
      <c r="AF815" s="282" t="n"/>
      <c r="AI815" s="282" t="n"/>
      <c r="AJ815" s="282" t="n"/>
      <c r="AM815" s="282" t="n"/>
      <c r="AN815" s="282" t="n"/>
      <c r="AQ815" s="282" t="n"/>
      <c r="AR815" s="282" t="n"/>
    </row>
    <row customHeight="1" ht="15.75" r="816" s="452" spans="1:45">
      <c r="A816" s="44" t="n"/>
      <c r="G816" s="282" t="n"/>
      <c r="H816" s="282" t="n"/>
      <c r="K816" s="282" t="n"/>
      <c r="L816" s="282" t="n"/>
      <c r="O816" s="282" t="n"/>
      <c r="P816" s="282" t="n"/>
      <c r="S816" s="282" t="n"/>
      <c r="T816" s="282" t="n"/>
      <c r="W816" s="282" t="n"/>
      <c r="X816" s="282" t="n"/>
      <c r="Y816" s="282" t="n"/>
      <c r="Z816" s="282" t="n"/>
      <c r="AA816" s="282" t="n"/>
      <c r="AB816" s="282" t="n"/>
      <c r="AC816" s="529" t="n"/>
      <c r="AE816" s="282" t="n"/>
      <c r="AF816" s="282" t="n"/>
      <c r="AI816" s="282" t="n"/>
      <c r="AJ816" s="282" t="n"/>
      <c r="AM816" s="282" t="n"/>
      <c r="AN816" s="282" t="n"/>
      <c r="AQ816" s="282" t="n"/>
      <c r="AR816" s="282" t="n"/>
    </row>
    <row customHeight="1" ht="15.75" r="817" s="452" spans="1:45">
      <c r="A817" s="44" t="n"/>
      <c r="G817" s="282" t="n"/>
      <c r="H817" s="282" t="n"/>
      <c r="K817" s="282" t="n"/>
      <c r="L817" s="282" t="n"/>
      <c r="O817" s="282" t="n"/>
      <c r="P817" s="282" t="n"/>
      <c r="S817" s="282" t="n"/>
      <c r="T817" s="282" t="n"/>
      <c r="W817" s="282" t="n"/>
      <c r="X817" s="282" t="n"/>
      <c r="Y817" s="282" t="n"/>
      <c r="Z817" s="282" t="n"/>
      <c r="AA817" s="282" t="n"/>
      <c r="AB817" s="282" t="n"/>
      <c r="AC817" s="529" t="n"/>
      <c r="AE817" s="282" t="n"/>
      <c r="AF817" s="282" t="n"/>
      <c r="AI817" s="282" t="n"/>
      <c r="AJ817" s="282" t="n"/>
      <c r="AM817" s="282" t="n"/>
      <c r="AN817" s="282" t="n"/>
      <c r="AQ817" s="282" t="n"/>
      <c r="AR817" s="282" t="n"/>
    </row>
    <row customHeight="1" ht="15.75" r="818" s="452" spans="1:45">
      <c r="A818" s="44" t="n"/>
      <c r="G818" s="282" t="n"/>
      <c r="H818" s="282" t="n"/>
      <c r="K818" s="282" t="n"/>
      <c r="L818" s="282" t="n"/>
      <c r="O818" s="282" t="n"/>
      <c r="P818" s="282" t="n"/>
      <c r="S818" s="282" t="n"/>
      <c r="T818" s="282" t="n"/>
      <c r="W818" s="282" t="n"/>
      <c r="X818" s="282" t="n"/>
      <c r="Y818" s="282" t="n"/>
      <c r="Z818" s="282" t="n"/>
      <c r="AA818" s="282" t="n"/>
      <c r="AB818" s="282" t="n"/>
      <c r="AC818" s="529" t="n"/>
      <c r="AE818" s="282" t="n"/>
      <c r="AF818" s="282" t="n"/>
      <c r="AI818" s="282" t="n"/>
      <c r="AJ818" s="282" t="n"/>
      <c r="AM818" s="282" t="n"/>
      <c r="AN818" s="282" t="n"/>
      <c r="AQ818" s="282" t="n"/>
      <c r="AR818" s="282" t="n"/>
    </row>
    <row customHeight="1" ht="15.75" r="819" s="452" spans="1:45">
      <c r="A819" s="44" t="n"/>
      <c r="G819" s="282" t="n"/>
      <c r="H819" s="282" t="n"/>
      <c r="K819" s="282" t="n"/>
      <c r="L819" s="282" t="n"/>
      <c r="O819" s="282" t="n"/>
      <c r="P819" s="282" t="n"/>
      <c r="S819" s="282" t="n"/>
      <c r="T819" s="282" t="n"/>
      <c r="W819" s="282" t="n"/>
      <c r="X819" s="282" t="n"/>
      <c r="Y819" s="282" t="n"/>
      <c r="Z819" s="282" t="n"/>
      <c r="AA819" s="282" t="n"/>
      <c r="AB819" s="282" t="n"/>
      <c r="AC819" s="529" t="n"/>
      <c r="AE819" s="282" t="n"/>
      <c r="AF819" s="282" t="n"/>
      <c r="AI819" s="282" t="n"/>
      <c r="AJ819" s="282" t="n"/>
      <c r="AM819" s="282" t="n"/>
      <c r="AN819" s="282" t="n"/>
      <c r="AQ819" s="282" t="n"/>
      <c r="AR819" s="282" t="n"/>
    </row>
    <row customHeight="1" ht="15.75" r="820" s="452" spans="1:45">
      <c r="A820" s="44" t="n"/>
      <c r="G820" s="282" t="n"/>
      <c r="H820" s="282" t="n"/>
      <c r="K820" s="282" t="n"/>
      <c r="L820" s="282" t="n"/>
      <c r="O820" s="282" t="n"/>
      <c r="P820" s="282" t="n"/>
      <c r="S820" s="282" t="n"/>
      <c r="T820" s="282" t="n"/>
      <c r="W820" s="282" t="n"/>
      <c r="X820" s="282" t="n"/>
      <c r="Y820" s="282" t="n"/>
      <c r="Z820" s="282" t="n"/>
      <c r="AA820" s="282" t="n"/>
      <c r="AB820" s="282" t="n"/>
      <c r="AC820" s="529" t="n"/>
      <c r="AE820" s="282" t="n"/>
      <c r="AF820" s="282" t="n"/>
      <c r="AI820" s="282" t="n"/>
      <c r="AJ820" s="282" t="n"/>
      <c r="AM820" s="282" t="n"/>
      <c r="AN820" s="282" t="n"/>
      <c r="AQ820" s="282" t="n"/>
      <c r="AR820" s="282" t="n"/>
    </row>
    <row customHeight="1" ht="15.75" r="821" s="452" spans="1:45">
      <c r="A821" s="44" t="n"/>
      <c r="G821" s="282" t="n"/>
      <c r="H821" s="282" t="n"/>
      <c r="K821" s="282" t="n"/>
      <c r="L821" s="282" t="n"/>
      <c r="O821" s="282" t="n"/>
      <c r="P821" s="282" t="n"/>
      <c r="S821" s="282" t="n"/>
      <c r="T821" s="282" t="n"/>
      <c r="W821" s="282" t="n"/>
      <c r="X821" s="282" t="n"/>
      <c r="Y821" s="282" t="n"/>
      <c r="Z821" s="282" t="n"/>
      <c r="AA821" s="282" t="n"/>
      <c r="AB821" s="282" t="n"/>
      <c r="AC821" s="529" t="n"/>
      <c r="AE821" s="282" t="n"/>
      <c r="AF821" s="282" t="n"/>
      <c r="AI821" s="282" t="n"/>
      <c r="AJ821" s="282" t="n"/>
      <c r="AM821" s="282" t="n"/>
      <c r="AN821" s="282" t="n"/>
      <c r="AQ821" s="282" t="n"/>
      <c r="AR821" s="282" t="n"/>
    </row>
    <row customHeight="1" ht="15.75" r="822" s="452" spans="1:45">
      <c r="A822" s="44" t="n"/>
      <c r="G822" s="282" t="n"/>
      <c r="H822" s="282" t="n"/>
      <c r="K822" s="282" t="n"/>
      <c r="L822" s="282" t="n"/>
      <c r="O822" s="282" t="n"/>
      <c r="P822" s="282" t="n"/>
      <c r="S822" s="282" t="n"/>
      <c r="T822" s="282" t="n"/>
      <c r="W822" s="282" t="n"/>
      <c r="X822" s="282" t="n"/>
      <c r="Y822" s="282" t="n"/>
      <c r="Z822" s="282" t="n"/>
      <c r="AA822" s="282" t="n"/>
      <c r="AB822" s="282" t="n"/>
      <c r="AC822" s="529" t="n"/>
      <c r="AE822" s="282" t="n"/>
      <c r="AF822" s="282" t="n"/>
      <c r="AI822" s="282" t="n"/>
      <c r="AJ822" s="282" t="n"/>
      <c r="AM822" s="282" t="n"/>
      <c r="AN822" s="282" t="n"/>
      <c r="AQ822" s="282" t="n"/>
      <c r="AR822" s="282" t="n"/>
    </row>
    <row customHeight="1" ht="15.75" r="823" s="452" spans="1:45">
      <c r="A823" s="44" t="n"/>
      <c r="G823" s="282" t="n"/>
      <c r="H823" s="282" t="n"/>
      <c r="K823" s="282" t="n"/>
      <c r="L823" s="282" t="n"/>
      <c r="O823" s="282" t="n"/>
      <c r="P823" s="282" t="n"/>
      <c r="S823" s="282" t="n"/>
      <c r="T823" s="282" t="n"/>
      <c r="W823" s="282" t="n"/>
      <c r="X823" s="282" t="n"/>
      <c r="Y823" s="282" t="n"/>
      <c r="Z823" s="282" t="n"/>
      <c r="AA823" s="282" t="n"/>
      <c r="AB823" s="282" t="n"/>
      <c r="AC823" s="529" t="n"/>
      <c r="AE823" s="282" t="n"/>
      <c r="AF823" s="282" t="n"/>
      <c r="AI823" s="282" t="n"/>
      <c r="AJ823" s="282" t="n"/>
      <c r="AM823" s="282" t="n"/>
      <c r="AN823" s="282" t="n"/>
      <c r="AQ823" s="282" t="n"/>
      <c r="AR823" s="282" t="n"/>
    </row>
    <row customHeight="1" ht="15.75" r="824" s="452" spans="1:45">
      <c r="A824" s="44" t="n"/>
      <c r="G824" s="282" t="n"/>
      <c r="H824" s="282" t="n"/>
      <c r="K824" s="282" t="n"/>
      <c r="L824" s="282" t="n"/>
      <c r="O824" s="282" t="n"/>
      <c r="P824" s="282" t="n"/>
      <c r="S824" s="282" t="n"/>
      <c r="T824" s="282" t="n"/>
      <c r="W824" s="282" t="n"/>
      <c r="X824" s="282" t="n"/>
      <c r="Y824" s="282" t="n"/>
      <c r="Z824" s="282" t="n"/>
      <c r="AA824" s="282" t="n"/>
      <c r="AB824" s="282" t="n"/>
      <c r="AC824" s="529" t="n"/>
      <c r="AE824" s="282" t="n"/>
      <c r="AF824" s="282" t="n"/>
      <c r="AI824" s="282" t="n"/>
      <c r="AJ824" s="282" t="n"/>
      <c r="AM824" s="282" t="n"/>
      <c r="AN824" s="282" t="n"/>
      <c r="AQ824" s="282" t="n"/>
      <c r="AR824" s="282" t="n"/>
    </row>
    <row customHeight="1" ht="15.75" r="825" s="452" spans="1:45">
      <c r="A825" s="44" t="n"/>
      <c r="G825" s="282" t="n"/>
      <c r="H825" s="282" t="n"/>
      <c r="K825" s="282" t="n"/>
      <c r="L825" s="282" t="n"/>
      <c r="O825" s="282" t="n"/>
      <c r="P825" s="282" t="n"/>
      <c r="S825" s="282" t="n"/>
      <c r="T825" s="282" t="n"/>
      <c r="W825" s="282" t="n"/>
      <c r="X825" s="282" t="n"/>
      <c r="Y825" s="282" t="n"/>
      <c r="Z825" s="282" t="n"/>
      <c r="AA825" s="282" t="n"/>
      <c r="AB825" s="282" t="n"/>
      <c r="AC825" s="529" t="n"/>
      <c r="AE825" s="282" t="n"/>
      <c r="AF825" s="282" t="n"/>
      <c r="AI825" s="282" t="n"/>
      <c r="AJ825" s="282" t="n"/>
      <c r="AM825" s="282" t="n"/>
      <c r="AN825" s="282" t="n"/>
      <c r="AQ825" s="282" t="n"/>
      <c r="AR825" s="282" t="n"/>
    </row>
    <row customHeight="1" ht="15.75" r="826" s="452" spans="1:45">
      <c r="A826" s="44" t="n"/>
      <c r="G826" s="282" t="n"/>
      <c r="H826" s="282" t="n"/>
      <c r="K826" s="282" t="n"/>
      <c r="L826" s="282" t="n"/>
      <c r="O826" s="282" t="n"/>
      <c r="P826" s="282" t="n"/>
      <c r="S826" s="282" t="n"/>
      <c r="T826" s="282" t="n"/>
      <c r="W826" s="282" t="n"/>
      <c r="X826" s="282" t="n"/>
      <c r="Y826" s="282" t="n"/>
      <c r="Z826" s="282" t="n"/>
      <c r="AA826" s="282" t="n"/>
      <c r="AB826" s="282" t="n"/>
      <c r="AC826" s="529" t="n"/>
      <c r="AE826" s="282" t="n"/>
      <c r="AF826" s="282" t="n"/>
      <c r="AI826" s="282" t="n"/>
      <c r="AJ826" s="282" t="n"/>
      <c r="AM826" s="282" t="n"/>
      <c r="AN826" s="282" t="n"/>
      <c r="AQ826" s="282" t="n"/>
      <c r="AR826" s="282" t="n"/>
    </row>
    <row customHeight="1" ht="15.75" r="827" s="452" spans="1:45">
      <c r="A827" s="44" t="n"/>
      <c r="G827" s="282" t="n"/>
      <c r="H827" s="282" t="n"/>
      <c r="K827" s="282" t="n"/>
      <c r="L827" s="282" t="n"/>
      <c r="O827" s="282" t="n"/>
      <c r="P827" s="282" t="n"/>
      <c r="S827" s="282" t="n"/>
      <c r="T827" s="282" t="n"/>
      <c r="W827" s="282" t="n"/>
      <c r="X827" s="282" t="n"/>
      <c r="Y827" s="282" t="n"/>
      <c r="Z827" s="282" t="n"/>
      <c r="AA827" s="282" t="n"/>
      <c r="AB827" s="282" t="n"/>
      <c r="AC827" s="529" t="n"/>
      <c r="AE827" s="282" t="n"/>
      <c r="AF827" s="282" t="n"/>
      <c r="AI827" s="282" t="n"/>
      <c r="AJ827" s="282" t="n"/>
      <c r="AM827" s="282" t="n"/>
      <c r="AN827" s="282" t="n"/>
      <c r="AQ827" s="282" t="n"/>
      <c r="AR827" s="282" t="n"/>
    </row>
    <row customHeight="1" ht="15.75" r="828" s="452" spans="1:45">
      <c r="A828" s="44" t="n"/>
      <c r="G828" s="282" t="n"/>
      <c r="H828" s="282" t="n"/>
      <c r="K828" s="282" t="n"/>
      <c r="L828" s="282" t="n"/>
      <c r="O828" s="282" t="n"/>
      <c r="P828" s="282" t="n"/>
      <c r="S828" s="282" t="n"/>
      <c r="T828" s="282" t="n"/>
      <c r="W828" s="282" t="n"/>
      <c r="X828" s="282" t="n"/>
      <c r="Y828" s="282" t="n"/>
      <c r="Z828" s="282" t="n"/>
      <c r="AA828" s="282" t="n"/>
      <c r="AB828" s="282" t="n"/>
      <c r="AC828" s="529" t="n"/>
      <c r="AE828" s="282" t="n"/>
      <c r="AF828" s="282" t="n"/>
      <c r="AI828" s="282" t="n"/>
      <c r="AJ828" s="282" t="n"/>
      <c r="AM828" s="282" t="n"/>
      <c r="AN828" s="282" t="n"/>
      <c r="AQ828" s="282" t="n"/>
      <c r="AR828" s="282" t="n"/>
    </row>
    <row customHeight="1" ht="15.75" r="829" s="452" spans="1:45">
      <c r="A829" s="44" t="n"/>
      <c r="G829" s="282" t="n"/>
      <c r="H829" s="282" t="n"/>
      <c r="K829" s="282" t="n"/>
      <c r="L829" s="282" t="n"/>
      <c r="O829" s="282" t="n"/>
      <c r="P829" s="282" t="n"/>
      <c r="S829" s="282" t="n"/>
      <c r="T829" s="282" t="n"/>
      <c r="W829" s="282" t="n"/>
      <c r="X829" s="282" t="n"/>
      <c r="Y829" s="282" t="n"/>
      <c r="Z829" s="282" t="n"/>
      <c r="AA829" s="282" t="n"/>
      <c r="AB829" s="282" t="n"/>
      <c r="AC829" s="529" t="n"/>
      <c r="AE829" s="282" t="n"/>
      <c r="AF829" s="282" t="n"/>
      <c r="AI829" s="282" t="n"/>
      <c r="AJ829" s="282" t="n"/>
      <c r="AM829" s="282" t="n"/>
      <c r="AN829" s="282" t="n"/>
      <c r="AQ829" s="282" t="n"/>
      <c r="AR829" s="282" t="n"/>
    </row>
    <row customHeight="1" ht="15.75" r="830" s="452" spans="1:45">
      <c r="A830" s="44" t="n"/>
      <c r="G830" s="282" t="n"/>
      <c r="H830" s="282" t="n"/>
      <c r="K830" s="282" t="n"/>
      <c r="L830" s="282" t="n"/>
      <c r="O830" s="282" t="n"/>
      <c r="P830" s="282" t="n"/>
      <c r="S830" s="282" t="n"/>
      <c r="T830" s="282" t="n"/>
      <c r="W830" s="282" t="n"/>
      <c r="X830" s="282" t="n"/>
      <c r="Y830" s="282" t="n"/>
      <c r="Z830" s="282" t="n"/>
      <c r="AA830" s="282" t="n"/>
      <c r="AB830" s="282" t="n"/>
      <c r="AC830" s="529" t="n"/>
      <c r="AE830" s="282" t="n"/>
      <c r="AF830" s="282" t="n"/>
      <c r="AI830" s="282" t="n"/>
      <c r="AJ830" s="282" t="n"/>
      <c r="AM830" s="282" t="n"/>
      <c r="AN830" s="282" t="n"/>
      <c r="AQ830" s="282" t="n"/>
      <c r="AR830" s="282" t="n"/>
    </row>
    <row customHeight="1" ht="15.75" r="831" s="452" spans="1:45">
      <c r="A831" s="44" t="n"/>
      <c r="G831" s="282" t="n"/>
      <c r="H831" s="282" t="n"/>
      <c r="K831" s="282" t="n"/>
      <c r="L831" s="282" t="n"/>
      <c r="O831" s="282" t="n"/>
      <c r="P831" s="282" t="n"/>
      <c r="S831" s="282" t="n"/>
      <c r="T831" s="282" t="n"/>
      <c r="W831" s="282" t="n"/>
      <c r="X831" s="282" t="n"/>
      <c r="Y831" s="282" t="n"/>
      <c r="Z831" s="282" t="n"/>
      <c r="AA831" s="282" t="n"/>
      <c r="AB831" s="282" t="n"/>
      <c r="AC831" s="529" t="n"/>
      <c r="AE831" s="282" t="n"/>
      <c r="AF831" s="282" t="n"/>
      <c r="AI831" s="282" t="n"/>
      <c r="AJ831" s="282" t="n"/>
      <c r="AM831" s="282" t="n"/>
      <c r="AN831" s="282" t="n"/>
      <c r="AQ831" s="282" t="n"/>
      <c r="AR831" s="282" t="n"/>
    </row>
    <row customHeight="1" ht="15.75" r="832" s="452" spans="1:45">
      <c r="A832" s="44" t="n"/>
      <c r="G832" s="282" t="n"/>
      <c r="H832" s="282" t="n"/>
      <c r="K832" s="282" t="n"/>
      <c r="L832" s="282" t="n"/>
      <c r="O832" s="282" t="n"/>
      <c r="P832" s="282" t="n"/>
      <c r="S832" s="282" t="n"/>
      <c r="T832" s="282" t="n"/>
      <c r="W832" s="282" t="n"/>
      <c r="X832" s="282" t="n"/>
      <c r="Y832" s="282" t="n"/>
      <c r="Z832" s="282" t="n"/>
      <c r="AA832" s="282" t="n"/>
      <c r="AB832" s="282" t="n"/>
      <c r="AC832" s="529" t="n"/>
      <c r="AE832" s="282" t="n"/>
      <c r="AF832" s="282" t="n"/>
      <c r="AI832" s="282" t="n"/>
      <c r="AJ832" s="282" t="n"/>
      <c r="AM832" s="282" t="n"/>
      <c r="AN832" s="282" t="n"/>
      <c r="AQ832" s="282" t="n"/>
      <c r="AR832" s="282" t="n"/>
    </row>
    <row customHeight="1" ht="15.75" r="833" s="452" spans="1:45">
      <c r="A833" s="44" t="n"/>
      <c r="G833" s="282" t="n"/>
      <c r="H833" s="282" t="n"/>
      <c r="K833" s="282" t="n"/>
      <c r="L833" s="282" t="n"/>
      <c r="O833" s="282" t="n"/>
      <c r="P833" s="282" t="n"/>
      <c r="S833" s="282" t="n"/>
      <c r="T833" s="282" t="n"/>
      <c r="W833" s="282" t="n"/>
      <c r="X833" s="282" t="n"/>
      <c r="Y833" s="282" t="n"/>
      <c r="Z833" s="282" t="n"/>
      <c r="AA833" s="282" t="n"/>
      <c r="AB833" s="282" t="n"/>
      <c r="AC833" s="529" t="n"/>
      <c r="AE833" s="282" t="n"/>
      <c r="AF833" s="282" t="n"/>
      <c r="AI833" s="282" t="n"/>
      <c r="AJ833" s="282" t="n"/>
      <c r="AM833" s="282" t="n"/>
      <c r="AN833" s="282" t="n"/>
      <c r="AQ833" s="282" t="n"/>
      <c r="AR833" s="282" t="n"/>
    </row>
    <row customHeight="1" ht="15.75" r="834" s="452" spans="1:45">
      <c r="A834" s="44" t="n"/>
      <c r="G834" s="282" t="n"/>
      <c r="H834" s="282" t="n"/>
      <c r="K834" s="282" t="n"/>
      <c r="L834" s="282" t="n"/>
      <c r="O834" s="282" t="n"/>
      <c r="P834" s="282" t="n"/>
      <c r="S834" s="282" t="n"/>
      <c r="T834" s="282" t="n"/>
      <c r="W834" s="282" t="n"/>
      <c r="X834" s="282" t="n"/>
      <c r="Y834" s="282" t="n"/>
      <c r="Z834" s="282" t="n"/>
      <c r="AA834" s="282" t="n"/>
      <c r="AB834" s="282" t="n"/>
      <c r="AC834" s="529" t="n"/>
      <c r="AE834" s="282" t="n"/>
      <c r="AF834" s="282" t="n"/>
      <c r="AI834" s="282" t="n"/>
      <c r="AJ834" s="282" t="n"/>
      <c r="AM834" s="282" t="n"/>
      <c r="AN834" s="282" t="n"/>
      <c r="AQ834" s="282" t="n"/>
      <c r="AR834" s="282" t="n"/>
    </row>
    <row customHeight="1" ht="15.75" r="835" s="452" spans="1:45">
      <c r="A835" s="44" t="n"/>
      <c r="G835" s="282" t="n"/>
      <c r="H835" s="282" t="n"/>
      <c r="K835" s="282" t="n"/>
      <c r="L835" s="282" t="n"/>
      <c r="O835" s="282" t="n"/>
      <c r="P835" s="282" t="n"/>
      <c r="S835" s="282" t="n"/>
      <c r="T835" s="282" t="n"/>
      <c r="W835" s="282" t="n"/>
      <c r="X835" s="282" t="n"/>
      <c r="Y835" s="282" t="n"/>
      <c r="Z835" s="282" t="n"/>
      <c r="AA835" s="282" t="n"/>
      <c r="AB835" s="282" t="n"/>
      <c r="AC835" s="529" t="n"/>
      <c r="AE835" s="282" t="n"/>
      <c r="AF835" s="282" t="n"/>
      <c r="AI835" s="282" t="n"/>
      <c r="AJ835" s="282" t="n"/>
      <c r="AM835" s="282" t="n"/>
      <c r="AN835" s="282" t="n"/>
      <c r="AQ835" s="282" t="n"/>
      <c r="AR835" s="282" t="n"/>
    </row>
    <row customHeight="1" ht="15.75" r="836" s="452" spans="1:45">
      <c r="A836" s="44" t="n"/>
      <c r="G836" s="282" t="n"/>
      <c r="H836" s="282" t="n"/>
      <c r="K836" s="282" t="n"/>
      <c r="L836" s="282" t="n"/>
      <c r="O836" s="282" t="n"/>
      <c r="P836" s="282" t="n"/>
      <c r="S836" s="282" t="n"/>
      <c r="T836" s="282" t="n"/>
      <c r="W836" s="282" t="n"/>
      <c r="X836" s="282" t="n"/>
      <c r="Y836" s="282" t="n"/>
      <c r="Z836" s="282" t="n"/>
      <c r="AA836" s="282" t="n"/>
      <c r="AB836" s="282" t="n"/>
      <c r="AC836" s="529" t="n"/>
      <c r="AE836" s="282" t="n"/>
      <c r="AF836" s="282" t="n"/>
      <c r="AI836" s="282" t="n"/>
      <c r="AJ836" s="282" t="n"/>
      <c r="AM836" s="282" t="n"/>
      <c r="AN836" s="282" t="n"/>
      <c r="AQ836" s="282" t="n"/>
      <c r="AR836" s="282" t="n"/>
    </row>
    <row customHeight="1" ht="15.75" r="837" s="452" spans="1:45">
      <c r="A837" s="44" t="n"/>
      <c r="G837" s="282" t="n"/>
      <c r="H837" s="282" t="n"/>
      <c r="K837" s="282" t="n"/>
      <c r="L837" s="282" t="n"/>
      <c r="O837" s="282" t="n"/>
      <c r="P837" s="282" t="n"/>
      <c r="S837" s="282" t="n"/>
      <c r="T837" s="282" t="n"/>
      <c r="W837" s="282" t="n"/>
      <c r="X837" s="282" t="n"/>
      <c r="Y837" s="282" t="n"/>
      <c r="Z837" s="282" t="n"/>
      <c r="AA837" s="282" t="n"/>
      <c r="AB837" s="282" t="n"/>
      <c r="AC837" s="529" t="n"/>
      <c r="AE837" s="282" t="n"/>
      <c r="AF837" s="282" t="n"/>
      <c r="AI837" s="282" t="n"/>
      <c r="AJ837" s="282" t="n"/>
      <c r="AM837" s="282" t="n"/>
      <c r="AN837" s="282" t="n"/>
      <c r="AQ837" s="282" t="n"/>
      <c r="AR837" s="282" t="n"/>
    </row>
    <row customHeight="1" ht="15.75" r="838" s="452" spans="1:45">
      <c r="A838" s="44" t="n"/>
      <c r="G838" s="282" t="n"/>
      <c r="H838" s="282" t="n"/>
      <c r="K838" s="282" t="n"/>
      <c r="L838" s="282" t="n"/>
      <c r="O838" s="282" t="n"/>
      <c r="P838" s="282" t="n"/>
      <c r="S838" s="282" t="n"/>
      <c r="T838" s="282" t="n"/>
      <c r="W838" s="282" t="n"/>
      <c r="X838" s="282" t="n"/>
      <c r="Y838" s="282" t="n"/>
      <c r="Z838" s="282" t="n"/>
      <c r="AA838" s="282" t="n"/>
      <c r="AB838" s="282" t="n"/>
      <c r="AC838" s="529" t="n"/>
      <c r="AE838" s="282" t="n"/>
      <c r="AF838" s="282" t="n"/>
      <c r="AI838" s="282" t="n"/>
      <c r="AJ838" s="282" t="n"/>
      <c r="AM838" s="282" t="n"/>
      <c r="AN838" s="282" t="n"/>
      <c r="AQ838" s="282" t="n"/>
      <c r="AR838" s="282" t="n"/>
    </row>
    <row customHeight="1" ht="15.75" r="839" s="452" spans="1:45">
      <c r="A839" s="44" t="n"/>
      <c r="G839" s="282" t="n"/>
      <c r="H839" s="282" t="n"/>
      <c r="K839" s="282" t="n"/>
      <c r="L839" s="282" t="n"/>
      <c r="O839" s="282" t="n"/>
      <c r="P839" s="282" t="n"/>
      <c r="S839" s="282" t="n"/>
      <c r="T839" s="282" t="n"/>
      <c r="W839" s="282" t="n"/>
      <c r="X839" s="282" t="n"/>
      <c r="Y839" s="282" t="n"/>
      <c r="Z839" s="282" t="n"/>
      <c r="AA839" s="282" t="n"/>
      <c r="AB839" s="282" t="n"/>
      <c r="AC839" s="529" t="n"/>
      <c r="AE839" s="282" t="n"/>
      <c r="AF839" s="282" t="n"/>
      <c r="AI839" s="282" t="n"/>
      <c r="AJ839" s="282" t="n"/>
      <c r="AM839" s="282" t="n"/>
      <c r="AN839" s="282" t="n"/>
      <c r="AQ839" s="282" t="n"/>
      <c r="AR839" s="282" t="n"/>
    </row>
    <row customHeight="1" ht="15.75" r="840" s="452" spans="1:45">
      <c r="A840" s="44" t="n"/>
      <c r="G840" s="282" t="n"/>
      <c r="H840" s="282" t="n"/>
      <c r="K840" s="282" t="n"/>
      <c r="L840" s="282" t="n"/>
      <c r="O840" s="282" t="n"/>
      <c r="P840" s="282" t="n"/>
      <c r="S840" s="282" t="n"/>
      <c r="T840" s="282" t="n"/>
      <c r="W840" s="282" t="n"/>
      <c r="X840" s="282" t="n"/>
      <c r="Y840" s="282" t="n"/>
      <c r="Z840" s="282" t="n"/>
      <c r="AA840" s="282" t="n"/>
      <c r="AB840" s="282" t="n"/>
      <c r="AC840" s="529" t="n"/>
      <c r="AE840" s="282" t="n"/>
      <c r="AF840" s="282" t="n"/>
      <c r="AI840" s="282" t="n"/>
      <c r="AJ840" s="282" t="n"/>
      <c r="AM840" s="282" t="n"/>
      <c r="AN840" s="282" t="n"/>
      <c r="AQ840" s="282" t="n"/>
      <c r="AR840" s="282" t="n"/>
    </row>
    <row customHeight="1" ht="15.75" r="841" s="452" spans="1:45">
      <c r="A841" s="44" t="n"/>
      <c r="G841" s="282" t="n"/>
      <c r="H841" s="282" t="n"/>
      <c r="K841" s="282" t="n"/>
      <c r="L841" s="282" t="n"/>
      <c r="O841" s="282" t="n"/>
      <c r="P841" s="282" t="n"/>
      <c r="S841" s="282" t="n"/>
      <c r="T841" s="282" t="n"/>
      <c r="W841" s="282" t="n"/>
      <c r="X841" s="282" t="n"/>
      <c r="Y841" s="282" t="n"/>
      <c r="Z841" s="282" t="n"/>
      <c r="AA841" s="282" t="n"/>
      <c r="AB841" s="282" t="n"/>
      <c r="AC841" s="529" t="n"/>
      <c r="AE841" s="282" t="n"/>
      <c r="AF841" s="282" t="n"/>
      <c r="AI841" s="282" t="n"/>
      <c r="AJ841" s="282" t="n"/>
      <c r="AM841" s="282" t="n"/>
      <c r="AN841" s="282" t="n"/>
      <c r="AQ841" s="282" t="n"/>
      <c r="AR841" s="282" t="n"/>
    </row>
    <row customHeight="1" ht="15.75" r="842" s="452" spans="1:45">
      <c r="A842" s="44" t="n"/>
      <c r="G842" s="282" t="n"/>
      <c r="H842" s="282" t="n"/>
      <c r="K842" s="282" t="n"/>
      <c r="L842" s="282" t="n"/>
      <c r="O842" s="282" t="n"/>
      <c r="P842" s="282" t="n"/>
      <c r="S842" s="282" t="n"/>
      <c r="T842" s="282" t="n"/>
      <c r="W842" s="282" t="n"/>
      <c r="X842" s="282" t="n"/>
      <c r="Y842" s="282" t="n"/>
      <c r="Z842" s="282" t="n"/>
      <c r="AA842" s="282" t="n"/>
      <c r="AB842" s="282" t="n"/>
      <c r="AC842" s="529" t="n"/>
      <c r="AE842" s="282" t="n"/>
      <c r="AF842" s="282" t="n"/>
      <c r="AI842" s="282" t="n"/>
      <c r="AJ842" s="282" t="n"/>
      <c r="AM842" s="282" t="n"/>
      <c r="AN842" s="282" t="n"/>
      <c r="AQ842" s="282" t="n"/>
      <c r="AR842" s="282" t="n"/>
    </row>
    <row customHeight="1" ht="15.75" r="843" s="452" spans="1:45">
      <c r="A843" s="44" t="n"/>
      <c r="G843" s="282" t="n"/>
      <c r="H843" s="282" t="n"/>
      <c r="K843" s="282" t="n"/>
      <c r="L843" s="282" t="n"/>
      <c r="O843" s="282" t="n"/>
      <c r="P843" s="282" t="n"/>
      <c r="S843" s="282" t="n"/>
      <c r="T843" s="282" t="n"/>
      <c r="W843" s="282" t="n"/>
      <c r="X843" s="282" t="n"/>
      <c r="Y843" s="282" t="n"/>
      <c r="Z843" s="282" t="n"/>
      <c r="AA843" s="282" t="n"/>
      <c r="AB843" s="282" t="n"/>
      <c r="AC843" s="529" t="n"/>
      <c r="AE843" s="282" t="n"/>
      <c r="AF843" s="282" t="n"/>
      <c r="AI843" s="282" t="n"/>
      <c r="AJ843" s="282" t="n"/>
      <c r="AM843" s="282" t="n"/>
      <c r="AN843" s="282" t="n"/>
      <c r="AQ843" s="282" t="n"/>
      <c r="AR843" s="282" t="n"/>
    </row>
    <row customHeight="1" ht="15.75" r="844" s="452" spans="1:45">
      <c r="A844" s="44" t="n"/>
      <c r="G844" s="282" t="n"/>
      <c r="H844" s="282" t="n"/>
      <c r="K844" s="282" t="n"/>
      <c r="L844" s="282" t="n"/>
      <c r="O844" s="282" t="n"/>
      <c r="P844" s="282" t="n"/>
      <c r="S844" s="282" t="n"/>
      <c r="T844" s="282" t="n"/>
      <c r="W844" s="282" t="n"/>
      <c r="X844" s="282" t="n"/>
      <c r="Y844" s="282" t="n"/>
      <c r="Z844" s="282" t="n"/>
      <c r="AA844" s="282" t="n"/>
      <c r="AB844" s="282" t="n"/>
      <c r="AC844" s="529" t="n"/>
      <c r="AE844" s="282" t="n"/>
      <c r="AF844" s="282" t="n"/>
      <c r="AI844" s="282" t="n"/>
      <c r="AJ844" s="282" t="n"/>
      <c r="AM844" s="282" t="n"/>
      <c r="AN844" s="282" t="n"/>
      <c r="AQ844" s="282" t="n"/>
      <c r="AR844" s="282" t="n"/>
    </row>
    <row customHeight="1" ht="15.75" r="845" s="452" spans="1:45">
      <c r="A845" s="44" t="n"/>
      <c r="G845" s="282" t="n"/>
      <c r="H845" s="282" t="n"/>
      <c r="K845" s="282" t="n"/>
      <c r="L845" s="282" t="n"/>
      <c r="O845" s="282" t="n"/>
      <c r="P845" s="282" t="n"/>
      <c r="S845" s="282" t="n"/>
      <c r="T845" s="282" t="n"/>
      <c r="W845" s="282" t="n"/>
      <c r="X845" s="282" t="n"/>
      <c r="Y845" s="282" t="n"/>
      <c r="Z845" s="282" t="n"/>
      <c r="AA845" s="282" t="n"/>
      <c r="AB845" s="282" t="n"/>
      <c r="AC845" s="529" t="n"/>
      <c r="AE845" s="282" t="n"/>
      <c r="AF845" s="282" t="n"/>
      <c r="AI845" s="282" t="n"/>
      <c r="AJ845" s="282" t="n"/>
      <c r="AM845" s="282" t="n"/>
      <c r="AN845" s="282" t="n"/>
      <c r="AQ845" s="282" t="n"/>
      <c r="AR845" s="282" t="n"/>
    </row>
    <row customHeight="1" ht="15.75" r="846" s="452" spans="1:45">
      <c r="A846" s="44" t="n"/>
      <c r="G846" s="282" t="n"/>
      <c r="H846" s="282" t="n"/>
      <c r="K846" s="282" t="n"/>
      <c r="L846" s="282" t="n"/>
      <c r="O846" s="282" t="n"/>
      <c r="P846" s="282" t="n"/>
      <c r="S846" s="282" t="n"/>
      <c r="T846" s="282" t="n"/>
      <c r="W846" s="282" t="n"/>
      <c r="X846" s="282" t="n"/>
      <c r="Y846" s="282" t="n"/>
      <c r="Z846" s="282" t="n"/>
      <c r="AA846" s="282" t="n"/>
      <c r="AB846" s="282" t="n"/>
      <c r="AC846" s="529" t="n"/>
      <c r="AE846" s="282" t="n"/>
      <c r="AF846" s="282" t="n"/>
      <c r="AI846" s="282" t="n"/>
      <c r="AJ846" s="282" t="n"/>
      <c r="AM846" s="282" t="n"/>
      <c r="AN846" s="282" t="n"/>
      <c r="AQ846" s="282" t="n"/>
      <c r="AR846" s="282" t="n"/>
    </row>
    <row customHeight="1" ht="15.75" r="847" s="452" spans="1:45">
      <c r="A847" s="44" t="n"/>
      <c r="G847" s="282" t="n"/>
      <c r="H847" s="282" t="n"/>
      <c r="K847" s="282" t="n"/>
      <c r="L847" s="282" t="n"/>
      <c r="O847" s="282" t="n"/>
      <c r="P847" s="282" t="n"/>
      <c r="S847" s="282" t="n"/>
      <c r="T847" s="282" t="n"/>
      <c r="W847" s="282" t="n"/>
      <c r="X847" s="282" t="n"/>
      <c r="Y847" s="282" t="n"/>
      <c r="Z847" s="282" t="n"/>
      <c r="AA847" s="282" t="n"/>
      <c r="AB847" s="282" t="n"/>
      <c r="AC847" s="529" t="n"/>
      <c r="AE847" s="282" t="n"/>
      <c r="AF847" s="282" t="n"/>
      <c r="AI847" s="282" t="n"/>
      <c r="AJ847" s="282" t="n"/>
      <c r="AM847" s="282" t="n"/>
      <c r="AN847" s="282" t="n"/>
      <c r="AQ847" s="282" t="n"/>
      <c r="AR847" s="282" t="n"/>
    </row>
    <row customHeight="1" ht="15.75" r="848" s="452" spans="1:45">
      <c r="A848" s="44" t="n"/>
      <c r="G848" s="282" t="n"/>
      <c r="H848" s="282" t="n"/>
      <c r="K848" s="282" t="n"/>
      <c r="L848" s="282" t="n"/>
      <c r="O848" s="282" t="n"/>
      <c r="P848" s="282" t="n"/>
      <c r="S848" s="282" t="n"/>
      <c r="T848" s="282" t="n"/>
      <c r="W848" s="282" t="n"/>
      <c r="X848" s="282" t="n"/>
      <c r="Y848" s="282" t="n"/>
      <c r="Z848" s="282" t="n"/>
      <c r="AA848" s="282" t="n"/>
      <c r="AB848" s="282" t="n"/>
      <c r="AC848" s="529" t="n"/>
      <c r="AE848" s="282" t="n"/>
      <c r="AF848" s="282" t="n"/>
      <c r="AI848" s="282" t="n"/>
      <c r="AJ848" s="282" t="n"/>
      <c r="AM848" s="282" t="n"/>
      <c r="AN848" s="282" t="n"/>
      <c r="AQ848" s="282" t="n"/>
      <c r="AR848" s="282" t="n"/>
    </row>
    <row customHeight="1" ht="15.75" r="849" s="452" spans="1:45">
      <c r="A849" s="44" t="n"/>
      <c r="G849" s="282" t="n"/>
      <c r="H849" s="282" t="n"/>
      <c r="K849" s="282" t="n"/>
      <c r="L849" s="282" t="n"/>
      <c r="O849" s="282" t="n"/>
      <c r="P849" s="282" t="n"/>
      <c r="S849" s="282" t="n"/>
      <c r="T849" s="282" t="n"/>
      <c r="W849" s="282" t="n"/>
      <c r="X849" s="282" t="n"/>
      <c r="Y849" s="282" t="n"/>
      <c r="Z849" s="282" t="n"/>
      <c r="AA849" s="282" t="n"/>
      <c r="AB849" s="282" t="n"/>
      <c r="AC849" s="529" t="n"/>
      <c r="AE849" s="282" t="n"/>
      <c r="AF849" s="282" t="n"/>
      <c r="AI849" s="282" t="n"/>
      <c r="AJ849" s="282" t="n"/>
      <c r="AM849" s="282" t="n"/>
      <c r="AN849" s="282" t="n"/>
      <c r="AQ849" s="282" t="n"/>
      <c r="AR849" s="282" t="n"/>
    </row>
    <row customHeight="1" ht="15.75" r="850" s="452" spans="1:45">
      <c r="A850" s="44" t="n"/>
      <c r="G850" s="282" t="n"/>
      <c r="H850" s="282" t="n"/>
      <c r="K850" s="282" t="n"/>
      <c r="L850" s="282" t="n"/>
      <c r="O850" s="282" t="n"/>
      <c r="P850" s="282" t="n"/>
      <c r="S850" s="282" t="n"/>
      <c r="T850" s="282" t="n"/>
      <c r="W850" s="282" t="n"/>
      <c r="X850" s="282" t="n"/>
      <c r="Y850" s="282" t="n"/>
      <c r="Z850" s="282" t="n"/>
      <c r="AA850" s="282" t="n"/>
      <c r="AB850" s="282" t="n"/>
      <c r="AC850" s="529" t="n"/>
      <c r="AE850" s="282" t="n"/>
      <c r="AF850" s="282" t="n"/>
      <c r="AI850" s="282" t="n"/>
      <c r="AJ850" s="282" t="n"/>
      <c r="AM850" s="282" t="n"/>
      <c r="AN850" s="282" t="n"/>
      <c r="AQ850" s="282" t="n"/>
      <c r="AR850" s="282" t="n"/>
    </row>
    <row customHeight="1" ht="15.75" r="851" s="452" spans="1:45">
      <c r="A851" s="44" t="n"/>
      <c r="G851" s="282" t="n"/>
      <c r="H851" s="282" t="n"/>
      <c r="K851" s="282" t="n"/>
      <c r="L851" s="282" t="n"/>
      <c r="O851" s="282" t="n"/>
      <c r="P851" s="282" t="n"/>
      <c r="S851" s="282" t="n"/>
      <c r="T851" s="282" t="n"/>
      <c r="W851" s="282" t="n"/>
      <c r="X851" s="282" t="n"/>
      <c r="Y851" s="282" t="n"/>
      <c r="Z851" s="282" t="n"/>
      <c r="AA851" s="282" t="n"/>
      <c r="AB851" s="282" t="n"/>
      <c r="AC851" s="529" t="n"/>
      <c r="AE851" s="282" t="n"/>
      <c r="AF851" s="282" t="n"/>
      <c r="AI851" s="282" t="n"/>
      <c r="AJ851" s="282" t="n"/>
      <c r="AM851" s="282" t="n"/>
      <c r="AN851" s="282" t="n"/>
      <c r="AQ851" s="282" t="n"/>
      <c r="AR851" s="282" t="n"/>
    </row>
    <row customHeight="1" ht="15.75" r="852" s="452" spans="1:45">
      <c r="A852" s="44" t="n"/>
      <c r="G852" s="282" t="n"/>
      <c r="H852" s="282" t="n"/>
      <c r="K852" s="282" t="n"/>
      <c r="L852" s="282" t="n"/>
      <c r="O852" s="282" t="n"/>
      <c r="P852" s="282" t="n"/>
      <c r="S852" s="282" t="n"/>
      <c r="T852" s="282" t="n"/>
      <c r="W852" s="282" t="n"/>
      <c r="X852" s="282" t="n"/>
      <c r="Y852" s="282" t="n"/>
      <c r="Z852" s="282" t="n"/>
      <c r="AA852" s="282" t="n"/>
      <c r="AB852" s="282" t="n"/>
      <c r="AC852" s="529" t="n"/>
      <c r="AE852" s="282" t="n"/>
      <c r="AF852" s="282" t="n"/>
      <c r="AI852" s="282" t="n"/>
      <c r="AJ852" s="282" t="n"/>
      <c r="AM852" s="282" t="n"/>
      <c r="AN852" s="282" t="n"/>
      <c r="AQ852" s="282" t="n"/>
      <c r="AR852" s="282" t="n"/>
    </row>
    <row customHeight="1" ht="15.75" r="853" s="452" spans="1:45">
      <c r="A853" s="44" t="n"/>
      <c r="G853" s="282" t="n"/>
      <c r="H853" s="282" t="n"/>
      <c r="K853" s="282" t="n"/>
      <c r="L853" s="282" t="n"/>
      <c r="O853" s="282" t="n"/>
      <c r="P853" s="282" t="n"/>
      <c r="S853" s="282" t="n"/>
      <c r="T853" s="282" t="n"/>
      <c r="W853" s="282" t="n"/>
      <c r="X853" s="282" t="n"/>
      <c r="Y853" s="282" t="n"/>
      <c r="Z853" s="282" t="n"/>
      <c r="AA853" s="282" t="n"/>
      <c r="AB853" s="282" t="n"/>
      <c r="AC853" s="529" t="n"/>
      <c r="AE853" s="282" t="n"/>
      <c r="AF853" s="282" t="n"/>
      <c r="AI853" s="282" t="n"/>
      <c r="AJ853" s="282" t="n"/>
      <c r="AM853" s="282" t="n"/>
      <c r="AN853" s="282" t="n"/>
      <c r="AQ853" s="282" t="n"/>
      <c r="AR853" s="282" t="n"/>
    </row>
    <row customHeight="1" ht="15.75" r="854" s="452" spans="1:45">
      <c r="A854" s="44" t="n"/>
      <c r="G854" s="282" t="n"/>
      <c r="H854" s="282" t="n"/>
      <c r="K854" s="282" t="n"/>
      <c r="L854" s="282" t="n"/>
      <c r="O854" s="282" t="n"/>
      <c r="P854" s="282" t="n"/>
      <c r="S854" s="282" t="n"/>
      <c r="T854" s="282" t="n"/>
      <c r="W854" s="282" t="n"/>
      <c r="X854" s="282" t="n"/>
      <c r="Y854" s="282" t="n"/>
      <c r="Z854" s="282" t="n"/>
      <c r="AA854" s="282" t="n"/>
      <c r="AB854" s="282" t="n"/>
      <c r="AC854" s="529" t="n"/>
      <c r="AE854" s="282" t="n"/>
      <c r="AF854" s="282" t="n"/>
      <c r="AI854" s="282" t="n"/>
      <c r="AJ854" s="282" t="n"/>
      <c r="AM854" s="282" t="n"/>
      <c r="AN854" s="282" t="n"/>
      <c r="AQ854" s="282" t="n"/>
      <c r="AR854" s="282" t="n"/>
    </row>
    <row customHeight="1" ht="15.75" r="855" s="452" spans="1:45">
      <c r="A855" s="44" t="n"/>
      <c r="G855" s="282" t="n"/>
      <c r="H855" s="282" t="n"/>
      <c r="K855" s="282" t="n"/>
      <c r="L855" s="282" t="n"/>
      <c r="O855" s="282" t="n"/>
      <c r="P855" s="282" t="n"/>
      <c r="S855" s="282" t="n"/>
      <c r="T855" s="282" t="n"/>
      <c r="W855" s="282" t="n"/>
      <c r="X855" s="282" t="n"/>
      <c r="Y855" s="282" t="n"/>
      <c r="Z855" s="282" t="n"/>
      <c r="AA855" s="282" t="n"/>
      <c r="AB855" s="282" t="n"/>
      <c r="AC855" s="529" t="n"/>
      <c r="AE855" s="282" t="n"/>
      <c r="AF855" s="282" t="n"/>
      <c r="AI855" s="282" t="n"/>
      <c r="AJ855" s="282" t="n"/>
      <c r="AM855" s="282" t="n"/>
      <c r="AN855" s="282" t="n"/>
      <c r="AQ855" s="282" t="n"/>
      <c r="AR855" s="282" t="n"/>
    </row>
    <row customHeight="1" ht="15.75" r="856" s="452" spans="1:45">
      <c r="A856" s="44" t="n"/>
      <c r="G856" s="282" t="n"/>
      <c r="H856" s="282" t="n"/>
      <c r="K856" s="282" t="n"/>
      <c r="L856" s="282" t="n"/>
      <c r="O856" s="282" t="n"/>
      <c r="P856" s="282" t="n"/>
      <c r="S856" s="282" t="n"/>
      <c r="T856" s="282" t="n"/>
      <c r="W856" s="282" t="n"/>
      <c r="X856" s="282" t="n"/>
      <c r="Y856" s="282" t="n"/>
      <c r="Z856" s="282" t="n"/>
      <c r="AA856" s="282" t="n"/>
      <c r="AB856" s="282" t="n"/>
      <c r="AC856" s="529" t="n"/>
      <c r="AE856" s="282" t="n"/>
      <c r="AF856" s="282" t="n"/>
      <c r="AI856" s="282" t="n"/>
      <c r="AJ856" s="282" t="n"/>
      <c r="AM856" s="282" t="n"/>
      <c r="AN856" s="282" t="n"/>
      <c r="AQ856" s="282" t="n"/>
      <c r="AR856" s="282" t="n"/>
    </row>
    <row customHeight="1" ht="15.75" r="857" s="452" spans="1:45">
      <c r="A857" s="44" t="n"/>
      <c r="G857" s="282" t="n"/>
      <c r="H857" s="282" t="n"/>
      <c r="K857" s="282" t="n"/>
      <c r="L857" s="282" t="n"/>
      <c r="O857" s="282" t="n"/>
      <c r="P857" s="282" t="n"/>
      <c r="S857" s="282" t="n"/>
      <c r="T857" s="282" t="n"/>
      <c r="W857" s="282" t="n"/>
      <c r="X857" s="282" t="n"/>
      <c r="Y857" s="282" t="n"/>
      <c r="Z857" s="282" t="n"/>
      <c r="AA857" s="282" t="n"/>
      <c r="AB857" s="282" t="n"/>
      <c r="AC857" s="529" t="n"/>
      <c r="AE857" s="282" t="n"/>
      <c r="AF857" s="282" t="n"/>
      <c r="AI857" s="282" t="n"/>
      <c r="AJ857" s="282" t="n"/>
      <c r="AM857" s="282" t="n"/>
      <c r="AN857" s="282" t="n"/>
      <c r="AQ857" s="282" t="n"/>
      <c r="AR857" s="282" t="n"/>
    </row>
    <row customHeight="1" ht="15.75" r="858" s="452" spans="1:45">
      <c r="A858" s="44" t="n"/>
      <c r="G858" s="282" t="n"/>
      <c r="H858" s="282" t="n"/>
      <c r="K858" s="282" t="n"/>
      <c r="L858" s="282" t="n"/>
      <c r="O858" s="282" t="n"/>
      <c r="P858" s="282" t="n"/>
      <c r="S858" s="282" t="n"/>
      <c r="T858" s="282" t="n"/>
      <c r="W858" s="282" t="n"/>
      <c r="X858" s="282" t="n"/>
      <c r="Y858" s="282" t="n"/>
      <c r="Z858" s="282" t="n"/>
      <c r="AA858" s="282" t="n"/>
      <c r="AB858" s="282" t="n"/>
      <c r="AC858" s="529" t="n"/>
      <c r="AE858" s="282" t="n"/>
      <c r="AF858" s="282" t="n"/>
      <c r="AI858" s="282" t="n"/>
      <c r="AJ858" s="282" t="n"/>
      <c r="AM858" s="282" t="n"/>
      <c r="AN858" s="282" t="n"/>
      <c r="AQ858" s="282" t="n"/>
      <c r="AR858" s="282" t="n"/>
    </row>
    <row customHeight="1" ht="15.75" r="859" s="452" spans="1:45">
      <c r="A859" s="44" t="n"/>
      <c r="G859" s="282" t="n"/>
      <c r="H859" s="282" t="n"/>
      <c r="K859" s="282" t="n"/>
      <c r="L859" s="282" t="n"/>
      <c r="O859" s="282" t="n"/>
      <c r="P859" s="282" t="n"/>
      <c r="S859" s="282" t="n"/>
      <c r="T859" s="282" t="n"/>
      <c r="W859" s="282" t="n"/>
      <c r="X859" s="282" t="n"/>
      <c r="Y859" s="282" t="n"/>
      <c r="Z859" s="282" t="n"/>
      <c r="AA859" s="282" t="n"/>
      <c r="AB859" s="282" t="n"/>
      <c r="AC859" s="529" t="n"/>
      <c r="AE859" s="282" t="n"/>
      <c r="AF859" s="282" t="n"/>
      <c r="AI859" s="282" t="n"/>
      <c r="AJ859" s="282" t="n"/>
      <c r="AM859" s="282" t="n"/>
      <c r="AN859" s="282" t="n"/>
      <c r="AQ859" s="282" t="n"/>
      <c r="AR859" s="282" t="n"/>
    </row>
    <row customHeight="1" ht="15.75" r="860" s="452" spans="1:45">
      <c r="A860" s="44" t="n"/>
      <c r="G860" s="282" t="n"/>
      <c r="H860" s="282" t="n"/>
      <c r="K860" s="282" t="n"/>
      <c r="L860" s="282" t="n"/>
      <c r="O860" s="282" t="n"/>
      <c r="P860" s="282" t="n"/>
      <c r="S860" s="282" t="n"/>
      <c r="T860" s="282" t="n"/>
      <c r="W860" s="282" t="n"/>
      <c r="X860" s="282" t="n"/>
      <c r="Y860" s="282" t="n"/>
      <c r="Z860" s="282" t="n"/>
      <c r="AA860" s="282" t="n"/>
      <c r="AB860" s="282" t="n"/>
      <c r="AC860" s="529" t="n"/>
      <c r="AE860" s="282" t="n"/>
      <c r="AF860" s="282" t="n"/>
      <c r="AI860" s="282" t="n"/>
      <c r="AJ860" s="282" t="n"/>
      <c r="AM860" s="282" t="n"/>
      <c r="AN860" s="282" t="n"/>
      <c r="AQ860" s="282" t="n"/>
      <c r="AR860" s="282" t="n"/>
    </row>
    <row customHeight="1" ht="15.75" r="861" s="452" spans="1:45">
      <c r="A861" s="44" t="n"/>
      <c r="G861" s="282" t="n"/>
      <c r="H861" s="282" t="n"/>
      <c r="K861" s="282" t="n"/>
      <c r="L861" s="282" t="n"/>
      <c r="O861" s="282" t="n"/>
      <c r="P861" s="282" t="n"/>
      <c r="S861" s="282" t="n"/>
      <c r="T861" s="282" t="n"/>
      <c r="W861" s="282" t="n"/>
      <c r="X861" s="282" t="n"/>
      <c r="Y861" s="282" t="n"/>
      <c r="Z861" s="282" t="n"/>
      <c r="AA861" s="282" t="n"/>
      <c r="AB861" s="282" t="n"/>
      <c r="AC861" s="529" t="n"/>
      <c r="AE861" s="282" t="n"/>
      <c r="AF861" s="282" t="n"/>
      <c r="AI861" s="282" t="n"/>
      <c r="AJ861" s="282" t="n"/>
      <c r="AM861" s="282" t="n"/>
      <c r="AN861" s="282" t="n"/>
      <c r="AQ861" s="282" t="n"/>
      <c r="AR861" s="282" t="n"/>
    </row>
    <row customHeight="1" ht="15.75" r="862" s="452" spans="1:45">
      <c r="A862" s="44" t="n"/>
      <c r="G862" s="282" t="n"/>
      <c r="H862" s="282" t="n"/>
      <c r="K862" s="282" t="n"/>
      <c r="L862" s="282" t="n"/>
      <c r="O862" s="282" t="n"/>
      <c r="P862" s="282" t="n"/>
      <c r="S862" s="282" t="n"/>
      <c r="T862" s="282" t="n"/>
      <c r="W862" s="282" t="n"/>
      <c r="X862" s="282" t="n"/>
      <c r="Y862" s="282" t="n"/>
      <c r="Z862" s="282" t="n"/>
      <c r="AA862" s="282" t="n"/>
      <c r="AB862" s="282" t="n"/>
      <c r="AC862" s="529" t="n"/>
      <c r="AE862" s="282" t="n"/>
      <c r="AF862" s="282" t="n"/>
      <c r="AI862" s="282" t="n"/>
      <c r="AJ862" s="282" t="n"/>
      <c r="AM862" s="282" t="n"/>
      <c r="AN862" s="282" t="n"/>
      <c r="AQ862" s="282" t="n"/>
      <c r="AR862" s="282" t="n"/>
    </row>
    <row customHeight="1" ht="15.75" r="863" s="452" spans="1:45">
      <c r="A863" s="44" t="n"/>
      <c r="G863" s="282" t="n"/>
      <c r="H863" s="282" t="n"/>
      <c r="K863" s="282" t="n"/>
      <c r="L863" s="282" t="n"/>
      <c r="O863" s="282" t="n"/>
      <c r="P863" s="282" t="n"/>
      <c r="S863" s="282" t="n"/>
      <c r="T863" s="282" t="n"/>
      <c r="W863" s="282" t="n"/>
      <c r="X863" s="282" t="n"/>
      <c r="Y863" s="282" t="n"/>
      <c r="Z863" s="282" t="n"/>
      <c r="AA863" s="282" t="n"/>
      <c r="AB863" s="282" t="n"/>
      <c r="AC863" s="529" t="n"/>
      <c r="AE863" s="282" t="n"/>
      <c r="AF863" s="282" t="n"/>
      <c r="AI863" s="282" t="n"/>
      <c r="AJ863" s="282" t="n"/>
      <c r="AM863" s="282" t="n"/>
      <c r="AN863" s="282" t="n"/>
      <c r="AQ863" s="282" t="n"/>
      <c r="AR863" s="282" t="n"/>
    </row>
    <row customHeight="1" ht="15.75" r="864" s="452" spans="1:45">
      <c r="A864" s="44" t="n"/>
      <c r="G864" s="282" t="n"/>
      <c r="H864" s="282" t="n"/>
      <c r="K864" s="282" t="n"/>
      <c r="L864" s="282" t="n"/>
      <c r="O864" s="282" t="n"/>
      <c r="P864" s="282" t="n"/>
      <c r="S864" s="282" t="n"/>
      <c r="T864" s="282" t="n"/>
      <c r="W864" s="282" t="n"/>
      <c r="X864" s="282" t="n"/>
      <c r="Y864" s="282" t="n"/>
      <c r="Z864" s="282" t="n"/>
      <c r="AA864" s="282" t="n"/>
      <c r="AB864" s="282" t="n"/>
      <c r="AC864" s="529" t="n"/>
      <c r="AE864" s="282" t="n"/>
      <c r="AF864" s="282" t="n"/>
      <c r="AI864" s="282" t="n"/>
      <c r="AJ864" s="282" t="n"/>
      <c r="AM864" s="282" t="n"/>
      <c r="AN864" s="282" t="n"/>
      <c r="AQ864" s="282" t="n"/>
      <c r="AR864" s="282" t="n"/>
    </row>
    <row customHeight="1" ht="15.75" r="865" s="452" spans="1:45">
      <c r="A865" s="44" t="n"/>
      <c r="G865" s="282" t="n"/>
      <c r="H865" s="282" t="n"/>
      <c r="K865" s="282" t="n"/>
      <c r="L865" s="282" t="n"/>
      <c r="O865" s="282" t="n"/>
      <c r="P865" s="282" t="n"/>
      <c r="S865" s="282" t="n"/>
      <c r="T865" s="282" t="n"/>
      <c r="W865" s="282" t="n"/>
      <c r="X865" s="282" t="n"/>
      <c r="Y865" s="282" t="n"/>
      <c r="Z865" s="282" t="n"/>
      <c r="AA865" s="282" t="n"/>
      <c r="AB865" s="282" t="n"/>
      <c r="AC865" s="529" t="n"/>
      <c r="AE865" s="282" t="n"/>
      <c r="AF865" s="282" t="n"/>
      <c r="AI865" s="282" t="n"/>
      <c r="AJ865" s="282" t="n"/>
      <c r="AM865" s="282" t="n"/>
      <c r="AN865" s="282" t="n"/>
      <c r="AQ865" s="282" t="n"/>
      <c r="AR865" s="282" t="n"/>
    </row>
    <row customHeight="1" ht="15.75" r="866" s="452" spans="1:45">
      <c r="A866" s="44" t="n"/>
      <c r="G866" s="282" t="n"/>
      <c r="H866" s="282" t="n"/>
      <c r="K866" s="282" t="n"/>
      <c r="L866" s="282" t="n"/>
      <c r="O866" s="282" t="n"/>
      <c r="P866" s="282" t="n"/>
      <c r="S866" s="282" t="n"/>
      <c r="T866" s="282" t="n"/>
      <c r="W866" s="282" t="n"/>
      <c r="X866" s="282" t="n"/>
      <c r="Y866" s="282" t="n"/>
      <c r="Z866" s="282" t="n"/>
      <c r="AA866" s="282" t="n"/>
      <c r="AB866" s="282" t="n"/>
      <c r="AC866" s="529" t="n"/>
      <c r="AE866" s="282" t="n"/>
      <c r="AF866" s="282" t="n"/>
      <c r="AI866" s="282" t="n"/>
      <c r="AJ866" s="282" t="n"/>
      <c r="AM866" s="282" t="n"/>
      <c r="AN866" s="282" t="n"/>
      <c r="AQ866" s="282" t="n"/>
      <c r="AR866" s="282" t="n"/>
    </row>
    <row customHeight="1" ht="15.75" r="867" s="452" spans="1:45">
      <c r="A867" s="44" t="n"/>
      <c r="G867" s="282" t="n"/>
      <c r="H867" s="282" t="n"/>
      <c r="K867" s="282" t="n"/>
      <c r="L867" s="282" t="n"/>
      <c r="O867" s="282" t="n"/>
      <c r="P867" s="282" t="n"/>
      <c r="S867" s="282" t="n"/>
      <c r="T867" s="282" t="n"/>
      <c r="W867" s="282" t="n"/>
      <c r="X867" s="282" t="n"/>
      <c r="Y867" s="282" t="n"/>
      <c r="Z867" s="282" t="n"/>
      <c r="AA867" s="282" t="n"/>
      <c r="AB867" s="282" t="n"/>
      <c r="AC867" s="529" t="n"/>
      <c r="AE867" s="282" t="n"/>
      <c r="AF867" s="282" t="n"/>
      <c r="AI867" s="282" t="n"/>
      <c r="AJ867" s="282" t="n"/>
      <c r="AM867" s="282" t="n"/>
      <c r="AN867" s="282" t="n"/>
      <c r="AQ867" s="282" t="n"/>
      <c r="AR867" s="282" t="n"/>
    </row>
    <row customHeight="1" ht="15.75" r="868" s="452" spans="1:45">
      <c r="A868" s="44" t="n"/>
      <c r="G868" s="282" t="n"/>
      <c r="H868" s="282" t="n"/>
      <c r="K868" s="282" t="n"/>
      <c r="L868" s="282" t="n"/>
      <c r="O868" s="282" t="n"/>
      <c r="P868" s="282" t="n"/>
      <c r="S868" s="282" t="n"/>
      <c r="T868" s="282" t="n"/>
      <c r="W868" s="282" t="n"/>
      <c r="X868" s="282" t="n"/>
      <c r="Y868" s="282" t="n"/>
      <c r="Z868" s="282" t="n"/>
      <c r="AA868" s="282" t="n"/>
      <c r="AB868" s="282" t="n"/>
      <c r="AC868" s="529" t="n"/>
      <c r="AE868" s="282" t="n"/>
      <c r="AF868" s="282" t="n"/>
      <c r="AI868" s="282" t="n"/>
      <c r="AJ868" s="282" t="n"/>
      <c r="AM868" s="282" t="n"/>
      <c r="AN868" s="282" t="n"/>
      <c r="AQ868" s="282" t="n"/>
      <c r="AR868" s="282" t="n"/>
    </row>
    <row customHeight="1" ht="15.75" r="869" s="452" spans="1:45">
      <c r="A869" s="44" t="n"/>
      <c r="G869" s="282" t="n"/>
      <c r="H869" s="282" t="n"/>
      <c r="K869" s="282" t="n"/>
      <c r="L869" s="282" t="n"/>
      <c r="O869" s="282" t="n"/>
      <c r="P869" s="282" t="n"/>
      <c r="S869" s="282" t="n"/>
      <c r="T869" s="282" t="n"/>
      <c r="W869" s="282" t="n"/>
      <c r="X869" s="282" t="n"/>
      <c r="Y869" s="282" t="n"/>
      <c r="Z869" s="282" t="n"/>
      <c r="AA869" s="282" t="n"/>
      <c r="AB869" s="282" t="n"/>
      <c r="AC869" s="529" t="n"/>
      <c r="AE869" s="282" t="n"/>
      <c r="AF869" s="282" t="n"/>
      <c r="AI869" s="282" t="n"/>
      <c r="AJ869" s="282" t="n"/>
      <c r="AM869" s="282" t="n"/>
      <c r="AN869" s="282" t="n"/>
      <c r="AQ869" s="282" t="n"/>
      <c r="AR869" s="282" t="n"/>
    </row>
    <row customHeight="1" ht="15.75" r="870" s="452" spans="1:45">
      <c r="A870" s="44" t="n"/>
      <c r="G870" s="282" t="n"/>
      <c r="H870" s="282" t="n"/>
      <c r="K870" s="282" t="n"/>
      <c r="L870" s="282" t="n"/>
      <c r="O870" s="282" t="n"/>
      <c r="P870" s="282" t="n"/>
      <c r="S870" s="282" t="n"/>
      <c r="T870" s="282" t="n"/>
      <c r="W870" s="282" t="n"/>
      <c r="X870" s="282" t="n"/>
      <c r="Y870" s="282" t="n"/>
      <c r="Z870" s="282" t="n"/>
      <c r="AA870" s="282" t="n"/>
      <c r="AB870" s="282" t="n"/>
      <c r="AC870" s="529" t="n"/>
      <c r="AE870" s="282" t="n"/>
      <c r="AF870" s="282" t="n"/>
      <c r="AI870" s="282" t="n"/>
      <c r="AJ870" s="282" t="n"/>
      <c r="AM870" s="282" t="n"/>
      <c r="AN870" s="282" t="n"/>
      <c r="AQ870" s="282" t="n"/>
      <c r="AR870" s="282" t="n"/>
    </row>
    <row customHeight="1" ht="15.75" r="871" s="452" spans="1:45">
      <c r="A871" s="44" t="n"/>
      <c r="G871" s="282" t="n"/>
      <c r="H871" s="282" t="n"/>
      <c r="K871" s="282" t="n"/>
      <c r="L871" s="282" t="n"/>
      <c r="O871" s="282" t="n"/>
      <c r="P871" s="282" t="n"/>
      <c r="S871" s="282" t="n"/>
      <c r="T871" s="282" t="n"/>
      <c r="W871" s="282" t="n"/>
      <c r="X871" s="282" t="n"/>
      <c r="Y871" s="282" t="n"/>
      <c r="Z871" s="282" t="n"/>
      <c r="AA871" s="282" t="n"/>
      <c r="AB871" s="282" t="n"/>
      <c r="AC871" s="529" t="n"/>
      <c r="AE871" s="282" t="n"/>
      <c r="AF871" s="282" t="n"/>
      <c r="AI871" s="282" t="n"/>
      <c r="AJ871" s="282" t="n"/>
      <c r="AM871" s="282" t="n"/>
      <c r="AN871" s="282" t="n"/>
      <c r="AQ871" s="282" t="n"/>
      <c r="AR871" s="282" t="n"/>
    </row>
    <row customHeight="1" ht="15.75" r="872" s="452" spans="1:45">
      <c r="A872" s="44" t="n"/>
      <c r="G872" s="282" t="n"/>
      <c r="H872" s="282" t="n"/>
      <c r="K872" s="282" t="n"/>
      <c r="L872" s="282" t="n"/>
      <c r="O872" s="282" t="n"/>
      <c r="P872" s="282" t="n"/>
      <c r="S872" s="282" t="n"/>
      <c r="T872" s="282" t="n"/>
      <c r="W872" s="282" t="n"/>
      <c r="X872" s="282" t="n"/>
      <c r="Y872" s="282" t="n"/>
      <c r="Z872" s="282" t="n"/>
      <c r="AA872" s="282" t="n"/>
      <c r="AB872" s="282" t="n"/>
      <c r="AC872" s="529" t="n"/>
      <c r="AE872" s="282" t="n"/>
      <c r="AF872" s="282" t="n"/>
      <c r="AI872" s="282" t="n"/>
      <c r="AJ872" s="282" t="n"/>
      <c r="AM872" s="282" t="n"/>
      <c r="AN872" s="282" t="n"/>
      <c r="AQ872" s="282" t="n"/>
      <c r="AR872" s="282" t="n"/>
    </row>
    <row customHeight="1" ht="15.75" r="873" s="452" spans="1:45">
      <c r="A873" s="44" t="n"/>
      <c r="G873" s="282" t="n"/>
      <c r="H873" s="282" t="n"/>
      <c r="K873" s="282" t="n"/>
      <c r="L873" s="282" t="n"/>
      <c r="O873" s="282" t="n"/>
      <c r="P873" s="282" t="n"/>
      <c r="S873" s="282" t="n"/>
      <c r="T873" s="282" t="n"/>
      <c r="W873" s="282" t="n"/>
      <c r="X873" s="282" t="n"/>
      <c r="Y873" s="282" t="n"/>
      <c r="Z873" s="282" t="n"/>
      <c r="AA873" s="282" t="n"/>
      <c r="AB873" s="282" t="n"/>
      <c r="AC873" s="529" t="n"/>
      <c r="AE873" s="282" t="n"/>
      <c r="AF873" s="282" t="n"/>
      <c r="AI873" s="282" t="n"/>
      <c r="AJ873" s="282" t="n"/>
      <c r="AM873" s="282" t="n"/>
      <c r="AN873" s="282" t="n"/>
      <c r="AQ873" s="282" t="n"/>
      <c r="AR873" s="282" t="n"/>
    </row>
    <row customHeight="1" ht="15.75" r="874" s="452" spans="1:45">
      <c r="A874" s="44" t="n"/>
      <c r="G874" s="282" t="n"/>
      <c r="H874" s="282" t="n"/>
      <c r="K874" s="282" t="n"/>
      <c r="L874" s="282" t="n"/>
      <c r="O874" s="282" t="n"/>
      <c r="P874" s="282" t="n"/>
      <c r="S874" s="282" t="n"/>
      <c r="T874" s="282" t="n"/>
      <c r="W874" s="282" t="n"/>
      <c r="X874" s="282" t="n"/>
      <c r="Y874" s="282" t="n"/>
      <c r="Z874" s="282" t="n"/>
      <c r="AA874" s="282" t="n"/>
      <c r="AB874" s="282" t="n"/>
      <c r="AC874" s="529" t="n"/>
      <c r="AE874" s="282" t="n"/>
      <c r="AF874" s="282" t="n"/>
      <c r="AI874" s="282" t="n"/>
      <c r="AJ874" s="282" t="n"/>
      <c r="AM874" s="282" t="n"/>
      <c r="AN874" s="282" t="n"/>
      <c r="AQ874" s="282" t="n"/>
      <c r="AR874" s="282" t="n"/>
    </row>
    <row customHeight="1" ht="15.75" r="875" s="452" spans="1:45">
      <c r="A875" s="44" t="n"/>
      <c r="G875" s="282" t="n"/>
      <c r="H875" s="282" t="n"/>
      <c r="K875" s="282" t="n"/>
      <c r="L875" s="282" t="n"/>
      <c r="O875" s="282" t="n"/>
      <c r="P875" s="282" t="n"/>
      <c r="S875" s="282" t="n"/>
      <c r="T875" s="282" t="n"/>
      <c r="W875" s="282" t="n"/>
      <c r="X875" s="282" t="n"/>
      <c r="Y875" s="282" t="n"/>
      <c r="Z875" s="282" t="n"/>
      <c r="AA875" s="282" t="n"/>
      <c r="AB875" s="282" t="n"/>
      <c r="AC875" s="529" t="n"/>
      <c r="AE875" s="282" t="n"/>
      <c r="AF875" s="282" t="n"/>
      <c r="AI875" s="282" t="n"/>
      <c r="AJ875" s="282" t="n"/>
      <c r="AM875" s="282" t="n"/>
      <c r="AN875" s="282" t="n"/>
      <c r="AQ875" s="282" t="n"/>
      <c r="AR875" s="282" t="n"/>
    </row>
    <row customHeight="1" ht="15.75" r="876" s="452" spans="1:45">
      <c r="A876" s="44" t="n"/>
      <c r="G876" s="282" t="n"/>
      <c r="H876" s="282" t="n"/>
      <c r="K876" s="282" t="n"/>
      <c r="L876" s="282" t="n"/>
      <c r="O876" s="282" t="n"/>
      <c r="P876" s="282" t="n"/>
      <c r="S876" s="282" t="n"/>
      <c r="T876" s="282" t="n"/>
      <c r="W876" s="282" t="n"/>
      <c r="X876" s="282" t="n"/>
      <c r="Y876" s="282" t="n"/>
      <c r="Z876" s="282" t="n"/>
      <c r="AA876" s="282" t="n"/>
      <c r="AB876" s="282" t="n"/>
      <c r="AC876" s="529" t="n"/>
      <c r="AE876" s="282" t="n"/>
      <c r="AF876" s="282" t="n"/>
      <c r="AI876" s="282" t="n"/>
      <c r="AJ876" s="282" t="n"/>
      <c r="AM876" s="282" t="n"/>
      <c r="AN876" s="282" t="n"/>
      <c r="AQ876" s="282" t="n"/>
      <c r="AR876" s="282" t="n"/>
    </row>
    <row customHeight="1" ht="15.75" r="877" s="452" spans="1:45">
      <c r="A877" s="44" t="n"/>
      <c r="G877" s="282" t="n"/>
      <c r="H877" s="282" t="n"/>
      <c r="K877" s="282" t="n"/>
      <c r="L877" s="282" t="n"/>
      <c r="O877" s="282" t="n"/>
      <c r="P877" s="282" t="n"/>
      <c r="S877" s="282" t="n"/>
      <c r="T877" s="282" t="n"/>
      <c r="W877" s="282" t="n"/>
      <c r="X877" s="282" t="n"/>
      <c r="Y877" s="282" t="n"/>
      <c r="Z877" s="282" t="n"/>
      <c r="AA877" s="282" t="n"/>
      <c r="AB877" s="282" t="n"/>
      <c r="AC877" s="529" t="n"/>
      <c r="AE877" s="282" t="n"/>
      <c r="AF877" s="282" t="n"/>
      <c r="AI877" s="282" t="n"/>
      <c r="AJ877" s="282" t="n"/>
      <c r="AM877" s="282" t="n"/>
      <c r="AN877" s="282" t="n"/>
      <c r="AQ877" s="282" t="n"/>
      <c r="AR877" s="282" t="n"/>
    </row>
    <row customHeight="1" ht="15.75" r="878" s="452" spans="1:45">
      <c r="A878" s="44" t="n"/>
      <c r="G878" s="282" t="n"/>
      <c r="H878" s="282" t="n"/>
      <c r="K878" s="282" t="n"/>
      <c r="L878" s="282" t="n"/>
      <c r="O878" s="282" t="n"/>
      <c r="P878" s="282" t="n"/>
      <c r="S878" s="282" t="n"/>
      <c r="T878" s="282" t="n"/>
      <c r="W878" s="282" t="n"/>
      <c r="X878" s="282" t="n"/>
      <c r="Y878" s="282" t="n"/>
      <c r="Z878" s="282" t="n"/>
      <c r="AA878" s="282" t="n"/>
      <c r="AB878" s="282" t="n"/>
      <c r="AC878" s="529" t="n"/>
      <c r="AE878" s="282" t="n"/>
      <c r="AF878" s="282" t="n"/>
      <c r="AI878" s="282" t="n"/>
      <c r="AJ878" s="282" t="n"/>
      <c r="AM878" s="282" t="n"/>
      <c r="AN878" s="282" t="n"/>
      <c r="AQ878" s="282" t="n"/>
      <c r="AR878" s="282" t="n"/>
    </row>
    <row customHeight="1" ht="15.75" r="879" s="452" spans="1:45">
      <c r="A879" s="44" t="n"/>
      <c r="G879" s="282" t="n"/>
      <c r="H879" s="282" t="n"/>
      <c r="K879" s="282" t="n"/>
      <c r="L879" s="282" t="n"/>
      <c r="O879" s="282" t="n"/>
      <c r="P879" s="282" t="n"/>
      <c r="S879" s="282" t="n"/>
      <c r="T879" s="282" t="n"/>
      <c r="W879" s="282" t="n"/>
      <c r="X879" s="282" t="n"/>
      <c r="Y879" s="282" t="n"/>
      <c r="Z879" s="282" t="n"/>
      <c r="AA879" s="282" t="n"/>
      <c r="AB879" s="282" t="n"/>
      <c r="AC879" s="529" t="n"/>
      <c r="AE879" s="282" t="n"/>
      <c r="AF879" s="282" t="n"/>
      <c r="AI879" s="282" t="n"/>
      <c r="AJ879" s="282" t="n"/>
      <c r="AM879" s="282" t="n"/>
      <c r="AN879" s="282" t="n"/>
      <c r="AQ879" s="282" t="n"/>
      <c r="AR879" s="282" t="n"/>
    </row>
    <row customHeight="1" ht="15.75" r="880" s="452" spans="1:45">
      <c r="A880" s="44" t="n"/>
      <c r="G880" s="282" t="n"/>
      <c r="H880" s="282" t="n"/>
      <c r="K880" s="282" t="n"/>
      <c r="L880" s="282" t="n"/>
      <c r="O880" s="282" t="n"/>
      <c r="P880" s="282" t="n"/>
      <c r="S880" s="282" t="n"/>
      <c r="T880" s="282" t="n"/>
      <c r="W880" s="282" t="n"/>
      <c r="X880" s="282" t="n"/>
      <c r="Y880" s="282" t="n"/>
      <c r="Z880" s="282" t="n"/>
      <c r="AA880" s="282" t="n"/>
      <c r="AB880" s="282" t="n"/>
      <c r="AC880" s="529" t="n"/>
      <c r="AE880" s="282" t="n"/>
      <c r="AF880" s="282" t="n"/>
      <c r="AI880" s="282" t="n"/>
      <c r="AJ880" s="282" t="n"/>
      <c r="AM880" s="282" t="n"/>
      <c r="AN880" s="282" t="n"/>
      <c r="AQ880" s="282" t="n"/>
      <c r="AR880" s="282" t="n"/>
    </row>
    <row customHeight="1" ht="15.75" r="881" s="452" spans="1:45">
      <c r="A881" s="44" t="n"/>
      <c r="G881" s="282" t="n"/>
      <c r="H881" s="282" t="n"/>
      <c r="K881" s="282" t="n"/>
      <c r="L881" s="282" t="n"/>
      <c r="O881" s="282" t="n"/>
      <c r="P881" s="282" t="n"/>
      <c r="S881" s="282" t="n"/>
      <c r="T881" s="282" t="n"/>
      <c r="W881" s="282" t="n"/>
      <c r="X881" s="282" t="n"/>
      <c r="Y881" s="282" t="n"/>
      <c r="Z881" s="282" t="n"/>
      <c r="AA881" s="282" t="n"/>
      <c r="AB881" s="282" t="n"/>
      <c r="AC881" s="529" t="n"/>
      <c r="AE881" s="282" t="n"/>
      <c r="AF881" s="282" t="n"/>
      <c r="AI881" s="282" t="n"/>
      <c r="AJ881" s="282" t="n"/>
      <c r="AM881" s="282" t="n"/>
      <c r="AN881" s="282" t="n"/>
      <c r="AQ881" s="282" t="n"/>
      <c r="AR881" s="282" t="n"/>
    </row>
    <row customHeight="1" ht="15.75" r="882" s="452" spans="1:45">
      <c r="A882" s="44" t="n"/>
      <c r="G882" s="282" t="n"/>
      <c r="H882" s="282" t="n"/>
      <c r="K882" s="282" t="n"/>
      <c r="L882" s="282" t="n"/>
      <c r="O882" s="282" t="n"/>
      <c r="P882" s="282" t="n"/>
      <c r="S882" s="282" t="n"/>
      <c r="T882" s="282" t="n"/>
      <c r="W882" s="282" t="n"/>
      <c r="X882" s="282" t="n"/>
      <c r="Y882" s="282" t="n"/>
      <c r="Z882" s="282" t="n"/>
      <c r="AA882" s="282" t="n"/>
      <c r="AB882" s="282" t="n"/>
      <c r="AC882" s="529" t="n"/>
      <c r="AE882" s="282" t="n"/>
      <c r="AF882" s="282" t="n"/>
      <c r="AI882" s="282" t="n"/>
      <c r="AJ882" s="282" t="n"/>
      <c r="AM882" s="282" t="n"/>
      <c r="AN882" s="282" t="n"/>
      <c r="AQ882" s="282" t="n"/>
      <c r="AR882" s="282" t="n"/>
    </row>
    <row customHeight="1" ht="15.75" r="883" s="452" spans="1:45">
      <c r="A883" s="44" t="n"/>
      <c r="G883" s="282" t="n"/>
      <c r="H883" s="282" t="n"/>
      <c r="K883" s="282" t="n"/>
      <c r="L883" s="282" t="n"/>
      <c r="O883" s="282" t="n"/>
      <c r="P883" s="282" t="n"/>
      <c r="S883" s="282" t="n"/>
      <c r="T883" s="282" t="n"/>
      <c r="W883" s="282" t="n"/>
      <c r="X883" s="282" t="n"/>
      <c r="Y883" s="282" t="n"/>
      <c r="Z883" s="282" t="n"/>
      <c r="AA883" s="282" t="n"/>
      <c r="AB883" s="282" t="n"/>
      <c r="AC883" s="529" t="n"/>
      <c r="AE883" s="282" t="n"/>
      <c r="AF883" s="282" t="n"/>
      <c r="AI883" s="282" t="n"/>
      <c r="AJ883" s="282" t="n"/>
      <c r="AM883" s="282" t="n"/>
      <c r="AN883" s="282" t="n"/>
      <c r="AQ883" s="282" t="n"/>
      <c r="AR883" s="282" t="n"/>
    </row>
    <row customHeight="1" ht="15.75" r="884" s="452" spans="1:45">
      <c r="A884" s="44" t="n"/>
      <c r="G884" s="282" t="n"/>
      <c r="H884" s="282" t="n"/>
      <c r="K884" s="282" t="n"/>
      <c r="L884" s="282" t="n"/>
      <c r="O884" s="282" t="n"/>
      <c r="P884" s="282" t="n"/>
      <c r="S884" s="282" t="n"/>
      <c r="T884" s="282" t="n"/>
      <c r="W884" s="282" t="n"/>
      <c r="X884" s="282" t="n"/>
      <c r="Y884" s="282" t="n"/>
      <c r="Z884" s="282" t="n"/>
      <c r="AA884" s="282" t="n"/>
      <c r="AB884" s="282" t="n"/>
      <c r="AC884" s="529" t="n"/>
      <c r="AE884" s="282" t="n"/>
      <c r="AF884" s="282" t="n"/>
      <c r="AI884" s="282" t="n"/>
      <c r="AJ884" s="282" t="n"/>
      <c r="AM884" s="282" t="n"/>
      <c r="AN884" s="282" t="n"/>
      <c r="AQ884" s="282" t="n"/>
      <c r="AR884" s="282" t="n"/>
    </row>
    <row customHeight="1" ht="15.75" r="885" s="452" spans="1:45">
      <c r="A885" s="44" t="n"/>
      <c r="G885" s="282" t="n"/>
      <c r="H885" s="282" t="n"/>
      <c r="K885" s="282" t="n"/>
      <c r="L885" s="282" t="n"/>
      <c r="O885" s="282" t="n"/>
      <c r="P885" s="282" t="n"/>
      <c r="S885" s="282" t="n"/>
      <c r="T885" s="282" t="n"/>
      <c r="W885" s="282" t="n"/>
      <c r="X885" s="282" t="n"/>
      <c r="Y885" s="282" t="n"/>
      <c r="Z885" s="282" t="n"/>
      <c r="AA885" s="282" t="n"/>
      <c r="AB885" s="282" t="n"/>
      <c r="AC885" s="529" t="n"/>
      <c r="AE885" s="282" t="n"/>
      <c r="AF885" s="282" t="n"/>
      <c r="AI885" s="282" t="n"/>
      <c r="AJ885" s="282" t="n"/>
      <c r="AM885" s="282" t="n"/>
      <c r="AN885" s="282" t="n"/>
      <c r="AQ885" s="282" t="n"/>
      <c r="AR885" s="282" t="n"/>
    </row>
    <row customHeight="1" ht="15.75" r="886" s="452" spans="1:45">
      <c r="A886" s="44" t="n"/>
      <c r="G886" s="282" t="n"/>
      <c r="H886" s="282" t="n"/>
      <c r="K886" s="282" t="n"/>
      <c r="L886" s="282" t="n"/>
      <c r="O886" s="282" t="n"/>
      <c r="P886" s="282" t="n"/>
      <c r="S886" s="282" t="n"/>
      <c r="T886" s="282" t="n"/>
      <c r="W886" s="282" t="n"/>
      <c r="X886" s="282" t="n"/>
      <c r="Y886" s="282" t="n"/>
      <c r="Z886" s="282" t="n"/>
      <c r="AA886" s="282" t="n"/>
      <c r="AB886" s="282" t="n"/>
      <c r="AC886" s="529" t="n"/>
      <c r="AE886" s="282" t="n"/>
      <c r="AF886" s="282" t="n"/>
      <c r="AI886" s="282" t="n"/>
      <c r="AJ886" s="282" t="n"/>
      <c r="AM886" s="282" t="n"/>
      <c r="AN886" s="282" t="n"/>
      <c r="AQ886" s="282" t="n"/>
      <c r="AR886" s="282" t="n"/>
    </row>
    <row customHeight="1" ht="15.75" r="887" s="452" spans="1:45">
      <c r="A887" s="44" t="n"/>
      <c r="G887" s="282" t="n"/>
      <c r="H887" s="282" t="n"/>
      <c r="K887" s="282" t="n"/>
      <c r="L887" s="282" t="n"/>
      <c r="O887" s="282" t="n"/>
      <c r="P887" s="282" t="n"/>
      <c r="S887" s="282" t="n"/>
      <c r="T887" s="282" t="n"/>
      <c r="W887" s="282" t="n"/>
      <c r="X887" s="282" t="n"/>
      <c r="Y887" s="282" t="n"/>
      <c r="Z887" s="282" t="n"/>
      <c r="AA887" s="282" t="n"/>
      <c r="AB887" s="282" t="n"/>
      <c r="AC887" s="529" t="n"/>
      <c r="AE887" s="282" t="n"/>
      <c r="AF887" s="282" t="n"/>
      <c r="AI887" s="282" t="n"/>
      <c r="AJ887" s="282" t="n"/>
      <c r="AM887" s="282" t="n"/>
      <c r="AN887" s="282" t="n"/>
      <c r="AQ887" s="282" t="n"/>
      <c r="AR887" s="282" t="n"/>
    </row>
    <row customHeight="1" ht="15.75" r="888" s="452" spans="1:45">
      <c r="A888" s="44" t="n"/>
      <c r="G888" s="282" t="n"/>
      <c r="H888" s="282" t="n"/>
      <c r="K888" s="282" t="n"/>
      <c r="L888" s="282" t="n"/>
      <c r="O888" s="282" t="n"/>
      <c r="P888" s="282" t="n"/>
      <c r="S888" s="282" t="n"/>
      <c r="T888" s="282" t="n"/>
      <c r="W888" s="282" t="n"/>
      <c r="X888" s="282" t="n"/>
      <c r="Y888" s="282" t="n"/>
      <c r="Z888" s="282" t="n"/>
      <c r="AA888" s="282" t="n"/>
      <c r="AB888" s="282" t="n"/>
      <c r="AC888" s="529" t="n"/>
      <c r="AE888" s="282" t="n"/>
      <c r="AF888" s="282" t="n"/>
      <c r="AI888" s="282" t="n"/>
      <c r="AJ888" s="282" t="n"/>
      <c r="AM888" s="282" t="n"/>
      <c r="AN888" s="282" t="n"/>
      <c r="AQ888" s="282" t="n"/>
      <c r="AR888" s="282" t="n"/>
    </row>
    <row customHeight="1" ht="15.75" r="889" s="452" spans="1:45">
      <c r="A889" s="44" t="n"/>
      <c r="G889" s="282" t="n"/>
      <c r="H889" s="282" t="n"/>
      <c r="K889" s="282" t="n"/>
      <c r="L889" s="282" t="n"/>
      <c r="O889" s="282" t="n"/>
      <c r="P889" s="282" t="n"/>
      <c r="S889" s="282" t="n"/>
      <c r="T889" s="282" t="n"/>
      <c r="W889" s="282" t="n"/>
      <c r="X889" s="282" t="n"/>
      <c r="Y889" s="282" t="n"/>
      <c r="Z889" s="282" t="n"/>
      <c r="AA889" s="282" t="n"/>
      <c r="AB889" s="282" t="n"/>
      <c r="AC889" s="529" t="n"/>
      <c r="AE889" s="282" t="n"/>
      <c r="AF889" s="282" t="n"/>
      <c r="AI889" s="282" t="n"/>
      <c r="AJ889" s="282" t="n"/>
      <c r="AM889" s="282" t="n"/>
      <c r="AN889" s="282" t="n"/>
      <c r="AQ889" s="282" t="n"/>
      <c r="AR889" s="282" t="n"/>
    </row>
    <row customHeight="1" ht="15.75" r="890" s="452" spans="1:45">
      <c r="A890" s="44" t="n"/>
      <c r="G890" s="282" t="n"/>
      <c r="H890" s="282" t="n"/>
      <c r="K890" s="282" t="n"/>
      <c r="L890" s="282" t="n"/>
      <c r="O890" s="282" t="n"/>
      <c r="P890" s="282" t="n"/>
      <c r="S890" s="282" t="n"/>
      <c r="T890" s="282" t="n"/>
      <c r="W890" s="282" t="n"/>
      <c r="X890" s="282" t="n"/>
      <c r="Y890" s="282" t="n"/>
      <c r="Z890" s="282" t="n"/>
      <c r="AA890" s="282" t="n"/>
      <c r="AB890" s="282" t="n"/>
      <c r="AC890" s="529" t="n"/>
      <c r="AE890" s="282" t="n"/>
      <c r="AF890" s="282" t="n"/>
      <c r="AI890" s="282" t="n"/>
      <c r="AJ890" s="282" t="n"/>
      <c r="AM890" s="282" t="n"/>
      <c r="AN890" s="282" t="n"/>
      <c r="AQ890" s="282" t="n"/>
      <c r="AR890" s="282" t="n"/>
    </row>
    <row customHeight="1" ht="15.75" r="891" s="452" spans="1:45">
      <c r="A891" s="44" t="n"/>
      <c r="G891" s="282" t="n"/>
      <c r="H891" s="282" t="n"/>
      <c r="K891" s="282" t="n"/>
      <c r="L891" s="282" t="n"/>
      <c r="O891" s="282" t="n"/>
      <c r="P891" s="282" t="n"/>
      <c r="S891" s="282" t="n"/>
      <c r="T891" s="282" t="n"/>
      <c r="W891" s="282" t="n"/>
      <c r="X891" s="282" t="n"/>
      <c r="Y891" s="282" t="n"/>
      <c r="Z891" s="282" t="n"/>
      <c r="AA891" s="282" t="n"/>
      <c r="AB891" s="282" t="n"/>
      <c r="AC891" s="529" t="n"/>
      <c r="AE891" s="282" t="n"/>
      <c r="AF891" s="282" t="n"/>
      <c r="AI891" s="282" t="n"/>
      <c r="AJ891" s="282" t="n"/>
      <c r="AM891" s="282" t="n"/>
      <c r="AN891" s="282" t="n"/>
      <c r="AQ891" s="282" t="n"/>
      <c r="AR891" s="282" t="n"/>
    </row>
    <row customHeight="1" ht="15.75" r="892" s="452" spans="1:45">
      <c r="A892" s="44" t="n"/>
      <c r="G892" s="282" t="n"/>
      <c r="H892" s="282" t="n"/>
      <c r="K892" s="282" t="n"/>
      <c r="L892" s="282" t="n"/>
      <c r="O892" s="282" t="n"/>
      <c r="P892" s="282" t="n"/>
      <c r="S892" s="282" t="n"/>
      <c r="T892" s="282" t="n"/>
      <c r="W892" s="282" t="n"/>
      <c r="X892" s="282" t="n"/>
      <c r="Y892" s="282" t="n"/>
      <c r="Z892" s="282" t="n"/>
      <c r="AA892" s="282" t="n"/>
      <c r="AB892" s="282" t="n"/>
      <c r="AC892" s="529" t="n"/>
      <c r="AE892" s="282" t="n"/>
      <c r="AF892" s="282" t="n"/>
      <c r="AI892" s="282" t="n"/>
      <c r="AJ892" s="282" t="n"/>
      <c r="AM892" s="282" t="n"/>
      <c r="AN892" s="282" t="n"/>
      <c r="AQ892" s="282" t="n"/>
      <c r="AR892" s="282" t="n"/>
    </row>
    <row customHeight="1" ht="15.75" r="893" s="452" spans="1:45">
      <c r="A893" s="44" t="n"/>
      <c r="G893" s="282" t="n"/>
      <c r="H893" s="282" t="n"/>
      <c r="K893" s="282" t="n"/>
      <c r="L893" s="282" t="n"/>
      <c r="O893" s="282" t="n"/>
      <c r="P893" s="282" t="n"/>
      <c r="S893" s="282" t="n"/>
      <c r="T893" s="282" t="n"/>
      <c r="W893" s="282" t="n"/>
      <c r="X893" s="282" t="n"/>
      <c r="Y893" s="282" t="n"/>
      <c r="Z893" s="282" t="n"/>
      <c r="AA893" s="282" t="n"/>
      <c r="AB893" s="282" t="n"/>
      <c r="AC893" s="529" t="n"/>
      <c r="AE893" s="282" t="n"/>
      <c r="AF893" s="282" t="n"/>
      <c r="AI893" s="282" t="n"/>
      <c r="AJ893" s="282" t="n"/>
      <c r="AM893" s="282" t="n"/>
      <c r="AN893" s="282" t="n"/>
      <c r="AQ893" s="282" t="n"/>
      <c r="AR893" s="282" t="n"/>
    </row>
    <row customHeight="1" ht="15.75" r="894" s="452" spans="1:45">
      <c r="A894" s="44" t="n"/>
      <c r="G894" s="282" t="n"/>
      <c r="H894" s="282" t="n"/>
      <c r="K894" s="282" t="n"/>
      <c r="L894" s="282" t="n"/>
      <c r="O894" s="282" t="n"/>
      <c r="P894" s="282" t="n"/>
      <c r="S894" s="282" t="n"/>
      <c r="T894" s="282" t="n"/>
      <c r="W894" s="282" t="n"/>
      <c r="X894" s="282" t="n"/>
      <c r="Y894" s="282" t="n"/>
      <c r="Z894" s="282" t="n"/>
      <c r="AA894" s="282" t="n"/>
      <c r="AB894" s="282" t="n"/>
      <c r="AC894" s="529" t="n"/>
      <c r="AE894" s="282" t="n"/>
      <c r="AF894" s="282" t="n"/>
      <c r="AI894" s="282" t="n"/>
      <c r="AJ894" s="282" t="n"/>
      <c r="AM894" s="282" t="n"/>
      <c r="AN894" s="282" t="n"/>
      <c r="AQ894" s="282" t="n"/>
      <c r="AR894" s="282" t="n"/>
    </row>
    <row customHeight="1" ht="15.75" r="895" s="452" spans="1:45">
      <c r="A895" s="44" t="n"/>
      <c r="G895" s="282" t="n"/>
      <c r="H895" s="282" t="n"/>
      <c r="K895" s="282" t="n"/>
      <c r="L895" s="282" t="n"/>
      <c r="O895" s="282" t="n"/>
      <c r="P895" s="282" t="n"/>
      <c r="S895" s="282" t="n"/>
      <c r="T895" s="282" t="n"/>
      <c r="W895" s="282" t="n"/>
      <c r="X895" s="282" t="n"/>
      <c r="Y895" s="282" t="n"/>
      <c r="Z895" s="282" t="n"/>
      <c r="AA895" s="282" t="n"/>
      <c r="AB895" s="282" t="n"/>
      <c r="AC895" s="529" t="n"/>
      <c r="AE895" s="282" t="n"/>
      <c r="AF895" s="282" t="n"/>
      <c r="AI895" s="282" t="n"/>
      <c r="AJ895" s="282" t="n"/>
      <c r="AM895" s="282" t="n"/>
      <c r="AN895" s="282" t="n"/>
      <c r="AQ895" s="282" t="n"/>
      <c r="AR895" s="282" t="n"/>
    </row>
    <row customHeight="1" ht="15.75" r="896" s="452" spans="1:45">
      <c r="A896" s="44" t="n"/>
      <c r="G896" s="282" t="n"/>
      <c r="H896" s="282" t="n"/>
      <c r="K896" s="282" t="n"/>
      <c r="L896" s="282" t="n"/>
      <c r="O896" s="282" t="n"/>
      <c r="P896" s="282" t="n"/>
      <c r="S896" s="282" t="n"/>
      <c r="T896" s="282" t="n"/>
      <c r="W896" s="282" t="n"/>
      <c r="X896" s="282" t="n"/>
      <c r="Y896" s="282" t="n"/>
      <c r="Z896" s="282" t="n"/>
      <c r="AA896" s="282" t="n"/>
      <c r="AB896" s="282" t="n"/>
      <c r="AC896" s="529" t="n"/>
      <c r="AE896" s="282" t="n"/>
      <c r="AF896" s="282" t="n"/>
      <c r="AI896" s="282" t="n"/>
      <c r="AJ896" s="282" t="n"/>
      <c r="AM896" s="282" t="n"/>
      <c r="AN896" s="282" t="n"/>
      <c r="AQ896" s="282" t="n"/>
      <c r="AR896" s="282" t="n"/>
    </row>
    <row customHeight="1" ht="15.75" r="897" s="452" spans="1:45">
      <c r="A897" s="44" t="n"/>
      <c r="G897" s="282" t="n"/>
      <c r="H897" s="282" t="n"/>
      <c r="K897" s="282" t="n"/>
      <c r="L897" s="282" t="n"/>
      <c r="O897" s="282" t="n"/>
      <c r="P897" s="282" t="n"/>
      <c r="S897" s="282" t="n"/>
      <c r="T897" s="282" t="n"/>
      <c r="W897" s="282" t="n"/>
      <c r="X897" s="282" t="n"/>
      <c r="Y897" s="282" t="n"/>
      <c r="Z897" s="282" t="n"/>
      <c r="AA897" s="282" t="n"/>
      <c r="AB897" s="282" t="n"/>
      <c r="AC897" s="529" t="n"/>
      <c r="AE897" s="282" t="n"/>
      <c r="AF897" s="282" t="n"/>
      <c r="AI897" s="282" t="n"/>
      <c r="AJ897" s="282" t="n"/>
      <c r="AM897" s="282" t="n"/>
      <c r="AN897" s="282" t="n"/>
      <c r="AQ897" s="282" t="n"/>
      <c r="AR897" s="282" t="n"/>
    </row>
    <row customHeight="1" ht="15.75" r="898" s="452" spans="1:45">
      <c r="A898" s="44" t="n"/>
      <c r="G898" s="282" t="n"/>
      <c r="H898" s="282" t="n"/>
      <c r="K898" s="282" t="n"/>
      <c r="L898" s="282" t="n"/>
      <c r="O898" s="282" t="n"/>
      <c r="P898" s="282" t="n"/>
      <c r="S898" s="282" t="n"/>
      <c r="T898" s="282" t="n"/>
      <c r="W898" s="282" t="n"/>
      <c r="X898" s="282" t="n"/>
      <c r="Y898" s="282" t="n"/>
      <c r="Z898" s="282" t="n"/>
      <c r="AA898" s="282" t="n"/>
      <c r="AB898" s="282" t="n"/>
      <c r="AC898" s="529" t="n"/>
      <c r="AE898" s="282" t="n"/>
      <c r="AF898" s="282" t="n"/>
      <c r="AI898" s="282" t="n"/>
      <c r="AJ898" s="282" t="n"/>
      <c r="AM898" s="282" t="n"/>
      <c r="AN898" s="282" t="n"/>
      <c r="AQ898" s="282" t="n"/>
      <c r="AR898" s="282" t="n"/>
    </row>
    <row customHeight="1" ht="15.75" r="899" s="452" spans="1:45">
      <c r="A899" s="44" t="n"/>
      <c r="G899" s="282" t="n"/>
      <c r="H899" s="282" t="n"/>
      <c r="K899" s="282" t="n"/>
      <c r="L899" s="282" t="n"/>
      <c r="O899" s="282" t="n"/>
      <c r="P899" s="282" t="n"/>
      <c r="S899" s="282" t="n"/>
      <c r="T899" s="282" t="n"/>
      <c r="W899" s="282" t="n"/>
      <c r="X899" s="282" t="n"/>
      <c r="Y899" s="282" t="n"/>
      <c r="Z899" s="282" t="n"/>
      <c r="AA899" s="282" t="n"/>
      <c r="AB899" s="282" t="n"/>
      <c r="AC899" s="529" t="n"/>
      <c r="AE899" s="282" t="n"/>
      <c r="AF899" s="282" t="n"/>
      <c r="AI899" s="282" t="n"/>
      <c r="AJ899" s="282" t="n"/>
      <c r="AM899" s="282" t="n"/>
      <c r="AN899" s="282" t="n"/>
      <c r="AQ899" s="282" t="n"/>
      <c r="AR899" s="282" t="n"/>
    </row>
    <row customHeight="1" ht="15.75" r="900" s="452" spans="1:45">
      <c r="A900" s="44" t="n"/>
      <c r="G900" s="282" t="n"/>
      <c r="H900" s="282" t="n"/>
      <c r="K900" s="282" t="n"/>
      <c r="L900" s="282" t="n"/>
      <c r="O900" s="282" t="n"/>
      <c r="P900" s="282" t="n"/>
      <c r="S900" s="282" t="n"/>
      <c r="T900" s="282" t="n"/>
      <c r="W900" s="282" t="n"/>
      <c r="X900" s="282" t="n"/>
      <c r="Y900" s="282" t="n"/>
      <c r="Z900" s="282" t="n"/>
      <c r="AA900" s="282" t="n"/>
      <c r="AB900" s="282" t="n"/>
      <c r="AC900" s="529" t="n"/>
      <c r="AE900" s="282" t="n"/>
      <c r="AF900" s="282" t="n"/>
      <c r="AI900" s="282" t="n"/>
      <c r="AJ900" s="282" t="n"/>
      <c r="AM900" s="282" t="n"/>
      <c r="AN900" s="282" t="n"/>
      <c r="AQ900" s="282" t="n"/>
      <c r="AR900" s="282" t="n"/>
    </row>
    <row customHeight="1" ht="15.75" r="901" s="452" spans="1:45">
      <c r="A901" s="44" t="n"/>
      <c r="G901" s="282" t="n"/>
      <c r="H901" s="282" t="n"/>
      <c r="K901" s="282" t="n"/>
      <c r="L901" s="282" t="n"/>
      <c r="O901" s="282" t="n"/>
      <c r="P901" s="282" t="n"/>
      <c r="S901" s="282" t="n"/>
      <c r="T901" s="282" t="n"/>
      <c r="W901" s="282" t="n"/>
      <c r="X901" s="282" t="n"/>
      <c r="Y901" s="282" t="n"/>
      <c r="Z901" s="282" t="n"/>
      <c r="AA901" s="282" t="n"/>
      <c r="AB901" s="282" t="n"/>
      <c r="AC901" s="529" t="n"/>
      <c r="AE901" s="282" t="n"/>
      <c r="AF901" s="282" t="n"/>
      <c r="AI901" s="282" t="n"/>
      <c r="AJ901" s="282" t="n"/>
      <c r="AM901" s="282" t="n"/>
      <c r="AN901" s="282" t="n"/>
      <c r="AQ901" s="282" t="n"/>
      <c r="AR901" s="282" t="n"/>
    </row>
    <row customHeight="1" ht="15.75" r="902" s="452" spans="1:45">
      <c r="A902" s="44" t="n"/>
      <c r="G902" s="282" t="n"/>
      <c r="H902" s="282" t="n"/>
      <c r="K902" s="282" t="n"/>
      <c r="L902" s="282" t="n"/>
      <c r="O902" s="282" t="n"/>
      <c r="P902" s="282" t="n"/>
      <c r="S902" s="282" t="n"/>
      <c r="T902" s="282" t="n"/>
      <c r="W902" s="282" t="n"/>
      <c r="X902" s="282" t="n"/>
      <c r="Y902" s="282" t="n"/>
      <c r="Z902" s="282" t="n"/>
      <c r="AA902" s="282" t="n"/>
      <c r="AB902" s="282" t="n"/>
      <c r="AC902" s="529" t="n"/>
      <c r="AE902" s="282" t="n"/>
      <c r="AF902" s="282" t="n"/>
      <c r="AI902" s="282" t="n"/>
      <c r="AJ902" s="282" t="n"/>
      <c r="AM902" s="282" t="n"/>
      <c r="AN902" s="282" t="n"/>
      <c r="AQ902" s="282" t="n"/>
      <c r="AR902" s="282" t="n"/>
    </row>
    <row customHeight="1" ht="15.75" r="903" s="452" spans="1:45">
      <c r="A903" s="44" t="n"/>
      <c r="G903" s="282" t="n"/>
      <c r="H903" s="282" t="n"/>
      <c r="K903" s="282" t="n"/>
      <c r="L903" s="282" t="n"/>
      <c r="O903" s="282" t="n"/>
      <c r="P903" s="282" t="n"/>
      <c r="S903" s="282" t="n"/>
      <c r="T903" s="282" t="n"/>
      <c r="W903" s="282" t="n"/>
      <c r="X903" s="282" t="n"/>
      <c r="Y903" s="282" t="n"/>
      <c r="Z903" s="282" t="n"/>
      <c r="AA903" s="282" t="n"/>
      <c r="AB903" s="282" t="n"/>
      <c r="AC903" s="529" t="n"/>
      <c r="AE903" s="282" t="n"/>
      <c r="AF903" s="282" t="n"/>
      <c r="AI903" s="282" t="n"/>
      <c r="AJ903" s="282" t="n"/>
      <c r="AM903" s="282" t="n"/>
      <c r="AN903" s="282" t="n"/>
      <c r="AQ903" s="282" t="n"/>
      <c r="AR903" s="282" t="n"/>
    </row>
    <row customHeight="1" ht="15.75" r="904" s="452" spans="1:45">
      <c r="A904" s="44" t="n"/>
      <c r="G904" s="282" t="n"/>
      <c r="H904" s="282" t="n"/>
      <c r="K904" s="282" t="n"/>
      <c r="L904" s="282" t="n"/>
      <c r="O904" s="282" t="n"/>
      <c r="P904" s="282" t="n"/>
      <c r="S904" s="282" t="n"/>
      <c r="T904" s="282" t="n"/>
      <c r="W904" s="282" t="n"/>
      <c r="X904" s="282" t="n"/>
      <c r="Y904" s="282" t="n"/>
      <c r="Z904" s="282" t="n"/>
      <c r="AA904" s="282" t="n"/>
      <c r="AB904" s="282" t="n"/>
      <c r="AC904" s="529" t="n"/>
      <c r="AE904" s="282" t="n"/>
      <c r="AF904" s="282" t="n"/>
      <c r="AI904" s="282" t="n"/>
      <c r="AJ904" s="282" t="n"/>
      <c r="AM904" s="282" t="n"/>
      <c r="AN904" s="282" t="n"/>
      <c r="AQ904" s="282" t="n"/>
      <c r="AR904" s="282" t="n"/>
    </row>
    <row customHeight="1" ht="15.75" r="905" s="452" spans="1:45">
      <c r="A905" s="44" t="n"/>
      <c r="G905" s="282" t="n"/>
      <c r="H905" s="282" t="n"/>
      <c r="K905" s="282" t="n"/>
      <c r="L905" s="282" t="n"/>
      <c r="O905" s="282" t="n"/>
      <c r="P905" s="282" t="n"/>
      <c r="S905" s="282" t="n"/>
      <c r="T905" s="282" t="n"/>
      <c r="W905" s="282" t="n"/>
      <c r="X905" s="282" t="n"/>
      <c r="Y905" s="282" t="n"/>
      <c r="Z905" s="282" t="n"/>
      <c r="AA905" s="282" t="n"/>
      <c r="AB905" s="282" t="n"/>
      <c r="AC905" s="529" t="n"/>
      <c r="AE905" s="282" t="n"/>
      <c r="AF905" s="282" t="n"/>
      <c r="AI905" s="282" t="n"/>
      <c r="AJ905" s="282" t="n"/>
      <c r="AM905" s="282" t="n"/>
      <c r="AN905" s="282" t="n"/>
      <c r="AQ905" s="282" t="n"/>
      <c r="AR905" s="282" t="n"/>
    </row>
    <row customHeight="1" ht="15.75" r="906" s="452" spans="1:45">
      <c r="A906" s="44" t="n"/>
      <c r="G906" s="282" t="n"/>
      <c r="H906" s="282" t="n"/>
      <c r="K906" s="282" t="n"/>
      <c r="L906" s="282" t="n"/>
      <c r="O906" s="282" t="n"/>
      <c r="P906" s="282" t="n"/>
      <c r="S906" s="282" t="n"/>
      <c r="T906" s="282" t="n"/>
      <c r="W906" s="282" t="n"/>
      <c r="X906" s="282" t="n"/>
      <c r="Y906" s="282" t="n"/>
      <c r="Z906" s="282" t="n"/>
      <c r="AA906" s="282" t="n"/>
      <c r="AB906" s="282" t="n"/>
      <c r="AC906" s="529" t="n"/>
      <c r="AE906" s="282" t="n"/>
      <c r="AF906" s="282" t="n"/>
      <c r="AI906" s="282" t="n"/>
      <c r="AJ906" s="282" t="n"/>
      <c r="AM906" s="282" t="n"/>
      <c r="AN906" s="282" t="n"/>
      <c r="AQ906" s="282" t="n"/>
      <c r="AR906" s="282" t="n"/>
    </row>
    <row customHeight="1" ht="15.75" r="907" s="452" spans="1:45">
      <c r="A907" s="44" t="n"/>
      <c r="G907" s="282" t="n"/>
      <c r="H907" s="282" t="n"/>
      <c r="K907" s="282" t="n"/>
      <c r="L907" s="282" t="n"/>
      <c r="O907" s="282" t="n"/>
      <c r="P907" s="282" t="n"/>
      <c r="S907" s="282" t="n"/>
      <c r="T907" s="282" t="n"/>
      <c r="W907" s="282" t="n"/>
      <c r="X907" s="282" t="n"/>
      <c r="Y907" s="282" t="n"/>
      <c r="Z907" s="282" t="n"/>
      <c r="AA907" s="282" t="n"/>
      <c r="AB907" s="282" t="n"/>
      <c r="AC907" s="529" t="n"/>
      <c r="AE907" s="282" t="n"/>
      <c r="AF907" s="282" t="n"/>
      <c r="AI907" s="282" t="n"/>
      <c r="AJ907" s="282" t="n"/>
      <c r="AM907" s="282" t="n"/>
      <c r="AN907" s="282" t="n"/>
      <c r="AQ907" s="282" t="n"/>
      <c r="AR907" s="282" t="n"/>
    </row>
    <row customHeight="1" ht="15.75" r="908" s="452" spans="1:45">
      <c r="A908" s="44" t="n"/>
      <c r="G908" s="282" t="n"/>
      <c r="H908" s="282" t="n"/>
      <c r="K908" s="282" t="n"/>
      <c r="L908" s="282" t="n"/>
      <c r="O908" s="282" t="n"/>
      <c r="P908" s="282" t="n"/>
      <c r="S908" s="282" t="n"/>
      <c r="T908" s="282" t="n"/>
      <c r="W908" s="282" t="n"/>
      <c r="X908" s="282" t="n"/>
      <c r="Y908" s="282" t="n"/>
      <c r="Z908" s="282" t="n"/>
      <c r="AA908" s="282" t="n"/>
      <c r="AB908" s="282" t="n"/>
      <c r="AC908" s="529" t="n"/>
      <c r="AE908" s="282" t="n"/>
      <c r="AF908" s="282" t="n"/>
      <c r="AI908" s="282" t="n"/>
      <c r="AJ908" s="282" t="n"/>
      <c r="AM908" s="282" t="n"/>
      <c r="AN908" s="282" t="n"/>
      <c r="AQ908" s="282" t="n"/>
      <c r="AR908" s="282" t="n"/>
    </row>
    <row customHeight="1" ht="15.75" r="909" s="452" spans="1:45">
      <c r="A909" s="44" t="n"/>
      <c r="G909" s="282" t="n"/>
      <c r="H909" s="282" t="n"/>
      <c r="K909" s="282" t="n"/>
      <c r="L909" s="282" t="n"/>
      <c r="O909" s="282" t="n"/>
      <c r="P909" s="282" t="n"/>
      <c r="S909" s="282" t="n"/>
      <c r="T909" s="282" t="n"/>
      <c r="W909" s="282" t="n"/>
      <c r="X909" s="282" t="n"/>
      <c r="Y909" s="282" t="n"/>
      <c r="Z909" s="282" t="n"/>
      <c r="AA909" s="282" t="n"/>
      <c r="AB909" s="282" t="n"/>
      <c r="AC909" s="529" t="n"/>
      <c r="AE909" s="282" t="n"/>
      <c r="AF909" s="282" t="n"/>
      <c r="AI909" s="282" t="n"/>
      <c r="AJ909" s="282" t="n"/>
      <c r="AM909" s="282" t="n"/>
      <c r="AN909" s="282" t="n"/>
      <c r="AQ909" s="282" t="n"/>
      <c r="AR909" s="282" t="n"/>
    </row>
    <row customHeight="1" ht="15.75" r="910" s="452" spans="1:45">
      <c r="A910" s="44" t="n"/>
      <c r="G910" s="282" t="n"/>
      <c r="H910" s="282" t="n"/>
      <c r="K910" s="282" t="n"/>
      <c r="L910" s="282" t="n"/>
      <c r="O910" s="282" t="n"/>
      <c r="P910" s="282" t="n"/>
      <c r="S910" s="282" t="n"/>
      <c r="T910" s="282" t="n"/>
      <c r="W910" s="282" t="n"/>
      <c r="X910" s="282" t="n"/>
      <c r="Y910" s="282" t="n"/>
      <c r="Z910" s="282" t="n"/>
      <c r="AA910" s="282" t="n"/>
      <c r="AB910" s="282" t="n"/>
      <c r="AC910" s="529" t="n"/>
      <c r="AE910" s="282" t="n"/>
      <c r="AF910" s="282" t="n"/>
      <c r="AI910" s="282" t="n"/>
      <c r="AJ910" s="282" t="n"/>
      <c r="AM910" s="282" t="n"/>
      <c r="AN910" s="282" t="n"/>
      <c r="AQ910" s="282" t="n"/>
      <c r="AR910" s="282" t="n"/>
    </row>
    <row customHeight="1" ht="15.75" r="911" s="452" spans="1:45">
      <c r="A911" s="44" t="n"/>
      <c r="G911" s="282" t="n"/>
      <c r="H911" s="282" t="n"/>
      <c r="K911" s="282" t="n"/>
      <c r="L911" s="282" t="n"/>
      <c r="O911" s="282" t="n"/>
      <c r="P911" s="282" t="n"/>
      <c r="S911" s="282" t="n"/>
      <c r="T911" s="282" t="n"/>
      <c r="W911" s="282" t="n"/>
      <c r="X911" s="282" t="n"/>
      <c r="Y911" s="282" t="n"/>
      <c r="Z911" s="282" t="n"/>
      <c r="AA911" s="282" t="n"/>
      <c r="AB911" s="282" t="n"/>
      <c r="AC911" s="529" t="n"/>
      <c r="AE911" s="282" t="n"/>
      <c r="AF911" s="282" t="n"/>
      <c r="AI911" s="282" t="n"/>
      <c r="AJ911" s="282" t="n"/>
      <c r="AM911" s="282" t="n"/>
      <c r="AN911" s="282" t="n"/>
      <c r="AQ911" s="282" t="n"/>
      <c r="AR911" s="282" t="n"/>
    </row>
    <row customHeight="1" ht="15.75" r="912" s="452" spans="1:45">
      <c r="A912" s="44" t="n"/>
      <c r="G912" s="282" t="n"/>
      <c r="H912" s="282" t="n"/>
      <c r="K912" s="282" t="n"/>
      <c r="L912" s="282" t="n"/>
      <c r="O912" s="282" t="n"/>
      <c r="P912" s="282" t="n"/>
      <c r="S912" s="282" t="n"/>
      <c r="T912" s="282" t="n"/>
      <c r="W912" s="282" t="n"/>
      <c r="X912" s="282" t="n"/>
      <c r="Y912" s="282" t="n"/>
      <c r="Z912" s="282" t="n"/>
      <c r="AA912" s="282" t="n"/>
      <c r="AB912" s="282" t="n"/>
      <c r="AC912" s="529" t="n"/>
      <c r="AE912" s="282" t="n"/>
      <c r="AF912" s="282" t="n"/>
      <c r="AI912" s="282" t="n"/>
      <c r="AJ912" s="282" t="n"/>
      <c r="AM912" s="282" t="n"/>
      <c r="AN912" s="282" t="n"/>
      <c r="AQ912" s="282" t="n"/>
      <c r="AR912" s="282" t="n"/>
    </row>
    <row customHeight="1" ht="15.75" r="913" s="452" spans="1:45">
      <c r="A913" s="44" t="n"/>
      <c r="G913" s="282" t="n"/>
      <c r="H913" s="282" t="n"/>
      <c r="K913" s="282" t="n"/>
      <c r="L913" s="282" t="n"/>
      <c r="O913" s="282" t="n"/>
      <c r="P913" s="282" t="n"/>
      <c r="S913" s="282" t="n"/>
      <c r="T913" s="282" t="n"/>
      <c r="W913" s="282" t="n"/>
      <c r="X913" s="282" t="n"/>
      <c r="Y913" s="282" t="n"/>
      <c r="Z913" s="282" t="n"/>
      <c r="AA913" s="282" t="n"/>
      <c r="AB913" s="282" t="n"/>
      <c r="AC913" s="529" t="n"/>
      <c r="AE913" s="282" t="n"/>
      <c r="AF913" s="282" t="n"/>
      <c r="AI913" s="282" t="n"/>
      <c r="AJ913" s="282" t="n"/>
      <c r="AM913" s="282" t="n"/>
      <c r="AN913" s="282" t="n"/>
      <c r="AQ913" s="282" t="n"/>
      <c r="AR913" s="282" t="n"/>
    </row>
    <row customHeight="1" ht="15.75" r="914" s="452" spans="1:45">
      <c r="A914" s="44" t="n"/>
      <c r="G914" s="282" t="n"/>
      <c r="H914" s="282" t="n"/>
      <c r="K914" s="282" t="n"/>
      <c r="L914" s="282" t="n"/>
      <c r="O914" s="282" t="n"/>
      <c r="P914" s="282" t="n"/>
      <c r="S914" s="282" t="n"/>
      <c r="T914" s="282" t="n"/>
      <c r="W914" s="282" t="n"/>
      <c r="X914" s="282" t="n"/>
      <c r="Y914" s="282" t="n"/>
      <c r="Z914" s="282" t="n"/>
      <c r="AA914" s="282" t="n"/>
      <c r="AB914" s="282" t="n"/>
      <c r="AC914" s="529" t="n"/>
      <c r="AE914" s="282" t="n"/>
      <c r="AF914" s="282" t="n"/>
      <c r="AI914" s="282" t="n"/>
      <c r="AJ914" s="282" t="n"/>
      <c r="AM914" s="282" t="n"/>
      <c r="AN914" s="282" t="n"/>
      <c r="AQ914" s="282" t="n"/>
      <c r="AR914" s="282" t="n"/>
    </row>
    <row customHeight="1" ht="15.75" r="915" s="452" spans="1:45">
      <c r="A915" s="44" t="n"/>
      <c r="G915" s="282" t="n"/>
      <c r="H915" s="282" t="n"/>
      <c r="K915" s="282" t="n"/>
      <c r="L915" s="282" t="n"/>
      <c r="O915" s="282" t="n"/>
      <c r="P915" s="282" t="n"/>
      <c r="S915" s="282" t="n"/>
      <c r="T915" s="282" t="n"/>
      <c r="W915" s="282" t="n"/>
      <c r="X915" s="282" t="n"/>
      <c r="Y915" s="282" t="n"/>
      <c r="Z915" s="282" t="n"/>
      <c r="AA915" s="282" t="n"/>
      <c r="AB915" s="282" t="n"/>
      <c r="AC915" s="529" t="n"/>
      <c r="AE915" s="282" t="n"/>
      <c r="AF915" s="282" t="n"/>
      <c r="AI915" s="282" t="n"/>
      <c r="AJ915" s="282" t="n"/>
      <c r="AM915" s="282" t="n"/>
      <c r="AN915" s="282" t="n"/>
      <c r="AQ915" s="282" t="n"/>
      <c r="AR915" s="282" t="n"/>
    </row>
    <row customHeight="1" ht="15.75" r="916" s="452" spans="1:45">
      <c r="A916" s="44" t="n"/>
      <c r="G916" s="282" t="n"/>
      <c r="H916" s="282" t="n"/>
      <c r="K916" s="282" t="n"/>
      <c r="L916" s="282" t="n"/>
      <c r="O916" s="282" t="n"/>
      <c r="P916" s="282" t="n"/>
      <c r="S916" s="282" t="n"/>
      <c r="T916" s="282" t="n"/>
      <c r="W916" s="282" t="n"/>
      <c r="X916" s="282" t="n"/>
      <c r="Y916" s="282" t="n"/>
      <c r="Z916" s="282" t="n"/>
      <c r="AA916" s="282" t="n"/>
      <c r="AB916" s="282" t="n"/>
      <c r="AC916" s="529" t="n"/>
      <c r="AE916" s="282" t="n"/>
      <c r="AF916" s="282" t="n"/>
      <c r="AI916" s="282" t="n"/>
      <c r="AJ916" s="282" t="n"/>
      <c r="AM916" s="282" t="n"/>
      <c r="AN916" s="282" t="n"/>
      <c r="AQ916" s="282" t="n"/>
      <c r="AR916" s="282" t="n"/>
    </row>
    <row customHeight="1" ht="15.75" r="917" s="452" spans="1:45">
      <c r="A917" s="44" t="n"/>
      <c r="G917" s="282" t="n"/>
      <c r="H917" s="282" t="n"/>
      <c r="K917" s="282" t="n"/>
      <c r="L917" s="282" t="n"/>
      <c r="O917" s="282" t="n"/>
      <c r="P917" s="282" t="n"/>
      <c r="S917" s="282" t="n"/>
      <c r="T917" s="282" t="n"/>
      <c r="W917" s="282" t="n"/>
      <c r="X917" s="282" t="n"/>
      <c r="Y917" s="282" t="n"/>
      <c r="Z917" s="282" t="n"/>
      <c r="AA917" s="282" t="n"/>
      <c r="AB917" s="282" t="n"/>
      <c r="AC917" s="529" t="n"/>
      <c r="AE917" s="282" t="n"/>
      <c r="AF917" s="282" t="n"/>
      <c r="AI917" s="282" t="n"/>
      <c r="AJ917" s="282" t="n"/>
      <c r="AM917" s="282" t="n"/>
      <c r="AN917" s="282" t="n"/>
      <c r="AQ917" s="282" t="n"/>
      <c r="AR917" s="282" t="n"/>
    </row>
    <row customHeight="1" ht="15.75" r="918" s="452" spans="1:45">
      <c r="A918" s="44" t="n"/>
      <c r="G918" s="282" t="n"/>
      <c r="H918" s="282" t="n"/>
      <c r="K918" s="282" t="n"/>
      <c r="L918" s="282" t="n"/>
      <c r="O918" s="282" t="n"/>
      <c r="P918" s="282" t="n"/>
      <c r="S918" s="282" t="n"/>
      <c r="T918" s="282" t="n"/>
      <c r="W918" s="282" t="n"/>
      <c r="X918" s="282" t="n"/>
      <c r="Y918" s="282" t="n"/>
      <c r="Z918" s="282" t="n"/>
      <c r="AA918" s="282" t="n"/>
      <c r="AB918" s="282" t="n"/>
      <c r="AC918" s="529" t="n"/>
      <c r="AE918" s="282" t="n"/>
      <c r="AF918" s="282" t="n"/>
      <c r="AI918" s="282" t="n"/>
      <c r="AJ918" s="282" t="n"/>
      <c r="AM918" s="282" t="n"/>
      <c r="AN918" s="282" t="n"/>
      <c r="AQ918" s="282" t="n"/>
      <c r="AR918" s="282" t="n"/>
    </row>
    <row customHeight="1" ht="15.75" r="919" s="452" spans="1:45">
      <c r="A919" s="44" t="n"/>
      <c r="G919" s="282" t="n"/>
      <c r="H919" s="282" t="n"/>
      <c r="K919" s="282" t="n"/>
      <c r="L919" s="282" t="n"/>
      <c r="O919" s="282" t="n"/>
      <c r="P919" s="282" t="n"/>
      <c r="S919" s="282" t="n"/>
      <c r="T919" s="282" t="n"/>
      <c r="W919" s="282" t="n"/>
      <c r="X919" s="282" t="n"/>
      <c r="Y919" s="282" t="n"/>
      <c r="Z919" s="282" t="n"/>
      <c r="AA919" s="282" t="n"/>
      <c r="AB919" s="282" t="n"/>
      <c r="AC919" s="529" t="n"/>
      <c r="AE919" s="282" t="n"/>
      <c r="AF919" s="282" t="n"/>
      <c r="AI919" s="282" t="n"/>
      <c r="AJ919" s="282" t="n"/>
      <c r="AM919" s="282" t="n"/>
      <c r="AN919" s="282" t="n"/>
      <c r="AQ919" s="282" t="n"/>
      <c r="AR919" s="282" t="n"/>
    </row>
    <row customHeight="1" ht="15.75" r="920" s="452" spans="1:45">
      <c r="A920" s="44" t="n"/>
      <c r="G920" s="282" t="n"/>
      <c r="H920" s="282" t="n"/>
      <c r="K920" s="282" t="n"/>
      <c r="L920" s="282" t="n"/>
      <c r="O920" s="282" t="n"/>
      <c r="P920" s="282" t="n"/>
      <c r="S920" s="282" t="n"/>
      <c r="T920" s="282" t="n"/>
      <c r="W920" s="282" t="n"/>
      <c r="X920" s="282" t="n"/>
      <c r="Y920" s="282" t="n"/>
      <c r="Z920" s="282" t="n"/>
      <c r="AA920" s="282" t="n"/>
      <c r="AB920" s="282" t="n"/>
      <c r="AC920" s="529" t="n"/>
      <c r="AE920" s="282" t="n"/>
      <c r="AF920" s="282" t="n"/>
      <c r="AI920" s="282" t="n"/>
      <c r="AJ920" s="282" t="n"/>
      <c r="AM920" s="282" t="n"/>
      <c r="AN920" s="282" t="n"/>
      <c r="AQ920" s="282" t="n"/>
      <c r="AR920" s="282" t="n"/>
    </row>
    <row customHeight="1" ht="15.75" r="921" s="452" spans="1:45">
      <c r="A921" s="44" t="n"/>
      <c r="G921" s="282" t="n"/>
      <c r="H921" s="282" t="n"/>
      <c r="K921" s="282" t="n"/>
      <c r="L921" s="282" t="n"/>
      <c r="O921" s="282" t="n"/>
      <c r="P921" s="282" t="n"/>
      <c r="S921" s="282" t="n"/>
      <c r="T921" s="282" t="n"/>
      <c r="W921" s="282" t="n"/>
      <c r="X921" s="282" t="n"/>
      <c r="Y921" s="282" t="n"/>
      <c r="Z921" s="282" t="n"/>
      <c r="AA921" s="282" t="n"/>
      <c r="AB921" s="282" t="n"/>
      <c r="AC921" s="529" t="n"/>
      <c r="AE921" s="282" t="n"/>
      <c r="AF921" s="282" t="n"/>
      <c r="AI921" s="282" t="n"/>
      <c r="AJ921" s="282" t="n"/>
      <c r="AM921" s="282" t="n"/>
      <c r="AN921" s="282" t="n"/>
      <c r="AQ921" s="282" t="n"/>
      <c r="AR921" s="282" t="n"/>
    </row>
    <row customHeight="1" ht="15.75" r="922" s="452" spans="1:45">
      <c r="A922" s="44" t="n"/>
      <c r="G922" s="282" t="n"/>
      <c r="H922" s="282" t="n"/>
      <c r="K922" s="282" t="n"/>
      <c r="L922" s="282" t="n"/>
      <c r="O922" s="282" t="n"/>
      <c r="P922" s="282" t="n"/>
      <c r="S922" s="282" t="n"/>
      <c r="T922" s="282" t="n"/>
      <c r="W922" s="282" t="n"/>
      <c r="X922" s="282" t="n"/>
      <c r="Y922" s="282" t="n"/>
      <c r="Z922" s="282" t="n"/>
      <c r="AA922" s="282" t="n"/>
      <c r="AB922" s="282" t="n"/>
      <c r="AC922" s="529" t="n"/>
      <c r="AE922" s="282" t="n"/>
      <c r="AF922" s="282" t="n"/>
      <c r="AI922" s="282" t="n"/>
      <c r="AJ922" s="282" t="n"/>
      <c r="AM922" s="282" t="n"/>
      <c r="AN922" s="282" t="n"/>
      <c r="AQ922" s="282" t="n"/>
      <c r="AR922" s="282" t="n"/>
    </row>
    <row customHeight="1" ht="15.75" r="923" s="452" spans="1:45">
      <c r="A923" s="44" t="n"/>
      <c r="G923" s="282" t="n"/>
      <c r="H923" s="282" t="n"/>
      <c r="K923" s="282" t="n"/>
      <c r="L923" s="282" t="n"/>
      <c r="O923" s="282" t="n"/>
      <c r="P923" s="282" t="n"/>
      <c r="S923" s="282" t="n"/>
      <c r="T923" s="282" t="n"/>
      <c r="W923" s="282" t="n"/>
      <c r="X923" s="282" t="n"/>
      <c r="Y923" s="282" t="n"/>
      <c r="Z923" s="282" t="n"/>
      <c r="AA923" s="282" t="n"/>
      <c r="AB923" s="282" t="n"/>
      <c r="AC923" s="529" t="n"/>
      <c r="AE923" s="282" t="n"/>
      <c r="AF923" s="282" t="n"/>
      <c r="AI923" s="282" t="n"/>
      <c r="AJ923" s="282" t="n"/>
      <c r="AM923" s="282" t="n"/>
      <c r="AN923" s="282" t="n"/>
      <c r="AQ923" s="282" t="n"/>
      <c r="AR923" s="282" t="n"/>
    </row>
    <row customHeight="1" ht="15.75" r="924" s="452" spans="1:45">
      <c r="A924" s="44" t="n"/>
      <c r="G924" s="282" t="n"/>
      <c r="H924" s="282" t="n"/>
      <c r="K924" s="282" t="n"/>
      <c r="L924" s="282" t="n"/>
      <c r="O924" s="282" t="n"/>
      <c r="P924" s="282" t="n"/>
      <c r="S924" s="282" t="n"/>
      <c r="T924" s="282" t="n"/>
      <c r="W924" s="282" t="n"/>
      <c r="X924" s="282" t="n"/>
      <c r="Y924" s="282" t="n"/>
      <c r="Z924" s="282" t="n"/>
      <c r="AA924" s="282" t="n"/>
      <c r="AB924" s="282" t="n"/>
      <c r="AC924" s="529" t="n"/>
      <c r="AE924" s="282" t="n"/>
      <c r="AF924" s="282" t="n"/>
      <c r="AI924" s="282" t="n"/>
      <c r="AJ924" s="282" t="n"/>
      <c r="AM924" s="282" t="n"/>
      <c r="AN924" s="282" t="n"/>
      <c r="AQ924" s="282" t="n"/>
      <c r="AR924" s="282" t="n"/>
    </row>
    <row customHeight="1" ht="15.75" r="925" s="452" spans="1:45">
      <c r="A925" s="44" t="n"/>
      <c r="G925" s="282" t="n"/>
      <c r="H925" s="282" t="n"/>
      <c r="K925" s="282" t="n"/>
      <c r="L925" s="282" t="n"/>
      <c r="O925" s="282" t="n"/>
      <c r="P925" s="282" t="n"/>
      <c r="S925" s="282" t="n"/>
      <c r="T925" s="282" t="n"/>
      <c r="W925" s="282" t="n"/>
      <c r="X925" s="282" t="n"/>
      <c r="Y925" s="282" t="n"/>
      <c r="Z925" s="282" t="n"/>
      <c r="AA925" s="282" t="n"/>
      <c r="AB925" s="282" t="n"/>
      <c r="AC925" s="529" t="n"/>
      <c r="AE925" s="282" t="n"/>
      <c r="AF925" s="282" t="n"/>
      <c r="AI925" s="282" t="n"/>
      <c r="AJ925" s="282" t="n"/>
      <c r="AM925" s="282" t="n"/>
      <c r="AN925" s="282" t="n"/>
      <c r="AQ925" s="282" t="n"/>
      <c r="AR925" s="282" t="n"/>
    </row>
    <row customHeight="1" ht="15.75" r="926" s="452" spans="1:45">
      <c r="A926" s="44" t="n"/>
      <c r="G926" s="282" t="n"/>
      <c r="H926" s="282" t="n"/>
      <c r="K926" s="282" t="n"/>
      <c r="L926" s="282" t="n"/>
      <c r="O926" s="282" t="n"/>
      <c r="P926" s="282" t="n"/>
      <c r="S926" s="282" t="n"/>
      <c r="T926" s="282" t="n"/>
      <c r="W926" s="282" t="n"/>
      <c r="X926" s="282" t="n"/>
      <c r="Y926" s="282" t="n"/>
      <c r="Z926" s="282" t="n"/>
      <c r="AA926" s="282" t="n"/>
      <c r="AB926" s="282" t="n"/>
      <c r="AC926" s="529" t="n"/>
      <c r="AE926" s="282" t="n"/>
      <c r="AF926" s="282" t="n"/>
      <c r="AI926" s="282" t="n"/>
      <c r="AJ926" s="282" t="n"/>
      <c r="AM926" s="282" t="n"/>
      <c r="AN926" s="282" t="n"/>
      <c r="AQ926" s="282" t="n"/>
      <c r="AR926" s="282" t="n"/>
    </row>
    <row customHeight="1" ht="15.75" r="927" s="452" spans="1:45">
      <c r="A927" s="44" t="n"/>
      <c r="G927" s="282" t="n"/>
      <c r="H927" s="282" t="n"/>
      <c r="K927" s="282" t="n"/>
      <c r="L927" s="282" t="n"/>
      <c r="O927" s="282" t="n"/>
      <c r="P927" s="282" t="n"/>
      <c r="S927" s="282" t="n"/>
      <c r="T927" s="282" t="n"/>
      <c r="W927" s="282" t="n"/>
      <c r="X927" s="282" t="n"/>
      <c r="Y927" s="282" t="n"/>
      <c r="Z927" s="282" t="n"/>
      <c r="AA927" s="282" t="n"/>
      <c r="AB927" s="282" t="n"/>
      <c r="AC927" s="529" t="n"/>
      <c r="AE927" s="282" t="n"/>
      <c r="AF927" s="282" t="n"/>
      <c r="AI927" s="282" t="n"/>
      <c r="AJ927" s="282" t="n"/>
      <c r="AM927" s="282" t="n"/>
      <c r="AN927" s="282" t="n"/>
      <c r="AQ927" s="282" t="n"/>
      <c r="AR927" s="282" t="n"/>
    </row>
    <row customHeight="1" ht="15.75" r="928" s="452" spans="1:45">
      <c r="A928" s="44" t="n"/>
      <c r="G928" s="282" t="n"/>
      <c r="H928" s="282" t="n"/>
      <c r="K928" s="282" t="n"/>
      <c r="L928" s="282" t="n"/>
      <c r="O928" s="282" t="n"/>
      <c r="P928" s="282" t="n"/>
      <c r="S928" s="282" t="n"/>
      <c r="T928" s="282" t="n"/>
      <c r="W928" s="282" t="n"/>
      <c r="X928" s="282" t="n"/>
      <c r="Y928" s="282" t="n"/>
      <c r="Z928" s="282" t="n"/>
      <c r="AA928" s="282" t="n"/>
      <c r="AB928" s="282" t="n"/>
      <c r="AC928" s="529" t="n"/>
      <c r="AE928" s="282" t="n"/>
      <c r="AF928" s="282" t="n"/>
      <c r="AI928" s="282" t="n"/>
      <c r="AJ928" s="282" t="n"/>
      <c r="AM928" s="282" t="n"/>
      <c r="AN928" s="282" t="n"/>
      <c r="AQ928" s="282" t="n"/>
      <c r="AR928" s="282" t="n"/>
    </row>
    <row customHeight="1" ht="15.75" r="929" s="452" spans="1:45">
      <c r="A929" s="44" t="n"/>
      <c r="G929" s="282" t="n"/>
      <c r="H929" s="282" t="n"/>
      <c r="K929" s="282" t="n"/>
      <c r="L929" s="282" t="n"/>
      <c r="O929" s="282" t="n"/>
      <c r="P929" s="282" t="n"/>
      <c r="S929" s="282" t="n"/>
      <c r="T929" s="282" t="n"/>
      <c r="W929" s="282" t="n"/>
      <c r="X929" s="282" t="n"/>
      <c r="Y929" s="282" t="n"/>
      <c r="Z929" s="282" t="n"/>
      <c r="AA929" s="282" t="n"/>
      <c r="AB929" s="282" t="n"/>
      <c r="AC929" s="529" t="n"/>
      <c r="AE929" s="282" t="n"/>
      <c r="AF929" s="282" t="n"/>
      <c r="AI929" s="282" t="n"/>
      <c r="AJ929" s="282" t="n"/>
      <c r="AM929" s="282" t="n"/>
      <c r="AN929" s="282" t="n"/>
      <c r="AQ929" s="282" t="n"/>
      <c r="AR929" s="282" t="n"/>
    </row>
    <row customHeight="1" ht="15.75" r="930" s="452" spans="1:45">
      <c r="A930" s="44" t="n"/>
      <c r="G930" s="282" t="n"/>
      <c r="H930" s="282" t="n"/>
      <c r="K930" s="282" t="n"/>
      <c r="L930" s="282" t="n"/>
      <c r="O930" s="282" t="n"/>
      <c r="P930" s="282" t="n"/>
      <c r="S930" s="282" t="n"/>
      <c r="T930" s="282" t="n"/>
      <c r="W930" s="282" t="n"/>
      <c r="X930" s="282" t="n"/>
      <c r="Y930" s="282" t="n"/>
      <c r="Z930" s="282" t="n"/>
      <c r="AA930" s="282" t="n"/>
      <c r="AB930" s="282" t="n"/>
      <c r="AC930" s="529" t="n"/>
      <c r="AE930" s="282" t="n"/>
      <c r="AF930" s="282" t="n"/>
      <c r="AI930" s="282" t="n"/>
      <c r="AJ930" s="282" t="n"/>
      <c r="AM930" s="282" t="n"/>
      <c r="AN930" s="282" t="n"/>
      <c r="AQ930" s="282" t="n"/>
      <c r="AR930" s="282" t="n"/>
    </row>
    <row customHeight="1" ht="15.75" r="931" s="452" spans="1:45">
      <c r="A931" s="44" t="n"/>
      <c r="G931" s="282" t="n"/>
      <c r="H931" s="282" t="n"/>
      <c r="K931" s="282" t="n"/>
      <c r="L931" s="282" t="n"/>
      <c r="O931" s="282" t="n"/>
      <c r="P931" s="282" t="n"/>
      <c r="S931" s="282" t="n"/>
      <c r="T931" s="282" t="n"/>
      <c r="W931" s="282" t="n"/>
      <c r="X931" s="282" t="n"/>
      <c r="Y931" s="282" t="n"/>
      <c r="Z931" s="282" t="n"/>
      <c r="AA931" s="282" t="n"/>
      <c r="AB931" s="282" t="n"/>
      <c r="AC931" s="529" t="n"/>
      <c r="AE931" s="282" t="n"/>
      <c r="AF931" s="282" t="n"/>
      <c r="AI931" s="282" t="n"/>
      <c r="AJ931" s="282" t="n"/>
      <c r="AM931" s="282" t="n"/>
      <c r="AN931" s="282" t="n"/>
      <c r="AQ931" s="282" t="n"/>
      <c r="AR931" s="282" t="n"/>
    </row>
    <row customHeight="1" ht="15.75" r="932" s="452" spans="1:45">
      <c r="A932" s="44" t="n"/>
      <c r="G932" s="282" t="n"/>
      <c r="H932" s="282" t="n"/>
      <c r="K932" s="282" t="n"/>
      <c r="L932" s="282" t="n"/>
      <c r="O932" s="282" t="n"/>
      <c r="P932" s="282" t="n"/>
      <c r="S932" s="282" t="n"/>
      <c r="T932" s="282" t="n"/>
      <c r="W932" s="282" t="n"/>
      <c r="X932" s="282" t="n"/>
      <c r="Y932" s="282" t="n"/>
      <c r="Z932" s="282" t="n"/>
      <c r="AA932" s="282" t="n"/>
      <c r="AB932" s="282" t="n"/>
      <c r="AC932" s="529" t="n"/>
      <c r="AE932" s="282" t="n"/>
      <c r="AF932" s="282" t="n"/>
      <c r="AI932" s="282" t="n"/>
      <c r="AJ932" s="282" t="n"/>
      <c r="AM932" s="282" t="n"/>
      <c r="AN932" s="282" t="n"/>
      <c r="AQ932" s="282" t="n"/>
      <c r="AR932" s="282" t="n"/>
    </row>
    <row customHeight="1" ht="15.75" r="933" s="452" spans="1:45">
      <c r="A933" s="44" t="n"/>
      <c r="G933" s="282" t="n"/>
      <c r="H933" s="282" t="n"/>
      <c r="K933" s="282" t="n"/>
      <c r="L933" s="282" t="n"/>
      <c r="O933" s="282" t="n"/>
      <c r="P933" s="282" t="n"/>
      <c r="S933" s="282" t="n"/>
      <c r="T933" s="282" t="n"/>
      <c r="W933" s="282" t="n"/>
      <c r="X933" s="282" t="n"/>
      <c r="Y933" s="282" t="n"/>
      <c r="Z933" s="282" t="n"/>
      <c r="AA933" s="282" t="n"/>
      <c r="AB933" s="282" t="n"/>
      <c r="AC933" s="529" t="n"/>
      <c r="AE933" s="282" t="n"/>
      <c r="AF933" s="282" t="n"/>
      <c r="AI933" s="282" t="n"/>
      <c r="AJ933" s="282" t="n"/>
      <c r="AM933" s="282" t="n"/>
      <c r="AN933" s="282" t="n"/>
      <c r="AQ933" s="282" t="n"/>
      <c r="AR933" s="282" t="n"/>
    </row>
    <row customHeight="1" ht="15.75" r="934" s="452" spans="1:45">
      <c r="A934" s="44" t="n"/>
      <c r="G934" s="282" t="n"/>
      <c r="H934" s="282" t="n"/>
      <c r="K934" s="282" t="n"/>
      <c r="L934" s="282" t="n"/>
      <c r="O934" s="282" t="n"/>
      <c r="P934" s="282" t="n"/>
      <c r="S934" s="282" t="n"/>
      <c r="T934" s="282" t="n"/>
      <c r="W934" s="282" t="n"/>
      <c r="X934" s="282" t="n"/>
      <c r="Y934" s="282" t="n"/>
      <c r="Z934" s="282" t="n"/>
      <c r="AA934" s="282" t="n"/>
      <c r="AB934" s="282" t="n"/>
      <c r="AC934" s="529" t="n"/>
      <c r="AE934" s="282" t="n"/>
      <c r="AF934" s="282" t="n"/>
      <c r="AI934" s="282" t="n"/>
      <c r="AJ934" s="282" t="n"/>
      <c r="AM934" s="282" t="n"/>
      <c r="AN934" s="282" t="n"/>
      <c r="AQ934" s="282" t="n"/>
      <c r="AR934" s="282" t="n"/>
    </row>
    <row customHeight="1" ht="15.75" r="935" s="452" spans="1:45">
      <c r="A935" s="44" t="n"/>
      <c r="G935" s="282" t="n"/>
      <c r="H935" s="282" t="n"/>
      <c r="K935" s="282" t="n"/>
      <c r="L935" s="282" t="n"/>
      <c r="O935" s="282" t="n"/>
      <c r="P935" s="282" t="n"/>
      <c r="S935" s="282" t="n"/>
      <c r="T935" s="282" t="n"/>
      <c r="W935" s="282" t="n"/>
      <c r="X935" s="282" t="n"/>
      <c r="Y935" s="282" t="n"/>
      <c r="Z935" s="282" t="n"/>
      <c r="AA935" s="282" t="n"/>
      <c r="AB935" s="282" t="n"/>
      <c r="AC935" s="529" t="n"/>
      <c r="AE935" s="282" t="n"/>
      <c r="AF935" s="282" t="n"/>
      <c r="AI935" s="282" t="n"/>
      <c r="AJ935" s="282" t="n"/>
      <c r="AM935" s="282" t="n"/>
      <c r="AN935" s="282" t="n"/>
      <c r="AQ935" s="282" t="n"/>
      <c r="AR935" s="282" t="n"/>
    </row>
    <row customHeight="1" ht="15.75" r="936" s="452" spans="1:45">
      <c r="A936" s="44" t="n"/>
      <c r="G936" s="282" t="n"/>
      <c r="H936" s="282" t="n"/>
      <c r="K936" s="282" t="n"/>
      <c r="L936" s="282" t="n"/>
      <c r="O936" s="282" t="n"/>
      <c r="P936" s="282" t="n"/>
      <c r="S936" s="282" t="n"/>
      <c r="T936" s="282" t="n"/>
      <c r="W936" s="282" t="n"/>
      <c r="X936" s="282" t="n"/>
      <c r="Y936" s="282" t="n"/>
      <c r="Z936" s="282" t="n"/>
      <c r="AA936" s="282" t="n"/>
      <c r="AB936" s="282" t="n"/>
      <c r="AC936" s="529" t="n"/>
      <c r="AE936" s="282" t="n"/>
      <c r="AF936" s="282" t="n"/>
      <c r="AI936" s="282" t="n"/>
      <c r="AJ936" s="282" t="n"/>
      <c r="AM936" s="282" t="n"/>
      <c r="AN936" s="282" t="n"/>
      <c r="AQ936" s="282" t="n"/>
      <c r="AR936" s="282" t="n"/>
    </row>
    <row customHeight="1" ht="15.75" r="937" s="452" spans="1:45">
      <c r="A937" s="44" t="n"/>
      <c r="G937" s="282" t="n"/>
      <c r="H937" s="282" t="n"/>
      <c r="K937" s="282" t="n"/>
      <c r="L937" s="282" t="n"/>
      <c r="O937" s="282" t="n"/>
      <c r="P937" s="282" t="n"/>
      <c r="S937" s="282" t="n"/>
      <c r="T937" s="282" t="n"/>
      <c r="W937" s="282" t="n"/>
      <c r="X937" s="282" t="n"/>
      <c r="Y937" s="282" t="n"/>
      <c r="Z937" s="282" t="n"/>
      <c r="AA937" s="282" t="n"/>
      <c r="AB937" s="282" t="n"/>
      <c r="AC937" s="529" t="n"/>
      <c r="AE937" s="282" t="n"/>
      <c r="AF937" s="282" t="n"/>
      <c r="AI937" s="282" t="n"/>
      <c r="AJ937" s="282" t="n"/>
      <c r="AM937" s="282" t="n"/>
      <c r="AN937" s="282" t="n"/>
      <c r="AQ937" s="282" t="n"/>
      <c r="AR937" s="282" t="n"/>
    </row>
    <row customHeight="1" ht="15.75" r="938" s="452" spans="1:45">
      <c r="A938" s="44" t="n"/>
      <c r="G938" s="282" t="n"/>
      <c r="H938" s="282" t="n"/>
      <c r="K938" s="282" t="n"/>
      <c r="L938" s="282" t="n"/>
      <c r="O938" s="282" t="n"/>
      <c r="P938" s="282" t="n"/>
      <c r="S938" s="282" t="n"/>
      <c r="T938" s="282" t="n"/>
      <c r="W938" s="282" t="n"/>
      <c r="X938" s="282" t="n"/>
      <c r="Y938" s="282" t="n"/>
      <c r="Z938" s="282" t="n"/>
      <c r="AA938" s="282" t="n"/>
      <c r="AB938" s="282" t="n"/>
      <c r="AC938" s="529" t="n"/>
      <c r="AE938" s="282" t="n"/>
      <c r="AF938" s="282" t="n"/>
      <c r="AI938" s="282" t="n"/>
      <c r="AJ938" s="282" t="n"/>
      <c r="AM938" s="282" t="n"/>
      <c r="AN938" s="282" t="n"/>
      <c r="AQ938" s="282" t="n"/>
      <c r="AR938" s="282" t="n"/>
    </row>
    <row customHeight="1" ht="15.75" r="939" s="452" spans="1:45">
      <c r="A939" s="44" t="n"/>
      <c r="G939" s="282" t="n"/>
      <c r="H939" s="282" t="n"/>
      <c r="K939" s="282" t="n"/>
      <c r="L939" s="282" t="n"/>
      <c r="O939" s="282" t="n"/>
      <c r="P939" s="282" t="n"/>
      <c r="S939" s="282" t="n"/>
      <c r="T939" s="282" t="n"/>
      <c r="W939" s="282" t="n"/>
      <c r="X939" s="282" t="n"/>
      <c r="Y939" s="282" t="n"/>
      <c r="Z939" s="282" t="n"/>
      <c r="AA939" s="282" t="n"/>
      <c r="AB939" s="282" t="n"/>
      <c r="AC939" s="529" t="n"/>
      <c r="AE939" s="282" t="n"/>
      <c r="AF939" s="282" t="n"/>
      <c r="AI939" s="282" t="n"/>
      <c r="AJ939" s="282" t="n"/>
      <c r="AM939" s="282" t="n"/>
      <c r="AN939" s="282" t="n"/>
      <c r="AQ939" s="282" t="n"/>
      <c r="AR939" s="282" t="n"/>
    </row>
    <row customHeight="1" ht="15.75" r="940" s="452" spans="1:45">
      <c r="A940" s="44" t="n"/>
      <c r="G940" s="282" t="n"/>
      <c r="H940" s="282" t="n"/>
      <c r="K940" s="282" t="n"/>
      <c r="L940" s="282" t="n"/>
      <c r="O940" s="282" t="n"/>
      <c r="P940" s="282" t="n"/>
      <c r="S940" s="282" t="n"/>
      <c r="T940" s="282" t="n"/>
      <c r="W940" s="282" t="n"/>
      <c r="X940" s="282" t="n"/>
      <c r="Y940" s="282" t="n"/>
      <c r="Z940" s="282" t="n"/>
      <c r="AA940" s="282" t="n"/>
      <c r="AB940" s="282" t="n"/>
      <c r="AC940" s="529" t="n"/>
      <c r="AE940" s="282" t="n"/>
      <c r="AF940" s="282" t="n"/>
      <c r="AI940" s="282" t="n"/>
      <c r="AJ940" s="282" t="n"/>
      <c r="AM940" s="282" t="n"/>
      <c r="AN940" s="282" t="n"/>
      <c r="AQ940" s="282" t="n"/>
      <c r="AR940" s="282" t="n"/>
    </row>
    <row customHeight="1" ht="15.75" r="941" s="452" spans="1:45">
      <c r="A941" s="44" t="n"/>
      <c r="G941" s="282" t="n"/>
      <c r="H941" s="282" t="n"/>
      <c r="K941" s="282" t="n"/>
      <c r="L941" s="282" t="n"/>
      <c r="O941" s="282" t="n"/>
      <c r="P941" s="282" t="n"/>
      <c r="S941" s="282" t="n"/>
      <c r="T941" s="282" t="n"/>
      <c r="W941" s="282" t="n"/>
      <c r="X941" s="282" t="n"/>
      <c r="Y941" s="282" t="n"/>
      <c r="Z941" s="282" t="n"/>
      <c r="AA941" s="282" t="n"/>
      <c r="AB941" s="282" t="n"/>
      <c r="AC941" s="529" t="n"/>
      <c r="AE941" s="282" t="n"/>
      <c r="AF941" s="282" t="n"/>
      <c r="AI941" s="282" t="n"/>
      <c r="AJ941" s="282" t="n"/>
      <c r="AM941" s="282" t="n"/>
      <c r="AN941" s="282" t="n"/>
      <c r="AQ941" s="282" t="n"/>
      <c r="AR941" s="282" t="n"/>
    </row>
    <row customHeight="1" ht="15.75" r="942" s="452" spans="1:45">
      <c r="A942" s="44" t="n"/>
      <c r="G942" s="282" t="n"/>
      <c r="H942" s="282" t="n"/>
      <c r="K942" s="282" t="n"/>
      <c r="L942" s="282" t="n"/>
      <c r="O942" s="282" t="n"/>
      <c r="P942" s="282" t="n"/>
      <c r="S942" s="282" t="n"/>
      <c r="T942" s="282" t="n"/>
      <c r="W942" s="282" t="n"/>
      <c r="X942" s="282" t="n"/>
      <c r="Y942" s="282" t="n"/>
      <c r="Z942" s="282" t="n"/>
      <c r="AA942" s="282" t="n"/>
      <c r="AB942" s="282" t="n"/>
      <c r="AC942" s="529" t="n"/>
      <c r="AE942" s="282" t="n"/>
      <c r="AF942" s="282" t="n"/>
      <c r="AI942" s="282" t="n"/>
      <c r="AJ942" s="282" t="n"/>
      <c r="AM942" s="282" t="n"/>
      <c r="AN942" s="282" t="n"/>
      <c r="AQ942" s="282" t="n"/>
      <c r="AR942" s="282" t="n"/>
    </row>
    <row customHeight="1" ht="15.75" r="943" s="452" spans="1:45">
      <c r="A943" s="44" t="n"/>
      <c r="G943" s="282" t="n"/>
      <c r="H943" s="282" t="n"/>
      <c r="K943" s="282" t="n"/>
      <c r="L943" s="282" t="n"/>
      <c r="O943" s="282" t="n"/>
      <c r="P943" s="282" t="n"/>
      <c r="S943" s="282" t="n"/>
      <c r="T943" s="282" t="n"/>
      <c r="W943" s="282" t="n"/>
      <c r="X943" s="282" t="n"/>
      <c r="Y943" s="282" t="n"/>
      <c r="Z943" s="282" t="n"/>
      <c r="AA943" s="282" t="n"/>
      <c r="AB943" s="282" t="n"/>
      <c r="AC943" s="529" t="n"/>
      <c r="AE943" s="282" t="n"/>
      <c r="AF943" s="282" t="n"/>
      <c r="AI943" s="282" t="n"/>
      <c r="AJ943" s="282" t="n"/>
      <c r="AM943" s="282" t="n"/>
      <c r="AN943" s="282" t="n"/>
      <c r="AQ943" s="282" t="n"/>
      <c r="AR943" s="282" t="n"/>
    </row>
    <row customHeight="1" ht="15.75" r="944" s="452" spans="1:45">
      <c r="A944" s="44" t="n"/>
      <c r="G944" s="282" t="n"/>
      <c r="H944" s="282" t="n"/>
      <c r="K944" s="282" t="n"/>
      <c r="L944" s="282" t="n"/>
      <c r="O944" s="282" t="n"/>
      <c r="P944" s="282" t="n"/>
      <c r="S944" s="282" t="n"/>
      <c r="T944" s="282" t="n"/>
      <c r="W944" s="282" t="n"/>
      <c r="X944" s="282" t="n"/>
      <c r="Y944" s="282" t="n"/>
      <c r="Z944" s="282" t="n"/>
      <c r="AA944" s="282" t="n"/>
      <c r="AB944" s="282" t="n"/>
      <c r="AC944" s="529" t="n"/>
      <c r="AE944" s="282" t="n"/>
      <c r="AF944" s="282" t="n"/>
      <c r="AI944" s="282" t="n"/>
      <c r="AJ944" s="282" t="n"/>
      <c r="AM944" s="282" t="n"/>
      <c r="AN944" s="282" t="n"/>
      <c r="AQ944" s="282" t="n"/>
      <c r="AR944" s="282" t="n"/>
    </row>
    <row customHeight="1" ht="15.75" r="945" s="452" spans="1:45">
      <c r="A945" s="44" t="n"/>
      <c r="G945" s="282" t="n"/>
      <c r="H945" s="282" t="n"/>
      <c r="K945" s="282" t="n"/>
      <c r="L945" s="282" t="n"/>
      <c r="O945" s="282" t="n"/>
      <c r="P945" s="282" t="n"/>
      <c r="S945" s="282" t="n"/>
      <c r="T945" s="282" t="n"/>
      <c r="W945" s="282" t="n"/>
      <c r="X945" s="282" t="n"/>
      <c r="Y945" s="282" t="n"/>
      <c r="Z945" s="282" t="n"/>
      <c r="AA945" s="282" t="n"/>
      <c r="AB945" s="282" t="n"/>
      <c r="AC945" s="529" t="n"/>
      <c r="AE945" s="282" t="n"/>
      <c r="AF945" s="282" t="n"/>
      <c r="AI945" s="282" t="n"/>
      <c r="AJ945" s="282" t="n"/>
      <c r="AM945" s="282" t="n"/>
      <c r="AN945" s="282" t="n"/>
      <c r="AQ945" s="282" t="n"/>
      <c r="AR945" s="282" t="n"/>
    </row>
    <row customHeight="1" ht="15.75" r="946" s="452" spans="1:45">
      <c r="A946" s="44" t="n"/>
      <c r="G946" s="282" t="n"/>
      <c r="H946" s="282" t="n"/>
      <c r="K946" s="282" t="n"/>
      <c r="L946" s="282" t="n"/>
      <c r="O946" s="282" t="n"/>
      <c r="P946" s="282" t="n"/>
      <c r="S946" s="282" t="n"/>
      <c r="T946" s="282" t="n"/>
      <c r="W946" s="282" t="n"/>
      <c r="X946" s="282" t="n"/>
      <c r="Y946" s="282" t="n"/>
      <c r="Z946" s="282" t="n"/>
      <c r="AA946" s="282" t="n"/>
      <c r="AB946" s="282" t="n"/>
      <c r="AC946" s="529" t="n"/>
      <c r="AE946" s="282" t="n"/>
      <c r="AF946" s="282" t="n"/>
      <c r="AI946" s="282" t="n"/>
      <c r="AJ946" s="282" t="n"/>
      <c r="AM946" s="282" t="n"/>
      <c r="AN946" s="282" t="n"/>
      <c r="AQ946" s="282" t="n"/>
      <c r="AR946" s="282" t="n"/>
    </row>
    <row customHeight="1" ht="15.75" r="947" s="452" spans="1:45">
      <c r="A947" s="44" t="n"/>
      <c r="G947" s="282" t="n"/>
      <c r="H947" s="282" t="n"/>
      <c r="K947" s="282" t="n"/>
      <c r="L947" s="282" t="n"/>
      <c r="O947" s="282" t="n"/>
      <c r="P947" s="282" t="n"/>
      <c r="S947" s="282" t="n"/>
      <c r="T947" s="282" t="n"/>
      <c r="W947" s="282" t="n"/>
      <c r="X947" s="282" t="n"/>
      <c r="Y947" s="282" t="n"/>
      <c r="Z947" s="282" t="n"/>
      <c r="AA947" s="282" t="n"/>
      <c r="AB947" s="282" t="n"/>
      <c r="AC947" s="529" t="n"/>
      <c r="AE947" s="282" t="n"/>
      <c r="AF947" s="282" t="n"/>
      <c r="AI947" s="282" t="n"/>
      <c r="AJ947" s="282" t="n"/>
      <c r="AM947" s="282" t="n"/>
      <c r="AN947" s="282" t="n"/>
      <c r="AQ947" s="282" t="n"/>
      <c r="AR947" s="282" t="n"/>
    </row>
    <row customHeight="1" ht="15.75" r="948" s="452" spans="1:45">
      <c r="A948" s="44" t="n"/>
      <c r="G948" s="282" t="n"/>
      <c r="H948" s="282" t="n"/>
      <c r="K948" s="282" t="n"/>
      <c r="L948" s="282" t="n"/>
      <c r="O948" s="282" t="n"/>
      <c r="P948" s="282" t="n"/>
      <c r="S948" s="282" t="n"/>
      <c r="T948" s="282" t="n"/>
      <c r="W948" s="282" t="n"/>
      <c r="X948" s="282" t="n"/>
      <c r="Y948" s="282" t="n"/>
      <c r="Z948" s="282" t="n"/>
      <c r="AA948" s="282" t="n"/>
      <c r="AB948" s="282" t="n"/>
      <c r="AC948" s="529" t="n"/>
      <c r="AE948" s="282" t="n"/>
      <c r="AF948" s="282" t="n"/>
      <c r="AI948" s="282" t="n"/>
      <c r="AJ948" s="282" t="n"/>
      <c r="AM948" s="282" t="n"/>
      <c r="AN948" s="282" t="n"/>
      <c r="AQ948" s="282" t="n"/>
      <c r="AR948" s="282" t="n"/>
    </row>
    <row customHeight="1" ht="15.75" r="949" s="452" spans="1:45">
      <c r="A949" s="44" t="n"/>
      <c r="G949" s="282" t="n"/>
      <c r="H949" s="282" t="n"/>
      <c r="K949" s="282" t="n"/>
      <c r="L949" s="282" t="n"/>
      <c r="O949" s="282" t="n"/>
      <c r="P949" s="282" t="n"/>
      <c r="S949" s="282" t="n"/>
      <c r="T949" s="282" t="n"/>
      <c r="W949" s="282" t="n"/>
      <c r="X949" s="282" t="n"/>
      <c r="Y949" s="282" t="n"/>
      <c r="Z949" s="282" t="n"/>
      <c r="AA949" s="282" t="n"/>
      <c r="AB949" s="282" t="n"/>
      <c r="AC949" s="529" t="n"/>
      <c r="AE949" s="282" t="n"/>
      <c r="AF949" s="282" t="n"/>
      <c r="AI949" s="282" t="n"/>
      <c r="AJ949" s="282" t="n"/>
      <c r="AM949" s="282" t="n"/>
      <c r="AN949" s="282" t="n"/>
      <c r="AQ949" s="282" t="n"/>
      <c r="AR949" s="282" t="n"/>
    </row>
    <row customHeight="1" ht="15.75" r="950" s="452" spans="1:45">
      <c r="A950" s="44" t="n"/>
      <c r="G950" s="282" t="n"/>
      <c r="H950" s="282" t="n"/>
      <c r="K950" s="282" t="n"/>
      <c r="L950" s="282" t="n"/>
      <c r="O950" s="282" t="n"/>
      <c r="P950" s="282" t="n"/>
      <c r="S950" s="282" t="n"/>
      <c r="T950" s="282" t="n"/>
      <c r="W950" s="282" t="n"/>
      <c r="X950" s="282" t="n"/>
      <c r="Y950" s="282" t="n"/>
      <c r="Z950" s="282" t="n"/>
      <c r="AA950" s="282" t="n"/>
      <c r="AB950" s="282" t="n"/>
      <c r="AC950" s="529" t="n"/>
      <c r="AE950" s="282" t="n"/>
      <c r="AF950" s="282" t="n"/>
      <c r="AI950" s="282" t="n"/>
      <c r="AJ950" s="282" t="n"/>
      <c r="AM950" s="282" t="n"/>
      <c r="AN950" s="282" t="n"/>
      <c r="AQ950" s="282" t="n"/>
      <c r="AR950" s="282" t="n"/>
    </row>
    <row customHeight="1" ht="15.75" r="951" s="452" spans="1:45">
      <c r="A951" s="44" t="n"/>
      <c r="G951" s="282" t="n"/>
      <c r="H951" s="282" t="n"/>
      <c r="K951" s="282" t="n"/>
      <c r="L951" s="282" t="n"/>
      <c r="O951" s="282" t="n"/>
      <c r="P951" s="282" t="n"/>
      <c r="S951" s="282" t="n"/>
      <c r="T951" s="282" t="n"/>
      <c r="W951" s="282" t="n"/>
      <c r="X951" s="282" t="n"/>
      <c r="Y951" s="282" t="n"/>
      <c r="Z951" s="282" t="n"/>
      <c r="AA951" s="282" t="n"/>
      <c r="AB951" s="282" t="n"/>
      <c r="AC951" s="529" t="n"/>
      <c r="AE951" s="282" t="n"/>
      <c r="AF951" s="282" t="n"/>
      <c r="AI951" s="282" t="n"/>
      <c r="AJ951" s="282" t="n"/>
      <c r="AM951" s="282" t="n"/>
      <c r="AN951" s="282" t="n"/>
      <c r="AQ951" s="282" t="n"/>
      <c r="AR951" s="282" t="n"/>
    </row>
    <row customHeight="1" ht="15.75" r="952" s="452" spans="1:45">
      <c r="A952" s="44" t="n"/>
      <c r="G952" s="282" t="n"/>
      <c r="H952" s="282" t="n"/>
      <c r="K952" s="282" t="n"/>
      <c r="L952" s="282" t="n"/>
      <c r="O952" s="282" t="n"/>
      <c r="P952" s="282" t="n"/>
      <c r="S952" s="282" t="n"/>
      <c r="T952" s="282" t="n"/>
      <c r="W952" s="282" t="n"/>
      <c r="X952" s="282" t="n"/>
      <c r="Y952" s="282" t="n"/>
      <c r="Z952" s="282" t="n"/>
      <c r="AA952" s="282" t="n"/>
      <c r="AB952" s="282" t="n"/>
      <c r="AC952" s="529" t="n"/>
      <c r="AE952" s="282" t="n"/>
      <c r="AF952" s="282" t="n"/>
      <c r="AI952" s="282" t="n"/>
      <c r="AJ952" s="282" t="n"/>
      <c r="AM952" s="282" t="n"/>
      <c r="AN952" s="282" t="n"/>
      <c r="AQ952" s="282" t="n"/>
      <c r="AR952" s="282" t="n"/>
    </row>
    <row customHeight="1" ht="15.75" r="953" s="452" spans="1:45">
      <c r="A953" s="44" t="n"/>
      <c r="G953" s="282" t="n"/>
      <c r="H953" s="282" t="n"/>
      <c r="K953" s="282" t="n"/>
      <c r="L953" s="282" t="n"/>
      <c r="O953" s="282" t="n"/>
      <c r="P953" s="282" t="n"/>
      <c r="S953" s="282" t="n"/>
      <c r="T953" s="282" t="n"/>
      <c r="W953" s="282" t="n"/>
      <c r="X953" s="282" t="n"/>
      <c r="Y953" s="282" t="n"/>
      <c r="Z953" s="282" t="n"/>
      <c r="AA953" s="282" t="n"/>
      <c r="AB953" s="282" t="n"/>
      <c r="AC953" s="529" t="n"/>
      <c r="AE953" s="282" t="n"/>
      <c r="AF953" s="282" t="n"/>
      <c r="AI953" s="282" t="n"/>
      <c r="AJ953" s="282" t="n"/>
      <c r="AM953" s="282" t="n"/>
      <c r="AN953" s="282" t="n"/>
      <c r="AQ953" s="282" t="n"/>
      <c r="AR953" s="282" t="n"/>
    </row>
    <row customHeight="1" ht="15.75" r="954" s="452" spans="1:45">
      <c r="A954" s="44" t="n"/>
      <c r="G954" s="282" t="n"/>
      <c r="H954" s="282" t="n"/>
      <c r="K954" s="282" t="n"/>
      <c r="L954" s="282" t="n"/>
      <c r="O954" s="282" t="n"/>
      <c r="P954" s="282" t="n"/>
      <c r="S954" s="282" t="n"/>
      <c r="T954" s="282" t="n"/>
      <c r="W954" s="282" t="n"/>
      <c r="X954" s="282" t="n"/>
      <c r="Y954" s="282" t="n"/>
      <c r="Z954" s="282" t="n"/>
      <c r="AA954" s="282" t="n"/>
      <c r="AB954" s="282" t="n"/>
      <c r="AC954" s="529" t="n"/>
      <c r="AE954" s="282" t="n"/>
      <c r="AF954" s="282" t="n"/>
      <c r="AI954" s="282" t="n"/>
      <c r="AJ954" s="282" t="n"/>
      <c r="AM954" s="282" t="n"/>
      <c r="AN954" s="282" t="n"/>
      <c r="AQ954" s="282" t="n"/>
      <c r="AR954" s="282" t="n"/>
    </row>
    <row customHeight="1" ht="15.75" r="955" s="452" spans="1:45">
      <c r="A955" s="44" t="n"/>
      <c r="G955" s="282" t="n"/>
      <c r="H955" s="282" t="n"/>
      <c r="K955" s="282" t="n"/>
      <c r="L955" s="282" t="n"/>
      <c r="O955" s="282" t="n"/>
      <c r="P955" s="282" t="n"/>
      <c r="S955" s="282" t="n"/>
      <c r="T955" s="282" t="n"/>
      <c r="W955" s="282" t="n"/>
      <c r="X955" s="282" t="n"/>
      <c r="Y955" s="282" t="n"/>
      <c r="Z955" s="282" t="n"/>
      <c r="AA955" s="282" t="n"/>
      <c r="AB955" s="282" t="n"/>
      <c r="AC955" s="529" t="n"/>
      <c r="AE955" s="282" t="n"/>
      <c r="AF955" s="282" t="n"/>
      <c r="AI955" s="282" t="n"/>
      <c r="AJ955" s="282" t="n"/>
      <c r="AM955" s="282" t="n"/>
      <c r="AN955" s="282" t="n"/>
      <c r="AQ955" s="282" t="n"/>
      <c r="AR955" s="282" t="n"/>
    </row>
    <row customHeight="1" ht="15.75" r="956" s="452" spans="1:45">
      <c r="A956" s="44" t="n"/>
      <c r="G956" s="282" t="n"/>
      <c r="H956" s="282" t="n"/>
      <c r="K956" s="282" t="n"/>
      <c r="L956" s="282" t="n"/>
      <c r="O956" s="282" t="n"/>
      <c r="P956" s="282" t="n"/>
      <c r="S956" s="282" t="n"/>
      <c r="T956" s="282" t="n"/>
      <c r="W956" s="282" t="n"/>
      <c r="X956" s="282" t="n"/>
      <c r="Y956" s="282" t="n"/>
      <c r="Z956" s="282" t="n"/>
      <c r="AA956" s="282" t="n"/>
      <c r="AB956" s="282" t="n"/>
      <c r="AC956" s="529" t="n"/>
      <c r="AE956" s="282" t="n"/>
      <c r="AF956" s="282" t="n"/>
      <c r="AI956" s="282" t="n"/>
      <c r="AJ956" s="282" t="n"/>
      <c r="AM956" s="282" t="n"/>
      <c r="AN956" s="282" t="n"/>
      <c r="AQ956" s="282" t="n"/>
      <c r="AR956" s="282" t="n"/>
    </row>
    <row customHeight="1" ht="15.75" r="957" s="452" spans="1:45">
      <c r="A957" s="44" t="n"/>
      <c r="G957" s="282" t="n"/>
      <c r="H957" s="282" t="n"/>
      <c r="K957" s="282" t="n"/>
      <c r="L957" s="282" t="n"/>
      <c r="O957" s="282" t="n"/>
      <c r="P957" s="282" t="n"/>
      <c r="S957" s="282" t="n"/>
      <c r="T957" s="282" t="n"/>
      <c r="W957" s="282" t="n"/>
      <c r="X957" s="282" t="n"/>
      <c r="Y957" s="282" t="n"/>
      <c r="Z957" s="282" t="n"/>
      <c r="AA957" s="282" t="n"/>
      <c r="AB957" s="282" t="n"/>
      <c r="AC957" s="529" t="n"/>
      <c r="AE957" s="282" t="n"/>
      <c r="AF957" s="282" t="n"/>
      <c r="AI957" s="282" t="n"/>
      <c r="AJ957" s="282" t="n"/>
      <c r="AM957" s="282" t="n"/>
      <c r="AN957" s="282" t="n"/>
      <c r="AQ957" s="282" t="n"/>
      <c r="AR957" s="282" t="n"/>
    </row>
    <row customHeight="1" ht="15.75" r="958" s="452" spans="1:45">
      <c r="A958" s="44" t="n"/>
      <c r="G958" s="282" t="n"/>
      <c r="H958" s="282" t="n"/>
      <c r="K958" s="282" t="n"/>
      <c r="L958" s="282" t="n"/>
      <c r="O958" s="282" t="n"/>
      <c r="P958" s="282" t="n"/>
      <c r="S958" s="282" t="n"/>
      <c r="T958" s="282" t="n"/>
      <c r="W958" s="282" t="n"/>
      <c r="X958" s="282" t="n"/>
      <c r="Y958" s="282" t="n"/>
      <c r="Z958" s="282" t="n"/>
      <c r="AA958" s="282" t="n"/>
      <c r="AB958" s="282" t="n"/>
      <c r="AC958" s="529" t="n"/>
      <c r="AE958" s="282" t="n"/>
      <c r="AF958" s="282" t="n"/>
      <c r="AI958" s="282" t="n"/>
      <c r="AJ958" s="282" t="n"/>
      <c r="AM958" s="282" t="n"/>
      <c r="AN958" s="282" t="n"/>
      <c r="AQ958" s="282" t="n"/>
      <c r="AR958" s="282" t="n"/>
    </row>
    <row customHeight="1" ht="15.75" r="959" s="452" spans="1:45">
      <c r="A959" s="44" t="n"/>
      <c r="G959" s="282" t="n"/>
      <c r="H959" s="282" t="n"/>
      <c r="K959" s="282" t="n"/>
      <c r="L959" s="282" t="n"/>
      <c r="O959" s="282" t="n"/>
      <c r="P959" s="282" t="n"/>
      <c r="S959" s="282" t="n"/>
      <c r="T959" s="282" t="n"/>
      <c r="W959" s="282" t="n"/>
      <c r="X959" s="282" t="n"/>
      <c r="Y959" s="282" t="n"/>
      <c r="Z959" s="282" t="n"/>
      <c r="AA959" s="282" t="n"/>
      <c r="AB959" s="282" t="n"/>
      <c r="AC959" s="529" t="n"/>
      <c r="AE959" s="282" t="n"/>
      <c r="AF959" s="282" t="n"/>
      <c r="AI959" s="282" t="n"/>
      <c r="AJ959" s="282" t="n"/>
      <c r="AM959" s="282" t="n"/>
      <c r="AN959" s="282" t="n"/>
      <c r="AQ959" s="282" t="n"/>
      <c r="AR959" s="282" t="n"/>
    </row>
    <row customHeight="1" ht="15.75" r="960" s="452" spans="1:45">
      <c r="A960" s="44" t="n"/>
      <c r="G960" s="282" t="n"/>
      <c r="H960" s="282" t="n"/>
      <c r="K960" s="282" t="n"/>
      <c r="L960" s="282" t="n"/>
      <c r="O960" s="282" t="n"/>
      <c r="P960" s="282" t="n"/>
      <c r="S960" s="282" t="n"/>
      <c r="T960" s="282" t="n"/>
      <c r="W960" s="282" t="n"/>
      <c r="X960" s="282" t="n"/>
      <c r="Y960" s="282" t="n"/>
      <c r="Z960" s="282" t="n"/>
      <c r="AA960" s="282" t="n"/>
      <c r="AB960" s="282" t="n"/>
      <c r="AC960" s="529" t="n"/>
      <c r="AE960" s="282" t="n"/>
      <c r="AF960" s="282" t="n"/>
      <c r="AI960" s="282" t="n"/>
      <c r="AJ960" s="282" t="n"/>
      <c r="AM960" s="282" t="n"/>
      <c r="AN960" s="282" t="n"/>
      <c r="AQ960" s="282" t="n"/>
      <c r="AR960" s="282" t="n"/>
    </row>
    <row customHeight="1" ht="15.75" r="961" s="452" spans="1:45">
      <c r="A961" s="44" t="n"/>
      <c r="G961" s="282" t="n"/>
      <c r="H961" s="282" t="n"/>
      <c r="K961" s="282" t="n"/>
      <c r="L961" s="282" t="n"/>
      <c r="O961" s="282" t="n"/>
      <c r="P961" s="282" t="n"/>
      <c r="S961" s="282" t="n"/>
      <c r="T961" s="282" t="n"/>
      <c r="W961" s="282" t="n"/>
      <c r="X961" s="282" t="n"/>
      <c r="Y961" s="282" t="n"/>
      <c r="Z961" s="282" t="n"/>
      <c r="AA961" s="282" t="n"/>
      <c r="AB961" s="282" t="n"/>
      <c r="AC961" s="529" t="n"/>
      <c r="AE961" s="282" t="n"/>
      <c r="AF961" s="282" t="n"/>
      <c r="AI961" s="282" t="n"/>
      <c r="AJ961" s="282" t="n"/>
      <c r="AM961" s="282" t="n"/>
      <c r="AN961" s="282" t="n"/>
      <c r="AQ961" s="282" t="n"/>
      <c r="AR961" s="282" t="n"/>
    </row>
    <row customHeight="1" ht="15.75" r="962" s="452" spans="1:45">
      <c r="A962" s="44" t="n"/>
      <c r="G962" s="282" t="n"/>
      <c r="H962" s="282" t="n"/>
      <c r="K962" s="282" t="n"/>
      <c r="L962" s="282" t="n"/>
      <c r="O962" s="282" t="n"/>
      <c r="P962" s="282" t="n"/>
      <c r="S962" s="282" t="n"/>
      <c r="T962" s="282" t="n"/>
      <c r="W962" s="282" t="n"/>
      <c r="X962" s="282" t="n"/>
      <c r="Y962" s="282" t="n"/>
      <c r="Z962" s="282" t="n"/>
      <c r="AA962" s="282" t="n"/>
      <c r="AB962" s="282" t="n"/>
      <c r="AC962" s="529" t="n"/>
      <c r="AE962" s="282" t="n"/>
      <c r="AF962" s="282" t="n"/>
      <c r="AI962" s="282" t="n"/>
      <c r="AJ962" s="282" t="n"/>
      <c r="AM962" s="282" t="n"/>
      <c r="AN962" s="282" t="n"/>
      <c r="AQ962" s="282" t="n"/>
      <c r="AR962" s="282" t="n"/>
    </row>
    <row customHeight="1" ht="15.75" r="963" s="452" spans="1:45">
      <c r="A963" s="44" t="n"/>
      <c r="G963" s="282" t="n"/>
      <c r="H963" s="282" t="n"/>
      <c r="K963" s="282" t="n"/>
      <c r="L963" s="282" t="n"/>
      <c r="O963" s="282" t="n"/>
      <c r="P963" s="282" t="n"/>
      <c r="S963" s="282" t="n"/>
      <c r="T963" s="282" t="n"/>
      <c r="W963" s="282" t="n"/>
      <c r="X963" s="282" t="n"/>
      <c r="Y963" s="282" t="n"/>
      <c r="Z963" s="282" t="n"/>
      <c r="AA963" s="282" t="n"/>
      <c r="AB963" s="282" t="n"/>
      <c r="AC963" s="529" t="n"/>
      <c r="AE963" s="282" t="n"/>
      <c r="AF963" s="282" t="n"/>
      <c r="AI963" s="282" t="n"/>
      <c r="AJ963" s="282" t="n"/>
      <c r="AM963" s="282" t="n"/>
      <c r="AN963" s="282" t="n"/>
      <c r="AQ963" s="282" t="n"/>
      <c r="AR963" s="282" t="n"/>
    </row>
    <row customHeight="1" ht="15.75" r="964" s="452" spans="1:45">
      <c r="A964" s="44" t="n"/>
      <c r="G964" s="282" t="n"/>
      <c r="H964" s="282" t="n"/>
      <c r="K964" s="282" t="n"/>
      <c r="L964" s="282" t="n"/>
      <c r="O964" s="282" t="n"/>
      <c r="P964" s="282" t="n"/>
      <c r="S964" s="282" t="n"/>
      <c r="T964" s="282" t="n"/>
      <c r="W964" s="282" t="n"/>
      <c r="X964" s="282" t="n"/>
      <c r="Y964" s="282" t="n"/>
      <c r="Z964" s="282" t="n"/>
      <c r="AA964" s="282" t="n"/>
      <c r="AB964" s="282" t="n"/>
      <c r="AC964" s="529" t="n"/>
      <c r="AE964" s="282" t="n"/>
      <c r="AF964" s="282" t="n"/>
      <c r="AI964" s="282" t="n"/>
      <c r="AJ964" s="282" t="n"/>
      <c r="AM964" s="282" t="n"/>
      <c r="AN964" s="282" t="n"/>
      <c r="AQ964" s="282" t="n"/>
      <c r="AR964" s="282" t="n"/>
    </row>
    <row customHeight="1" ht="15.75" r="965" s="452" spans="1:45">
      <c r="A965" s="44" t="n"/>
      <c r="G965" s="282" t="n"/>
      <c r="H965" s="282" t="n"/>
      <c r="K965" s="282" t="n"/>
      <c r="L965" s="282" t="n"/>
      <c r="O965" s="282" t="n"/>
      <c r="P965" s="282" t="n"/>
      <c r="S965" s="282" t="n"/>
      <c r="T965" s="282" t="n"/>
      <c r="W965" s="282" t="n"/>
      <c r="X965" s="282" t="n"/>
      <c r="Y965" s="282" t="n"/>
      <c r="Z965" s="282" t="n"/>
      <c r="AA965" s="282" t="n"/>
      <c r="AB965" s="282" t="n"/>
      <c r="AC965" s="529" t="n"/>
      <c r="AE965" s="282" t="n"/>
      <c r="AF965" s="282" t="n"/>
      <c r="AI965" s="282" t="n"/>
      <c r="AJ965" s="282" t="n"/>
      <c r="AM965" s="282" t="n"/>
      <c r="AN965" s="282" t="n"/>
      <c r="AQ965" s="282" t="n"/>
      <c r="AR965" s="282" t="n"/>
    </row>
    <row customHeight="1" ht="15.75" r="966" s="452" spans="1:45">
      <c r="A966" s="44" t="n"/>
      <c r="G966" s="282" t="n"/>
      <c r="H966" s="282" t="n"/>
      <c r="K966" s="282" t="n"/>
      <c r="L966" s="282" t="n"/>
      <c r="O966" s="282" t="n"/>
      <c r="P966" s="282" t="n"/>
      <c r="S966" s="282" t="n"/>
      <c r="T966" s="282" t="n"/>
      <c r="W966" s="282" t="n"/>
      <c r="X966" s="282" t="n"/>
      <c r="Y966" s="282" t="n"/>
      <c r="Z966" s="282" t="n"/>
      <c r="AA966" s="282" t="n"/>
      <c r="AB966" s="282" t="n"/>
      <c r="AC966" s="529" t="n"/>
      <c r="AE966" s="282" t="n"/>
      <c r="AF966" s="282" t="n"/>
      <c r="AI966" s="282" t="n"/>
      <c r="AJ966" s="282" t="n"/>
      <c r="AM966" s="282" t="n"/>
      <c r="AN966" s="282" t="n"/>
      <c r="AQ966" s="282" t="n"/>
      <c r="AR966" s="282" t="n"/>
    </row>
    <row customHeight="1" ht="15.75" r="967" s="452" spans="1:45">
      <c r="A967" s="44" t="n"/>
      <c r="G967" s="282" t="n"/>
      <c r="H967" s="282" t="n"/>
      <c r="K967" s="282" t="n"/>
      <c r="L967" s="282" t="n"/>
      <c r="O967" s="282" t="n"/>
      <c r="P967" s="282" t="n"/>
      <c r="S967" s="282" t="n"/>
      <c r="T967" s="282" t="n"/>
      <c r="W967" s="282" t="n"/>
      <c r="X967" s="282" t="n"/>
      <c r="Y967" s="282" t="n"/>
      <c r="Z967" s="282" t="n"/>
      <c r="AA967" s="282" t="n"/>
      <c r="AB967" s="282" t="n"/>
      <c r="AC967" s="529" t="n"/>
      <c r="AE967" s="282" t="n"/>
      <c r="AF967" s="282" t="n"/>
      <c r="AI967" s="282" t="n"/>
      <c r="AJ967" s="282" t="n"/>
      <c r="AM967" s="282" t="n"/>
      <c r="AN967" s="282" t="n"/>
      <c r="AQ967" s="282" t="n"/>
      <c r="AR967" s="282" t="n"/>
    </row>
    <row customHeight="1" ht="15.75" r="968" s="452" spans="1:45">
      <c r="A968" s="44" t="n"/>
      <c r="G968" s="282" t="n"/>
      <c r="H968" s="282" t="n"/>
      <c r="K968" s="282" t="n"/>
      <c r="L968" s="282" t="n"/>
      <c r="O968" s="282" t="n"/>
      <c r="P968" s="282" t="n"/>
      <c r="S968" s="282" t="n"/>
      <c r="T968" s="282" t="n"/>
      <c r="W968" s="282" t="n"/>
      <c r="X968" s="282" t="n"/>
      <c r="Y968" s="282" t="n"/>
      <c r="Z968" s="282" t="n"/>
      <c r="AA968" s="282" t="n"/>
      <c r="AB968" s="282" t="n"/>
      <c r="AC968" s="529" t="n"/>
      <c r="AE968" s="282" t="n"/>
      <c r="AF968" s="282" t="n"/>
      <c r="AI968" s="282" t="n"/>
      <c r="AJ968" s="282" t="n"/>
      <c r="AM968" s="282" t="n"/>
      <c r="AN968" s="282" t="n"/>
      <c r="AQ968" s="282" t="n"/>
      <c r="AR968" s="282" t="n"/>
    </row>
    <row customHeight="1" ht="15.75" r="969" s="452" spans="1:45">
      <c r="A969" s="44" t="n"/>
      <c r="G969" s="282" t="n"/>
      <c r="H969" s="282" t="n"/>
      <c r="K969" s="282" t="n"/>
      <c r="L969" s="282" t="n"/>
      <c r="O969" s="282" t="n"/>
      <c r="P969" s="282" t="n"/>
      <c r="S969" s="282" t="n"/>
      <c r="T969" s="282" t="n"/>
      <c r="W969" s="282" t="n"/>
      <c r="X969" s="282" t="n"/>
      <c r="Y969" s="282" t="n"/>
      <c r="Z969" s="282" t="n"/>
      <c r="AA969" s="282" t="n"/>
      <c r="AB969" s="282" t="n"/>
      <c r="AC969" s="529" t="n"/>
      <c r="AE969" s="282" t="n"/>
      <c r="AF969" s="282" t="n"/>
      <c r="AI969" s="282" t="n"/>
      <c r="AJ969" s="282" t="n"/>
      <c r="AM969" s="282" t="n"/>
      <c r="AN969" s="282" t="n"/>
      <c r="AQ969" s="282" t="n"/>
      <c r="AR969" s="282" t="n"/>
    </row>
    <row customHeight="1" ht="15.75" r="970" s="452" spans="1:45">
      <c r="A970" s="44" t="n"/>
      <c r="G970" s="282" t="n"/>
      <c r="H970" s="282" t="n"/>
      <c r="K970" s="282" t="n"/>
      <c r="L970" s="282" t="n"/>
      <c r="O970" s="282" t="n"/>
      <c r="P970" s="282" t="n"/>
      <c r="S970" s="282" t="n"/>
      <c r="T970" s="282" t="n"/>
      <c r="W970" s="282" t="n"/>
      <c r="X970" s="282" t="n"/>
      <c r="Y970" s="282" t="n"/>
      <c r="Z970" s="282" t="n"/>
      <c r="AA970" s="282" t="n"/>
      <c r="AB970" s="282" t="n"/>
      <c r="AC970" s="529" t="n"/>
      <c r="AE970" s="282" t="n"/>
      <c r="AF970" s="282" t="n"/>
      <c r="AI970" s="282" t="n"/>
      <c r="AJ970" s="282" t="n"/>
      <c r="AM970" s="282" t="n"/>
      <c r="AN970" s="282" t="n"/>
      <c r="AQ970" s="282" t="n"/>
      <c r="AR970" s="282" t="n"/>
    </row>
    <row customHeight="1" ht="15.75" r="971" s="452" spans="1:45">
      <c r="A971" s="44" t="n"/>
      <c r="G971" s="282" t="n"/>
      <c r="H971" s="282" t="n"/>
      <c r="K971" s="282" t="n"/>
      <c r="L971" s="282" t="n"/>
      <c r="O971" s="282" t="n"/>
      <c r="P971" s="282" t="n"/>
      <c r="S971" s="282" t="n"/>
      <c r="T971" s="282" t="n"/>
      <c r="W971" s="282" t="n"/>
      <c r="X971" s="282" t="n"/>
      <c r="Y971" s="282" t="n"/>
      <c r="Z971" s="282" t="n"/>
      <c r="AA971" s="282" t="n"/>
      <c r="AB971" s="282" t="n"/>
      <c r="AC971" s="529" t="n"/>
      <c r="AE971" s="282" t="n"/>
      <c r="AF971" s="282" t="n"/>
      <c r="AI971" s="282" t="n"/>
      <c r="AJ971" s="282" t="n"/>
      <c r="AM971" s="282" t="n"/>
      <c r="AN971" s="282" t="n"/>
      <c r="AQ971" s="282" t="n"/>
      <c r="AR971" s="282" t="n"/>
    </row>
    <row customHeight="1" ht="15.75" r="972" s="452" spans="1:45">
      <c r="A972" s="44" t="n"/>
      <c r="G972" s="282" t="n"/>
      <c r="H972" s="282" t="n"/>
      <c r="K972" s="282" t="n"/>
      <c r="L972" s="282" t="n"/>
      <c r="O972" s="282" t="n"/>
      <c r="P972" s="282" t="n"/>
      <c r="S972" s="282" t="n"/>
      <c r="T972" s="282" t="n"/>
      <c r="W972" s="282" t="n"/>
      <c r="X972" s="282" t="n"/>
      <c r="Y972" s="282" t="n"/>
      <c r="Z972" s="282" t="n"/>
      <c r="AA972" s="282" t="n"/>
      <c r="AB972" s="282" t="n"/>
      <c r="AC972" s="529" t="n"/>
      <c r="AE972" s="282" t="n"/>
      <c r="AF972" s="282" t="n"/>
      <c r="AI972" s="282" t="n"/>
      <c r="AJ972" s="282" t="n"/>
      <c r="AM972" s="282" t="n"/>
      <c r="AN972" s="282" t="n"/>
      <c r="AQ972" s="282" t="n"/>
      <c r="AR972" s="282" t="n"/>
    </row>
    <row customHeight="1" ht="15.75" r="973" s="452" spans="1:45">
      <c r="A973" s="44" t="n"/>
      <c r="G973" s="282" t="n"/>
      <c r="H973" s="282" t="n"/>
      <c r="K973" s="282" t="n"/>
      <c r="L973" s="282" t="n"/>
      <c r="O973" s="282" t="n"/>
      <c r="P973" s="282" t="n"/>
      <c r="S973" s="282" t="n"/>
      <c r="T973" s="282" t="n"/>
      <c r="W973" s="282" t="n"/>
      <c r="X973" s="282" t="n"/>
      <c r="Y973" s="282" t="n"/>
      <c r="Z973" s="282" t="n"/>
      <c r="AA973" s="282" t="n"/>
      <c r="AB973" s="282" t="n"/>
      <c r="AC973" s="529" t="n"/>
      <c r="AE973" s="282" t="n"/>
      <c r="AF973" s="282" t="n"/>
      <c r="AI973" s="282" t="n"/>
      <c r="AJ973" s="282" t="n"/>
      <c r="AM973" s="282" t="n"/>
      <c r="AN973" s="282" t="n"/>
      <c r="AQ973" s="282" t="n"/>
      <c r="AR973" s="282" t="n"/>
    </row>
    <row customHeight="1" ht="15.75" r="974" s="452" spans="1:45">
      <c r="A974" s="44" t="n"/>
      <c r="G974" s="282" t="n"/>
      <c r="H974" s="282" t="n"/>
      <c r="K974" s="282" t="n"/>
      <c r="L974" s="282" t="n"/>
      <c r="O974" s="282" t="n"/>
      <c r="P974" s="282" t="n"/>
      <c r="S974" s="282" t="n"/>
      <c r="T974" s="282" t="n"/>
      <c r="W974" s="282" t="n"/>
      <c r="X974" s="282" t="n"/>
      <c r="Y974" s="282" t="n"/>
      <c r="Z974" s="282" t="n"/>
      <c r="AA974" s="282" t="n"/>
      <c r="AB974" s="282" t="n"/>
      <c r="AC974" s="529" t="n"/>
      <c r="AE974" s="282" t="n"/>
      <c r="AF974" s="282" t="n"/>
      <c r="AI974" s="282" t="n"/>
      <c r="AJ974" s="282" t="n"/>
      <c r="AM974" s="282" t="n"/>
      <c r="AN974" s="282" t="n"/>
      <c r="AQ974" s="282" t="n"/>
      <c r="AR974" s="282" t="n"/>
    </row>
    <row customHeight="1" ht="15.75" r="975" s="452" spans="1:45">
      <c r="A975" s="44" t="n"/>
      <c r="G975" s="282" t="n"/>
      <c r="H975" s="282" t="n"/>
      <c r="K975" s="282" t="n"/>
      <c r="L975" s="282" t="n"/>
      <c r="O975" s="282" t="n"/>
      <c r="P975" s="282" t="n"/>
      <c r="S975" s="282" t="n"/>
      <c r="T975" s="282" t="n"/>
      <c r="W975" s="282" t="n"/>
      <c r="X975" s="282" t="n"/>
      <c r="Y975" s="282" t="n"/>
      <c r="Z975" s="282" t="n"/>
      <c r="AA975" s="282" t="n"/>
      <c r="AB975" s="282" t="n"/>
      <c r="AC975" s="529" t="n"/>
      <c r="AE975" s="282" t="n"/>
      <c r="AF975" s="282" t="n"/>
      <c r="AI975" s="282" t="n"/>
      <c r="AJ975" s="282" t="n"/>
      <c r="AM975" s="282" t="n"/>
      <c r="AN975" s="282" t="n"/>
      <c r="AQ975" s="282" t="n"/>
      <c r="AR975" s="282" t="n"/>
    </row>
    <row customHeight="1" ht="15.75" r="976" s="452" spans="1:45">
      <c r="A976" s="44" t="n"/>
      <c r="G976" s="282" t="n"/>
      <c r="H976" s="282" t="n"/>
      <c r="K976" s="282" t="n"/>
      <c r="L976" s="282" t="n"/>
      <c r="O976" s="282" t="n"/>
      <c r="P976" s="282" t="n"/>
      <c r="S976" s="282" t="n"/>
      <c r="T976" s="282" t="n"/>
      <c r="W976" s="282" t="n"/>
      <c r="X976" s="282" t="n"/>
      <c r="Y976" s="282" t="n"/>
      <c r="Z976" s="282" t="n"/>
      <c r="AA976" s="282" t="n"/>
      <c r="AB976" s="282" t="n"/>
      <c r="AC976" s="529" t="n"/>
      <c r="AE976" s="282" t="n"/>
      <c r="AF976" s="282" t="n"/>
      <c r="AI976" s="282" t="n"/>
      <c r="AJ976" s="282" t="n"/>
      <c r="AM976" s="282" t="n"/>
      <c r="AN976" s="282" t="n"/>
      <c r="AQ976" s="282" t="n"/>
      <c r="AR976" s="282" t="n"/>
    </row>
    <row customHeight="1" ht="15.75" r="977" s="452" spans="1:45">
      <c r="A977" s="44" t="n"/>
      <c r="G977" s="282" t="n"/>
      <c r="H977" s="282" t="n"/>
      <c r="K977" s="282" t="n"/>
      <c r="L977" s="282" t="n"/>
      <c r="O977" s="282" t="n"/>
      <c r="P977" s="282" t="n"/>
      <c r="S977" s="282" t="n"/>
      <c r="T977" s="282" t="n"/>
      <c r="W977" s="282" t="n"/>
      <c r="X977" s="282" t="n"/>
      <c r="Y977" s="282" t="n"/>
      <c r="Z977" s="282" t="n"/>
      <c r="AA977" s="282" t="n"/>
      <c r="AB977" s="282" t="n"/>
      <c r="AC977" s="529" t="n"/>
      <c r="AE977" s="282" t="n"/>
      <c r="AF977" s="282" t="n"/>
      <c r="AI977" s="282" t="n"/>
      <c r="AJ977" s="282" t="n"/>
      <c r="AM977" s="282" t="n"/>
      <c r="AN977" s="282" t="n"/>
      <c r="AQ977" s="282" t="n"/>
      <c r="AR977" s="282" t="n"/>
    </row>
    <row customHeight="1" ht="15.75" r="978" s="452" spans="1:45">
      <c r="A978" s="44" t="n"/>
      <c r="G978" s="282" t="n"/>
      <c r="H978" s="282" t="n"/>
      <c r="K978" s="282" t="n"/>
      <c r="L978" s="282" t="n"/>
      <c r="O978" s="282" t="n"/>
      <c r="P978" s="282" t="n"/>
      <c r="S978" s="282" t="n"/>
      <c r="T978" s="282" t="n"/>
      <c r="W978" s="282" t="n"/>
      <c r="X978" s="282" t="n"/>
      <c r="Y978" s="282" t="n"/>
      <c r="Z978" s="282" t="n"/>
      <c r="AA978" s="282" t="n"/>
      <c r="AB978" s="282" t="n"/>
      <c r="AC978" s="529" t="n"/>
      <c r="AE978" s="282" t="n"/>
      <c r="AF978" s="282" t="n"/>
      <c r="AI978" s="282" t="n"/>
      <c r="AJ978" s="282" t="n"/>
      <c r="AM978" s="282" t="n"/>
      <c r="AN978" s="282" t="n"/>
      <c r="AQ978" s="282" t="n"/>
      <c r="AR978" s="282" t="n"/>
    </row>
    <row customHeight="1" ht="15.75" r="979" s="452" spans="1:45">
      <c r="A979" s="44" t="n"/>
      <c r="G979" s="282" t="n"/>
      <c r="H979" s="282" t="n"/>
      <c r="K979" s="282" t="n"/>
      <c r="L979" s="282" t="n"/>
      <c r="O979" s="282" t="n"/>
      <c r="P979" s="282" t="n"/>
      <c r="S979" s="282" t="n"/>
      <c r="T979" s="282" t="n"/>
      <c r="W979" s="282" t="n"/>
      <c r="X979" s="282" t="n"/>
      <c r="Y979" s="282" t="n"/>
      <c r="Z979" s="282" t="n"/>
      <c r="AA979" s="282" t="n"/>
      <c r="AB979" s="282" t="n"/>
      <c r="AC979" s="529" t="n"/>
      <c r="AE979" s="282" t="n"/>
      <c r="AF979" s="282" t="n"/>
      <c r="AI979" s="282" t="n"/>
      <c r="AJ979" s="282" t="n"/>
      <c r="AM979" s="282" t="n"/>
      <c r="AN979" s="282" t="n"/>
      <c r="AQ979" s="282" t="n"/>
      <c r="AR979" s="282" t="n"/>
    </row>
    <row customHeight="1" ht="15.75" r="980" s="452" spans="1:45">
      <c r="A980" s="44" t="n"/>
      <c r="G980" s="282" t="n"/>
      <c r="H980" s="282" t="n"/>
      <c r="K980" s="282" t="n"/>
      <c r="L980" s="282" t="n"/>
      <c r="O980" s="282" t="n"/>
      <c r="P980" s="282" t="n"/>
      <c r="S980" s="282" t="n"/>
      <c r="T980" s="282" t="n"/>
      <c r="W980" s="282" t="n"/>
      <c r="X980" s="282" t="n"/>
      <c r="Y980" s="282" t="n"/>
      <c r="Z980" s="282" t="n"/>
      <c r="AA980" s="282" t="n"/>
      <c r="AB980" s="282" t="n"/>
      <c r="AC980" s="529" t="n"/>
      <c r="AE980" s="282" t="n"/>
      <c r="AF980" s="282" t="n"/>
      <c r="AI980" s="282" t="n"/>
      <c r="AJ980" s="282" t="n"/>
      <c r="AM980" s="282" t="n"/>
      <c r="AN980" s="282" t="n"/>
      <c r="AQ980" s="282" t="n"/>
      <c r="AR980" s="282" t="n"/>
    </row>
    <row customHeight="1" ht="15.75" r="981" s="452" spans="1:45">
      <c r="A981" s="44" t="n"/>
      <c r="G981" s="282" t="n"/>
      <c r="H981" s="282" t="n"/>
      <c r="K981" s="282" t="n"/>
      <c r="L981" s="282" t="n"/>
      <c r="O981" s="282" t="n"/>
      <c r="P981" s="282" t="n"/>
      <c r="S981" s="282" t="n"/>
      <c r="T981" s="282" t="n"/>
      <c r="W981" s="282" t="n"/>
      <c r="X981" s="282" t="n"/>
      <c r="Y981" s="282" t="n"/>
      <c r="Z981" s="282" t="n"/>
      <c r="AA981" s="282" t="n"/>
      <c r="AB981" s="282" t="n"/>
      <c r="AC981" s="529" t="n"/>
      <c r="AE981" s="282" t="n"/>
      <c r="AF981" s="282" t="n"/>
      <c r="AI981" s="282" t="n"/>
      <c r="AJ981" s="282" t="n"/>
      <c r="AM981" s="282" t="n"/>
      <c r="AN981" s="282" t="n"/>
      <c r="AQ981" s="282" t="n"/>
      <c r="AR981" s="282" t="n"/>
    </row>
    <row customHeight="1" ht="15.75" r="982" s="452" spans="1:45">
      <c r="A982" s="44" t="n"/>
      <c r="G982" s="282" t="n"/>
      <c r="H982" s="282" t="n"/>
      <c r="K982" s="282" t="n"/>
      <c r="L982" s="282" t="n"/>
      <c r="O982" s="282" t="n"/>
      <c r="P982" s="282" t="n"/>
      <c r="S982" s="282" t="n"/>
      <c r="T982" s="282" t="n"/>
      <c r="W982" s="282" t="n"/>
      <c r="X982" s="282" t="n"/>
      <c r="Y982" s="282" t="n"/>
      <c r="Z982" s="282" t="n"/>
      <c r="AA982" s="282" t="n"/>
      <c r="AB982" s="282" t="n"/>
      <c r="AC982" s="529" t="n"/>
      <c r="AE982" s="282" t="n"/>
      <c r="AF982" s="282" t="n"/>
      <c r="AI982" s="282" t="n"/>
      <c r="AJ982" s="282" t="n"/>
      <c r="AM982" s="282" t="n"/>
      <c r="AN982" s="282" t="n"/>
      <c r="AQ982" s="282" t="n"/>
      <c r="AR982" s="282" t="n"/>
    </row>
    <row customHeight="1" ht="15.75" r="983" s="452" spans="1:45">
      <c r="A983" s="44" t="n"/>
      <c r="G983" s="282" t="n"/>
      <c r="H983" s="282" t="n"/>
      <c r="K983" s="282" t="n"/>
      <c r="L983" s="282" t="n"/>
      <c r="O983" s="282" t="n"/>
      <c r="P983" s="282" t="n"/>
      <c r="S983" s="282" t="n"/>
      <c r="T983" s="282" t="n"/>
      <c r="W983" s="282" t="n"/>
      <c r="X983" s="282" t="n"/>
      <c r="Y983" s="282" t="n"/>
      <c r="Z983" s="282" t="n"/>
      <c r="AA983" s="282" t="n"/>
      <c r="AB983" s="282" t="n"/>
      <c r="AC983" s="529" t="n"/>
      <c r="AE983" s="282" t="n"/>
      <c r="AF983" s="282" t="n"/>
      <c r="AI983" s="282" t="n"/>
      <c r="AJ983" s="282" t="n"/>
      <c r="AM983" s="282" t="n"/>
      <c r="AN983" s="282" t="n"/>
      <c r="AQ983" s="282" t="n"/>
      <c r="AR983" s="282" t="n"/>
    </row>
    <row customHeight="1" ht="15.75" r="984" s="452" spans="1:45">
      <c r="A984" s="44" t="n"/>
      <c r="G984" s="282" t="n"/>
      <c r="H984" s="282" t="n"/>
      <c r="K984" s="282" t="n"/>
      <c r="L984" s="282" t="n"/>
      <c r="O984" s="282" t="n"/>
      <c r="P984" s="282" t="n"/>
      <c r="S984" s="282" t="n"/>
      <c r="T984" s="282" t="n"/>
      <c r="W984" s="282" t="n"/>
      <c r="X984" s="282" t="n"/>
      <c r="Y984" s="282" t="n"/>
      <c r="Z984" s="282" t="n"/>
      <c r="AA984" s="282" t="n"/>
      <c r="AB984" s="282" t="n"/>
      <c r="AC984" s="529" t="n"/>
      <c r="AE984" s="282" t="n"/>
      <c r="AF984" s="282" t="n"/>
      <c r="AI984" s="282" t="n"/>
      <c r="AJ984" s="282" t="n"/>
      <c r="AM984" s="282" t="n"/>
      <c r="AN984" s="282" t="n"/>
      <c r="AQ984" s="282" t="n"/>
      <c r="AR984" s="282" t="n"/>
    </row>
    <row customHeight="1" ht="15.75" r="985" s="452" spans="1:45">
      <c r="A985" s="44" t="n"/>
      <c r="G985" s="282" t="n"/>
      <c r="H985" s="282" t="n"/>
      <c r="K985" s="282" t="n"/>
      <c r="L985" s="282" t="n"/>
      <c r="O985" s="282" t="n"/>
      <c r="P985" s="282" t="n"/>
      <c r="S985" s="282" t="n"/>
      <c r="T985" s="282" t="n"/>
      <c r="W985" s="282" t="n"/>
      <c r="X985" s="282" t="n"/>
      <c r="Y985" s="282" t="n"/>
      <c r="Z985" s="282" t="n"/>
      <c r="AA985" s="282" t="n"/>
      <c r="AB985" s="282" t="n"/>
      <c r="AC985" s="529" t="n"/>
      <c r="AE985" s="282" t="n"/>
      <c r="AF985" s="282" t="n"/>
      <c r="AI985" s="282" t="n"/>
      <c r="AJ985" s="282" t="n"/>
      <c r="AM985" s="282" t="n"/>
      <c r="AN985" s="282" t="n"/>
      <c r="AQ985" s="282" t="n"/>
      <c r="AR985" s="282" t="n"/>
    </row>
    <row customHeight="1" ht="15.75" r="986" s="452" spans="1:45">
      <c r="A986" s="44" t="n"/>
      <c r="G986" s="282" t="n"/>
      <c r="H986" s="282" t="n"/>
      <c r="K986" s="282" t="n"/>
      <c r="L986" s="282" t="n"/>
      <c r="O986" s="282" t="n"/>
      <c r="P986" s="282" t="n"/>
      <c r="S986" s="282" t="n"/>
      <c r="T986" s="282" t="n"/>
      <c r="W986" s="282" t="n"/>
      <c r="X986" s="282" t="n"/>
      <c r="Y986" s="282" t="n"/>
      <c r="Z986" s="282" t="n"/>
      <c r="AA986" s="282" t="n"/>
      <c r="AB986" s="282" t="n"/>
      <c r="AC986" s="529" t="n"/>
      <c r="AE986" s="282" t="n"/>
      <c r="AF986" s="282" t="n"/>
      <c r="AI986" s="282" t="n"/>
      <c r="AJ986" s="282" t="n"/>
      <c r="AM986" s="282" t="n"/>
      <c r="AN986" s="282" t="n"/>
      <c r="AQ986" s="282" t="n"/>
      <c r="AR986" s="282" t="n"/>
    </row>
    <row customHeight="1" ht="15.75" r="987" s="452" spans="1:45">
      <c r="A987" s="44" t="n"/>
      <c r="G987" s="282" t="n"/>
      <c r="H987" s="282" t="n"/>
      <c r="K987" s="282" t="n"/>
      <c r="L987" s="282" t="n"/>
      <c r="O987" s="282" t="n"/>
      <c r="P987" s="282" t="n"/>
      <c r="S987" s="282" t="n"/>
      <c r="T987" s="282" t="n"/>
      <c r="W987" s="282" t="n"/>
      <c r="X987" s="282" t="n"/>
      <c r="Y987" s="282" t="n"/>
      <c r="Z987" s="282" t="n"/>
      <c r="AA987" s="282" t="n"/>
      <c r="AB987" s="282" t="n"/>
      <c r="AC987" s="529" t="n"/>
      <c r="AE987" s="282" t="n"/>
      <c r="AF987" s="282" t="n"/>
      <c r="AI987" s="282" t="n"/>
      <c r="AJ987" s="282" t="n"/>
      <c r="AM987" s="282" t="n"/>
      <c r="AN987" s="282" t="n"/>
      <c r="AQ987" s="282" t="n"/>
      <c r="AR987" s="282" t="n"/>
    </row>
    <row customHeight="1" ht="15.75" r="988" s="452" spans="1:45">
      <c r="A988" s="44" t="n"/>
      <c r="G988" s="282" t="n"/>
      <c r="H988" s="282" t="n"/>
      <c r="K988" s="282" t="n"/>
      <c r="L988" s="282" t="n"/>
      <c r="O988" s="282" t="n"/>
      <c r="P988" s="282" t="n"/>
      <c r="S988" s="282" t="n"/>
      <c r="T988" s="282" t="n"/>
      <c r="W988" s="282" t="n"/>
      <c r="X988" s="282" t="n"/>
      <c r="Y988" s="282" t="n"/>
      <c r="Z988" s="282" t="n"/>
      <c r="AA988" s="282" t="n"/>
      <c r="AB988" s="282" t="n"/>
      <c r="AC988" s="529" t="n"/>
      <c r="AE988" s="282" t="n"/>
      <c r="AF988" s="282" t="n"/>
      <c r="AI988" s="282" t="n"/>
      <c r="AJ988" s="282" t="n"/>
      <c r="AM988" s="282" t="n"/>
      <c r="AN988" s="282" t="n"/>
      <c r="AQ988" s="282" t="n"/>
      <c r="AR988" s="282" t="n"/>
    </row>
    <row customHeight="1" ht="15.75" r="989" s="452" spans="1:45">
      <c r="A989" s="44" t="n"/>
      <c r="G989" s="282" t="n"/>
      <c r="H989" s="282" t="n"/>
      <c r="K989" s="282" t="n"/>
      <c r="L989" s="282" t="n"/>
      <c r="O989" s="282" t="n"/>
      <c r="P989" s="282" t="n"/>
      <c r="S989" s="282" t="n"/>
      <c r="T989" s="282" t="n"/>
      <c r="W989" s="282" t="n"/>
      <c r="X989" s="282" t="n"/>
      <c r="Y989" s="282" t="n"/>
      <c r="Z989" s="282" t="n"/>
      <c r="AA989" s="282" t="n"/>
      <c r="AB989" s="282" t="n"/>
      <c r="AC989" s="529" t="n"/>
      <c r="AE989" s="282" t="n"/>
      <c r="AF989" s="282" t="n"/>
      <c r="AI989" s="282" t="n"/>
      <c r="AJ989" s="282" t="n"/>
      <c r="AM989" s="282" t="n"/>
      <c r="AN989" s="282" t="n"/>
      <c r="AQ989" s="282" t="n"/>
      <c r="AR989" s="282" t="n"/>
    </row>
    <row customHeight="1" ht="15.75" r="990" s="452" spans="1:45">
      <c r="A990" s="44" t="n"/>
      <c r="G990" s="282" t="n"/>
      <c r="H990" s="282" t="n"/>
      <c r="K990" s="282" t="n"/>
      <c r="L990" s="282" t="n"/>
      <c r="O990" s="282" t="n"/>
      <c r="P990" s="282" t="n"/>
      <c r="S990" s="282" t="n"/>
      <c r="T990" s="282" t="n"/>
      <c r="W990" s="282" t="n"/>
      <c r="X990" s="282" t="n"/>
      <c r="Y990" s="282" t="n"/>
      <c r="Z990" s="282" t="n"/>
      <c r="AA990" s="282" t="n"/>
      <c r="AB990" s="282" t="n"/>
      <c r="AC990" s="529" t="n"/>
      <c r="AE990" s="282" t="n"/>
      <c r="AF990" s="282" t="n"/>
      <c r="AI990" s="282" t="n"/>
      <c r="AJ990" s="282" t="n"/>
      <c r="AM990" s="282" t="n"/>
      <c r="AN990" s="282" t="n"/>
      <c r="AQ990" s="282" t="n"/>
      <c r="AR990" s="282" t="n"/>
    </row>
    <row customHeight="1" ht="15.75" r="991" s="452" spans="1:45">
      <c r="A991" s="44" t="n"/>
      <c r="G991" s="282" t="n"/>
      <c r="H991" s="282" t="n"/>
      <c r="K991" s="282" t="n"/>
      <c r="L991" s="282" t="n"/>
      <c r="O991" s="282" t="n"/>
      <c r="P991" s="282" t="n"/>
      <c r="S991" s="282" t="n"/>
      <c r="T991" s="282" t="n"/>
      <c r="W991" s="282" t="n"/>
      <c r="X991" s="282" t="n"/>
      <c r="Y991" s="282" t="n"/>
      <c r="Z991" s="282" t="n"/>
      <c r="AA991" s="282" t="n"/>
      <c r="AB991" s="282" t="n"/>
      <c r="AC991" s="529" t="n"/>
      <c r="AE991" s="282" t="n"/>
      <c r="AF991" s="282" t="n"/>
      <c r="AI991" s="282" t="n"/>
      <c r="AJ991" s="282" t="n"/>
      <c r="AM991" s="282" t="n"/>
      <c r="AN991" s="282" t="n"/>
      <c r="AQ991" s="282" t="n"/>
      <c r="AR991" s="282" t="n"/>
    </row>
    <row customHeight="1" ht="15.75" r="992" s="452" spans="1:45">
      <c r="A992" s="44" t="n"/>
      <c r="G992" s="282" t="n"/>
      <c r="H992" s="282" t="n"/>
      <c r="K992" s="282" t="n"/>
      <c r="L992" s="282" t="n"/>
      <c r="O992" s="282" t="n"/>
      <c r="P992" s="282" t="n"/>
      <c r="S992" s="282" t="n"/>
      <c r="T992" s="282" t="n"/>
      <c r="W992" s="282" t="n"/>
      <c r="X992" s="282" t="n"/>
      <c r="Y992" s="282" t="n"/>
      <c r="Z992" s="282" t="n"/>
      <c r="AA992" s="282" t="n"/>
      <c r="AB992" s="282" t="n"/>
      <c r="AC992" s="529" t="n"/>
      <c r="AE992" s="282" t="n"/>
      <c r="AF992" s="282" t="n"/>
      <c r="AI992" s="282" t="n"/>
      <c r="AJ992" s="282" t="n"/>
      <c r="AM992" s="282" t="n"/>
      <c r="AN992" s="282" t="n"/>
      <c r="AQ992" s="282" t="n"/>
      <c r="AR992" s="282" t="n"/>
    </row>
    <row customHeight="1" ht="15.75" r="993" s="452" spans="1:45">
      <c r="A993" s="44" t="n"/>
      <c r="G993" s="282" t="n"/>
      <c r="H993" s="282" t="n"/>
      <c r="K993" s="282" t="n"/>
      <c r="L993" s="282" t="n"/>
      <c r="O993" s="282" t="n"/>
      <c r="P993" s="282" t="n"/>
      <c r="S993" s="282" t="n"/>
      <c r="T993" s="282" t="n"/>
      <c r="W993" s="282" t="n"/>
      <c r="X993" s="282" t="n"/>
      <c r="Y993" s="282" t="n"/>
      <c r="Z993" s="282" t="n"/>
      <c r="AA993" s="282" t="n"/>
      <c r="AB993" s="282" t="n"/>
      <c r="AC993" s="529" t="n"/>
      <c r="AE993" s="282" t="n"/>
      <c r="AF993" s="282" t="n"/>
      <c r="AI993" s="282" t="n"/>
      <c r="AJ993" s="282" t="n"/>
      <c r="AM993" s="282" t="n"/>
      <c r="AN993" s="282" t="n"/>
      <c r="AQ993" s="282" t="n"/>
      <c r="AR993" s="282" t="n"/>
    </row>
    <row customHeight="1" ht="15.75" r="994" s="452" spans="1:45">
      <c r="A994" s="44" t="n"/>
      <c r="G994" s="282" t="n"/>
      <c r="H994" s="282" t="n"/>
      <c r="K994" s="282" t="n"/>
      <c r="L994" s="282" t="n"/>
      <c r="O994" s="282" t="n"/>
      <c r="P994" s="282" t="n"/>
      <c r="S994" s="282" t="n"/>
      <c r="T994" s="282" t="n"/>
      <c r="W994" s="282" t="n"/>
      <c r="X994" s="282" t="n"/>
      <c r="Y994" s="282" t="n"/>
      <c r="Z994" s="282" t="n"/>
      <c r="AA994" s="282" t="n"/>
      <c r="AB994" s="282" t="n"/>
      <c r="AC994" s="529" t="n"/>
      <c r="AE994" s="282" t="n"/>
      <c r="AF994" s="282" t="n"/>
      <c r="AI994" s="282" t="n"/>
      <c r="AJ994" s="282" t="n"/>
      <c r="AM994" s="282" t="n"/>
      <c r="AN994" s="282" t="n"/>
      <c r="AQ994" s="282" t="n"/>
      <c r="AR994" s="282" t="n"/>
    </row>
    <row customHeight="1" ht="15.75" r="995" s="452" spans="1:45">
      <c r="A995" s="44" t="n"/>
      <c r="G995" s="282" t="n"/>
      <c r="H995" s="282" t="n"/>
      <c r="K995" s="282" t="n"/>
      <c r="L995" s="282" t="n"/>
      <c r="O995" s="282" t="n"/>
      <c r="P995" s="282" t="n"/>
      <c r="S995" s="282" t="n"/>
      <c r="T995" s="282" t="n"/>
      <c r="W995" s="282" t="n"/>
      <c r="X995" s="282" t="n"/>
      <c r="Y995" s="282" t="n"/>
      <c r="Z995" s="282" t="n"/>
      <c r="AA995" s="282" t="n"/>
      <c r="AB995" s="282" t="n"/>
      <c r="AC995" s="529" t="n"/>
      <c r="AE995" s="282" t="n"/>
      <c r="AF995" s="282" t="n"/>
      <c r="AI995" s="282" t="n"/>
      <c r="AJ995" s="282" t="n"/>
      <c r="AM995" s="282" t="n"/>
      <c r="AN995" s="282" t="n"/>
      <c r="AQ995" s="282" t="n"/>
      <c r="AR995" s="282" t="n"/>
    </row>
    <row customHeight="1" ht="15.75" r="996" s="452" spans="1:45">
      <c r="A996" s="44" t="n"/>
      <c r="G996" s="282" t="n"/>
      <c r="H996" s="282" t="n"/>
      <c r="K996" s="282" t="n"/>
      <c r="L996" s="282" t="n"/>
      <c r="O996" s="282" t="n"/>
      <c r="P996" s="282" t="n"/>
      <c r="S996" s="282" t="n"/>
      <c r="T996" s="282" t="n"/>
      <c r="W996" s="282" t="n"/>
      <c r="X996" s="282" t="n"/>
      <c r="Y996" s="282" t="n"/>
      <c r="Z996" s="282" t="n"/>
      <c r="AA996" s="282" t="n"/>
      <c r="AB996" s="282" t="n"/>
      <c r="AC996" s="529" t="n"/>
      <c r="AE996" s="282" t="n"/>
      <c r="AF996" s="282" t="n"/>
      <c r="AI996" s="282" t="n"/>
      <c r="AJ996" s="282" t="n"/>
      <c r="AM996" s="282" t="n"/>
      <c r="AN996" s="282" t="n"/>
      <c r="AQ996" s="282" t="n"/>
      <c r="AR996" s="282" t="n"/>
    </row>
    <row customHeight="1" ht="15.75" r="997" s="452" spans="1:45">
      <c r="A997" s="44" t="n"/>
      <c r="G997" s="282" t="n"/>
      <c r="H997" s="282" t="n"/>
      <c r="K997" s="282" t="n"/>
      <c r="L997" s="282" t="n"/>
      <c r="O997" s="282" t="n"/>
      <c r="P997" s="282" t="n"/>
      <c r="S997" s="282" t="n"/>
      <c r="T997" s="282" t="n"/>
      <c r="W997" s="282" t="n"/>
      <c r="X997" s="282" t="n"/>
      <c r="Y997" s="282" t="n"/>
      <c r="Z997" s="282" t="n"/>
      <c r="AA997" s="282" t="n"/>
      <c r="AB997" s="282" t="n"/>
      <c r="AC997" s="529" t="n"/>
      <c r="AE997" s="282" t="n"/>
      <c r="AF997" s="282" t="n"/>
      <c r="AI997" s="282" t="n"/>
      <c r="AJ997" s="282" t="n"/>
      <c r="AM997" s="282" t="n"/>
      <c r="AN997" s="282" t="n"/>
      <c r="AQ997" s="282" t="n"/>
      <c r="AR997" s="282" t="n"/>
    </row>
    <row customHeight="1" ht="15.75" r="998" s="452" spans="1:45">
      <c r="A998" s="44" t="n"/>
      <c r="G998" s="282" t="n"/>
      <c r="H998" s="282" t="n"/>
      <c r="K998" s="282" t="n"/>
      <c r="L998" s="282" t="n"/>
      <c r="O998" s="282" t="n"/>
      <c r="P998" s="282" t="n"/>
      <c r="S998" s="282" t="n"/>
      <c r="T998" s="282" t="n"/>
      <c r="W998" s="282" t="n"/>
      <c r="X998" s="282" t="n"/>
      <c r="Y998" s="282" t="n"/>
      <c r="Z998" s="282" t="n"/>
      <c r="AA998" s="282" t="n"/>
      <c r="AB998" s="282" t="n"/>
      <c r="AC998" s="529" t="n"/>
      <c r="AE998" s="282" t="n"/>
      <c r="AF998" s="282" t="n"/>
      <c r="AI998" s="282" t="n"/>
      <c r="AJ998" s="282" t="n"/>
      <c r="AM998" s="282" t="n"/>
      <c r="AN998" s="282" t="n"/>
      <c r="AQ998" s="282" t="n"/>
      <c r="AR998" s="282" t="n"/>
    </row>
    <row customHeight="1" ht="15.75" r="999" s="452" spans="1:45">
      <c r="A999" s="44" t="n"/>
      <c r="G999" s="282" t="n"/>
      <c r="H999" s="282" t="n"/>
      <c r="K999" s="282" t="n"/>
      <c r="L999" s="282" t="n"/>
      <c r="O999" s="282" t="n"/>
      <c r="P999" s="282" t="n"/>
      <c r="S999" s="282" t="n"/>
      <c r="T999" s="282" t="n"/>
      <c r="W999" s="282" t="n"/>
      <c r="X999" s="282" t="n"/>
      <c r="Y999" s="282" t="n"/>
      <c r="Z999" s="282" t="n"/>
      <c r="AA999" s="282" t="n"/>
      <c r="AB999" s="282" t="n"/>
      <c r="AC999" s="529" t="n"/>
      <c r="AE999" s="282" t="n"/>
      <c r="AF999" s="282" t="n"/>
      <c r="AI999" s="282" t="n"/>
      <c r="AJ999" s="282" t="n"/>
      <c r="AM999" s="282" t="n"/>
      <c r="AN999" s="282" t="n"/>
      <c r="AQ999" s="282" t="n"/>
      <c r="AR999" s="282" t="n"/>
    </row>
    <row customHeight="1" ht="15.75" r="1000" s="452" spans="1:45">
      <c r="A1000" s="44" t="n"/>
      <c r="G1000" s="282" t="n"/>
      <c r="H1000" s="282" t="n"/>
      <c r="K1000" s="282" t="n"/>
      <c r="L1000" s="282" t="n"/>
      <c r="O1000" s="282" t="n"/>
      <c r="P1000" s="282" t="n"/>
      <c r="S1000" s="282" t="n"/>
      <c r="T1000" s="282" t="n"/>
      <c r="W1000" s="282" t="n"/>
      <c r="X1000" s="282" t="n"/>
      <c r="Y1000" s="282" t="n"/>
      <c r="Z1000" s="282" t="n"/>
      <c r="AA1000" s="282" t="n"/>
      <c r="AB1000" s="282" t="n"/>
      <c r="AC1000" s="529" t="n"/>
      <c r="AE1000" s="282" t="n"/>
      <c r="AF1000" s="282" t="n"/>
      <c r="AI1000" s="282" t="n"/>
      <c r="AJ1000" s="282" t="n"/>
      <c r="AM1000" s="282" t="n"/>
      <c r="AN1000" s="282" t="n"/>
      <c r="AQ1000" s="282" t="n"/>
      <c r="AR1000" s="282" t="n"/>
    </row>
    <row customHeight="1" ht="15.75" r="1001" s="452" spans="1:45">
      <c r="A1001" s="44" t="n"/>
      <c r="G1001" s="282" t="n"/>
      <c r="H1001" s="282" t="n"/>
      <c r="K1001" s="282" t="n"/>
      <c r="L1001" s="282" t="n"/>
      <c r="O1001" s="282" t="n"/>
      <c r="P1001" s="282" t="n"/>
      <c r="S1001" s="282" t="n"/>
      <c r="T1001" s="282" t="n"/>
      <c r="W1001" s="282" t="n"/>
      <c r="X1001" s="282" t="n"/>
      <c r="Y1001" s="282" t="n"/>
      <c r="Z1001" s="282" t="n"/>
      <c r="AA1001" s="282" t="n"/>
      <c r="AB1001" s="282" t="n"/>
      <c r="AC1001" s="529" t="n"/>
      <c r="AE1001" s="282" t="n"/>
      <c r="AF1001" s="282" t="n"/>
      <c r="AI1001" s="282" t="n"/>
      <c r="AJ1001" s="282" t="n"/>
      <c r="AM1001" s="282" t="n"/>
      <c r="AN1001" s="282" t="n"/>
      <c r="AQ1001" s="282" t="n"/>
      <c r="AR1001" s="282" t="n"/>
    </row>
    <row customHeight="1" ht="15.75" r="1002" s="452" spans="1:45">
      <c r="A1002" s="44" t="n"/>
      <c r="G1002" s="282" t="n"/>
      <c r="H1002" s="282" t="n"/>
      <c r="K1002" s="282" t="n"/>
      <c r="L1002" s="282" t="n"/>
      <c r="O1002" s="282" t="n"/>
      <c r="P1002" s="282" t="n"/>
      <c r="S1002" s="282" t="n"/>
      <c r="T1002" s="282" t="n"/>
      <c r="W1002" s="282" t="n"/>
      <c r="X1002" s="282" t="n"/>
      <c r="Y1002" s="282" t="n"/>
      <c r="Z1002" s="282" t="n"/>
      <c r="AA1002" s="282" t="n"/>
      <c r="AB1002" s="282" t="n"/>
      <c r="AC1002" s="529" t="n"/>
      <c r="AE1002" s="282" t="n"/>
      <c r="AF1002" s="282" t="n"/>
      <c r="AI1002" s="282" t="n"/>
      <c r="AJ1002" s="282" t="n"/>
      <c r="AM1002" s="282" t="n"/>
      <c r="AN1002" s="282" t="n"/>
      <c r="AQ1002" s="282" t="n"/>
      <c r="AR1002" s="282" t="n"/>
    </row>
    <row customHeight="1" ht="15.75" r="1003" s="452" spans="1:45">
      <c r="A1003" s="44" t="n"/>
      <c r="G1003" s="282" t="n"/>
      <c r="H1003" s="282" t="n"/>
      <c r="K1003" s="282" t="n"/>
      <c r="L1003" s="282" t="n"/>
      <c r="O1003" s="282" t="n"/>
      <c r="P1003" s="282" t="n"/>
      <c r="S1003" s="282" t="n"/>
      <c r="T1003" s="282" t="n"/>
      <c r="W1003" s="282" t="n"/>
      <c r="X1003" s="282" t="n"/>
      <c r="Y1003" s="282" t="n"/>
      <c r="Z1003" s="282" t="n"/>
      <c r="AA1003" s="282" t="n"/>
      <c r="AB1003" s="282" t="n"/>
      <c r="AC1003" s="529" t="n"/>
      <c r="AE1003" s="282" t="n"/>
      <c r="AF1003" s="282" t="n"/>
      <c r="AI1003" s="282" t="n"/>
      <c r="AJ1003" s="282" t="n"/>
      <c r="AM1003" s="282" t="n"/>
      <c r="AN1003" s="282" t="n"/>
      <c r="AQ1003" s="282" t="n"/>
      <c r="AR1003" s="282" t="n"/>
    </row>
    <row customHeight="1" ht="15.75" r="1004" s="452" spans="1:45">
      <c r="A1004" s="44" t="n"/>
      <c r="G1004" s="282" t="n"/>
      <c r="H1004" s="282" t="n"/>
      <c r="K1004" s="282" t="n"/>
      <c r="L1004" s="282" t="n"/>
      <c r="O1004" s="282" t="n"/>
      <c r="P1004" s="282" t="n"/>
      <c r="S1004" s="282" t="n"/>
      <c r="T1004" s="282" t="n"/>
      <c r="W1004" s="282" t="n"/>
      <c r="X1004" s="282" t="n"/>
      <c r="Y1004" s="282" t="n"/>
      <c r="Z1004" s="282" t="n"/>
      <c r="AA1004" s="282" t="n"/>
      <c r="AB1004" s="282" t="n"/>
      <c r="AC1004" s="529" t="n"/>
      <c r="AE1004" s="282" t="n"/>
      <c r="AF1004" s="282" t="n"/>
      <c r="AI1004" s="282" t="n"/>
      <c r="AJ1004" s="282" t="n"/>
      <c r="AM1004" s="282" t="n"/>
      <c r="AN1004" s="282" t="n"/>
      <c r="AQ1004" s="282" t="n"/>
      <c r="AR1004" s="282" t="n"/>
    </row>
    <row customHeight="1" ht="15.75" r="1005" s="452" spans="1:45">
      <c r="A1005" s="44" t="n"/>
      <c r="G1005" s="282" t="n"/>
      <c r="H1005" s="282" t="n"/>
      <c r="K1005" s="282" t="n"/>
      <c r="L1005" s="282" t="n"/>
      <c r="O1005" s="282" t="n"/>
      <c r="P1005" s="282" t="n"/>
      <c r="S1005" s="282" t="n"/>
      <c r="T1005" s="282" t="n"/>
      <c r="W1005" s="282" t="n"/>
      <c r="X1005" s="282" t="n"/>
      <c r="Y1005" s="282" t="n"/>
      <c r="Z1005" s="282" t="n"/>
      <c r="AA1005" s="282" t="n"/>
      <c r="AB1005" s="282" t="n"/>
      <c r="AC1005" s="529" t="n"/>
      <c r="AE1005" s="282" t="n"/>
      <c r="AF1005" s="282" t="n"/>
      <c r="AI1005" s="282" t="n"/>
      <c r="AJ1005" s="282" t="n"/>
      <c r="AM1005" s="282" t="n"/>
      <c r="AN1005" s="282" t="n"/>
      <c r="AQ1005" s="282" t="n"/>
      <c r="AR1005" s="282" t="n"/>
    </row>
    <row customHeight="1" ht="15.75" r="1006" s="452" spans="1:45">
      <c r="A1006" s="44" t="n"/>
      <c r="G1006" s="282" t="n"/>
      <c r="H1006" s="282" t="n"/>
      <c r="K1006" s="282" t="n"/>
      <c r="L1006" s="282" t="n"/>
      <c r="O1006" s="282" t="n"/>
      <c r="P1006" s="282" t="n"/>
      <c r="S1006" s="282" t="n"/>
      <c r="T1006" s="282" t="n"/>
      <c r="W1006" s="282" t="n"/>
      <c r="X1006" s="282" t="n"/>
      <c r="Y1006" s="282" t="n"/>
      <c r="Z1006" s="282" t="n"/>
      <c r="AA1006" s="282" t="n"/>
      <c r="AB1006" s="282" t="n"/>
      <c r="AC1006" s="529" t="n"/>
      <c r="AE1006" s="282" t="n"/>
      <c r="AF1006" s="282" t="n"/>
      <c r="AI1006" s="282" t="n"/>
      <c r="AJ1006" s="282" t="n"/>
      <c r="AM1006" s="282" t="n"/>
      <c r="AN1006" s="282" t="n"/>
      <c r="AQ1006" s="282" t="n"/>
      <c r="AR1006" s="282" t="n"/>
    </row>
    <row customHeight="1" ht="15.75" r="1007" s="452" spans="1:45">
      <c r="A1007" s="44" t="n"/>
      <c r="G1007" s="282" t="n"/>
      <c r="H1007" s="282" t="n"/>
      <c r="K1007" s="282" t="n"/>
      <c r="L1007" s="282" t="n"/>
      <c r="O1007" s="282" t="n"/>
      <c r="P1007" s="282" t="n"/>
      <c r="S1007" s="282" t="n"/>
      <c r="T1007" s="282" t="n"/>
      <c r="W1007" s="282" t="n"/>
      <c r="X1007" s="282" t="n"/>
      <c r="Y1007" s="282" t="n"/>
      <c r="Z1007" s="282" t="n"/>
      <c r="AA1007" s="282" t="n"/>
      <c r="AB1007" s="282" t="n"/>
      <c r="AC1007" s="529" t="n"/>
      <c r="AE1007" s="282" t="n"/>
      <c r="AF1007" s="282" t="n"/>
      <c r="AI1007" s="282" t="n"/>
      <c r="AJ1007" s="282" t="n"/>
      <c r="AM1007" s="282" t="n"/>
      <c r="AN1007" s="282" t="n"/>
      <c r="AQ1007" s="282" t="n"/>
      <c r="AR1007" s="282" t="n"/>
    </row>
    <row customHeight="1" ht="15.75" r="1008" s="452" spans="1:45">
      <c r="A1008" s="44" t="n"/>
      <c r="G1008" s="282" t="n"/>
      <c r="H1008" s="282" t="n"/>
      <c r="K1008" s="282" t="n"/>
      <c r="L1008" s="282" t="n"/>
      <c r="O1008" s="282" t="n"/>
      <c r="P1008" s="282" t="n"/>
      <c r="S1008" s="282" t="n"/>
      <c r="T1008" s="282" t="n"/>
      <c r="W1008" s="282" t="n"/>
      <c r="X1008" s="282" t="n"/>
      <c r="Y1008" s="282" t="n"/>
      <c r="Z1008" s="282" t="n"/>
      <c r="AA1008" s="282" t="n"/>
      <c r="AB1008" s="282" t="n"/>
      <c r="AC1008" s="529" t="n"/>
      <c r="AE1008" s="282" t="n"/>
      <c r="AF1008" s="282" t="n"/>
      <c r="AI1008" s="282" t="n"/>
      <c r="AJ1008" s="282" t="n"/>
      <c r="AM1008" s="282" t="n"/>
      <c r="AN1008" s="282" t="n"/>
      <c r="AQ1008" s="282" t="n"/>
      <c r="AR1008" s="282" t="n"/>
    </row>
    <row customHeight="1" ht="15.75" r="1009" s="452" spans="1:45">
      <c r="A1009" s="44" t="n"/>
      <c r="G1009" s="282" t="n"/>
      <c r="H1009" s="282" t="n"/>
      <c r="K1009" s="282" t="n"/>
      <c r="L1009" s="282" t="n"/>
      <c r="O1009" s="282" t="n"/>
      <c r="P1009" s="282" t="n"/>
      <c r="S1009" s="282" t="n"/>
      <c r="T1009" s="282" t="n"/>
      <c r="W1009" s="282" t="n"/>
      <c r="X1009" s="282" t="n"/>
      <c r="Y1009" s="282" t="n"/>
      <c r="Z1009" s="282" t="n"/>
      <c r="AA1009" s="282" t="n"/>
      <c r="AB1009" s="282" t="n"/>
      <c r="AC1009" s="529" t="n"/>
      <c r="AE1009" s="282" t="n"/>
      <c r="AF1009" s="282" t="n"/>
      <c r="AI1009" s="282" t="n"/>
      <c r="AJ1009" s="282" t="n"/>
      <c r="AM1009" s="282" t="n"/>
      <c r="AN1009" s="282" t="n"/>
      <c r="AQ1009" s="282" t="n"/>
      <c r="AR1009" s="282" t="n"/>
    </row>
    <row customHeight="1" ht="15.75" r="1010" s="452" spans="1:45">
      <c r="A1010" s="44" t="n"/>
      <c r="G1010" s="282" t="n"/>
      <c r="H1010" s="282" t="n"/>
      <c r="K1010" s="282" t="n"/>
      <c r="L1010" s="282" t="n"/>
      <c r="O1010" s="282" t="n"/>
      <c r="P1010" s="282" t="n"/>
      <c r="S1010" s="282" t="n"/>
      <c r="T1010" s="282" t="n"/>
      <c r="W1010" s="282" t="n"/>
      <c r="X1010" s="282" t="n"/>
      <c r="Y1010" s="282" t="n"/>
      <c r="Z1010" s="282" t="n"/>
      <c r="AA1010" s="282" t="n"/>
      <c r="AB1010" s="282" t="n"/>
      <c r="AC1010" s="529" t="n"/>
      <c r="AE1010" s="282" t="n"/>
      <c r="AF1010" s="282" t="n"/>
      <c r="AI1010" s="282" t="n"/>
      <c r="AJ1010" s="282" t="n"/>
      <c r="AM1010" s="282" t="n"/>
      <c r="AN1010" s="282" t="n"/>
      <c r="AQ1010" s="282" t="n"/>
      <c r="AR1010" s="282" t="n"/>
    </row>
    <row customHeight="1" ht="15.75" r="1011" s="452" spans="1:45">
      <c r="A1011" s="44" t="n"/>
      <c r="G1011" s="282" t="n"/>
      <c r="H1011" s="282" t="n"/>
      <c r="K1011" s="282" t="n"/>
      <c r="L1011" s="282" t="n"/>
      <c r="O1011" s="282" t="n"/>
      <c r="P1011" s="282" t="n"/>
      <c r="S1011" s="282" t="n"/>
      <c r="T1011" s="282" t="n"/>
      <c r="W1011" s="282" t="n"/>
      <c r="X1011" s="282" t="n"/>
      <c r="Y1011" s="282" t="n"/>
      <c r="Z1011" s="282" t="n"/>
      <c r="AA1011" s="282" t="n"/>
      <c r="AB1011" s="282" t="n"/>
      <c r="AC1011" s="529" t="n"/>
      <c r="AE1011" s="282" t="n"/>
      <c r="AF1011" s="282" t="n"/>
      <c r="AI1011" s="282" t="n"/>
      <c r="AJ1011" s="282" t="n"/>
      <c r="AM1011" s="282" t="n"/>
      <c r="AN1011" s="282" t="n"/>
      <c r="AQ1011" s="282" t="n"/>
      <c r="AR1011" s="282" t="n"/>
    </row>
    <row customHeight="1" ht="15.75" r="1012" s="452" spans="1:45">
      <c r="A1012" s="44" t="n"/>
      <c r="G1012" s="282" t="n"/>
      <c r="H1012" s="282" t="n"/>
      <c r="K1012" s="282" t="n"/>
      <c r="L1012" s="282" t="n"/>
      <c r="O1012" s="282" t="n"/>
      <c r="P1012" s="282" t="n"/>
      <c r="S1012" s="282" t="n"/>
      <c r="T1012" s="282" t="n"/>
      <c r="W1012" s="282" t="n"/>
      <c r="X1012" s="282" t="n"/>
      <c r="Y1012" s="282" t="n"/>
      <c r="Z1012" s="282" t="n"/>
      <c r="AA1012" s="282" t="n"/>
      <c r="AB1012" s="282" t="n"/>
      <c r="AC1012" s="529" t="n"/>
      <c r="AE1012" s="282" t="n"/>
      <c r="AF1012" s="282" t="n"/>
      <c r="AI1012" s="282" t="n"/>
      <c r="AJ1012" s="282" t="n"/>
      <c r="AM1012" s="282" t="n"/>
      <c r="AN1012" s="282" t="n"/>
      <c r="AQ1012" s="282" t="n"/>
      <c r="AR1012" s="282" t="n"/>
    </row>
    <row customHeight="1" ht="15.75" r="1013" s="452" spans="1:45">
      <c r="A1013" s="44" t="n"/>
      <c r="G1013" s="282" t="n"/>
      <c r="H1013" s="282" t="n"/>
      <c r="K1013" s="282" t="n"/>
      <c r="L1013" s="282" t="n"/>
      <c r="O1013" s="282" t="n"/>
      <c r="P1013" s="282" t="n"/>
      <c r="S1013" s="282" t="n"/>
      <c r="T1013" s="282" t="n"/>
      <c r="W1013" s="282" t="n"/>
      <c r="X1013" s="282" t="n"/>
      <c r="Y1013" s="282" t="n"/>
      <c r="Z1013" s="282" t="n"/>
      <c r="AA1013" s="282" t="n"/>
      <c r="AB1013" s="282" t="n"/>
      <c r="AC1013" s="529" t="n"/>
      <c r="AE1013" s="282" t="n"/>
      <c r="AF1013" s="282" t="n"/>
      <c r="AI1013" s="282" t="n"/>
      <c r="AJ1013" s="282" t="n"/>
      <c r="AM1013" s="282" t="n"/>
      <c r="AN1013" s="282" t="n"/>
      <c r="AQ1013" s="282" t="n"/>
      <c r="AR1013" s="282" t="n"/>
    </row>
    <row customHeight="1" ht="15.75" r="1014" s="452" spans="1:45">
      <c r="A1014" s="44" t="n"/>
      <c r="G1014" s="282" t="n"/>
      <c r="H1014" s="282" t="n"/>
      <c r="K1014" s="282" t="n"/>
      <c r="L1014" s="282" t="n"/>
      <c r="O1014" s="282" t="n"/>
      <c r="P1014" s="282" t="n"/>
      <c r="S1014" s="282" t="n"/>
      <c r="T1014" s="282" t="n"/>
      <c r="W1014" s="282" t="n"/>
      <c r="X1014" s="282" t="n"/>
      <c r="Y1014" s="282" t="n"/>
      <c r="Z1014" s="282" t="n"/>
      <c r="AA1014" s="282" t="n"/>
      <c r="AB1014" s="282" t="n"/>
      <c r="AC1014" s="529" t="n"/>
      <c r="AE1014" s="282" t="n"/>
      <c r="AF1014" s="282" t="n"/>
      <c r="AI1014" s="282" t="n"/>
      <c r="AJ1014" s="282" t="n"/>
      <c r="AM1014" s="282" t="n"/>
      <c r="AN1014" s="282" t="n"/>
      <c r="AQ1014" s="282" t="n"/>
      <c r="AR1014" s="282" t="n"/>
    </row>
    <row customHeight="1" ht="15.75" r="1015" s="452" spans="1:45">
      <c r="A1015" s="44" t="n"/>
      <c r="G1015" s="282" t="n"/>
      <c r="H1015" s="282" t="n"/>
      <c r="K1015" s="282" t="n"/>
      <c r="L1015" s="282" t="n"/>
      <c r="O1015" s="282" t="n"/>
      <c r="P1015" s="282" t="n"/>
      <c r="S1015" s="282" t="n"/>
      <c r="T1015" s="282" t="n"/>
      <c r="W1015" s="282" t="n"/>
      <c r="X1015" s="282" t="n"/>
      <c r="Y1015" s="282" t="n"/>
      <c r="Z1015" s="282" t="n"/>
      <c r="AA1015" s="282" t="n"/>
      <c r="AB1015" s="282" t="n"/>
      <c r="AC1015" s="529" t="n"/>
      <c r="AE1015" s="282" t="n"/>
      <c r="AF1015" s="282" t="n"/>
      <c r="AI1015" s="282" t="n"/>
      <c r="AJ1015" s="282" t="n"/>
      <c r="AM1015" s="282" t="n"/>
      <c r="AN1015" s="282" t="n"/>
      <c r="AQ1015" s="282" t="n"/>
      <c r="AR1015" s="282" t="n"/>
    </row>
    <row customHeight="1" ht="15.75" r="1016" s="452" spans="1:45">
      <c r="A1016" s="44" t="n"/>
      <c r="G1016" s="282" t="n"/>
      <c r="H1016" s="282" t="n"/>
      <c r="K1016" s="282" t="n"/>
      <c r="L1016" s="282" t="n"/>
      <c r="O1016" s="282" t="n"/>
      <c r="P1016" s="282" t="n"/>
      <c r="S1016" s="282" t="n"/>
      <c r="T1016" s="282" t="n"/>
      <c r="W1016" s="282" t="n"/>
      <c r="X1016" s="282" t="n"/>
      <c r="Y1016" s="282" t="n"/>
      <c r="Z1016" s="282" t="n"/>
      <c r="AA1016" s="282" t="n"/>
      <c r="AB1016" s="282" t="n"/>
      <c r="AC1016" s="529" t="n"/>
      <c r="AE1016" s="282" t="n"/>
      <c r="AF1016" s="282" t="n"/>
      <c r="AI1016" s="282" t="n"/>
      <c r="AJ1016" s="282" t="n"/>
      <c r="AM1016" s="282" t="n"/>
      <c r="AN1016" s="282" t="n"/>
      <c r="AQ1016" s="282" t="n"/>
      <c r="AR1016" s="282" t="n"/>
    </row>
    <row customHeight="1" ht="15.75" r="1017" s="452" spans="1:45">
      <c r="A1017" s="44" t="n"/>
      <c r="G1017" s="282" t="n"/>
      <c r="H1017" s="282" t="n"/>
      <c r="K1017" s="282" t="n"/>
      <c r="L1017" s="282" t="n"/>
      <c r="O1017" s="282" t="n"/>
      <c r="P1017" s="282" t="n"/>
      <c r="S1017" s="282" t="n"/>
      <c r="T1017" s="282" t="n"/>
      <c r="W1017" s="282" t="n"/>
      <c r="X1017" s="282" t="n"/>
      <c r="Y1017" s="282" t="n"/>
      <c r="Z1017" s="282" t="n"/>
      <c r="AA1017" s="282" t="n"/>
      <c r="AB1017" s="282" t="n"/>
      <c r="AC1017" s="529" t="n"/>
      <c r="AE1017" s="282" t="n"/>
      <c r="AF1017" s="282" t="n"/>
      <c r="AI1017" s="282" t="n"/>
      <c r="AJ1017" s="282" t="n"/>
      <c r="AM1017" s="282" t="n"/>
      <c r="AN1017" s="282" t="n"/>
      <c r="AQ1017" s="282" t="n"/>
      <c r="AR1017" s="282" t="n"/>
    </row>
    <row customHeight="1" ht="15.75" r="1018" s="452" spans="1:45">
      <c r="A1018" s="44" t="n"/>
      <c r="G1018" s="282" t="n"/>
      <c r="H1018" s="282" t="n"/>
      <c r="K1018" s="282" t="n"/>
      <c r="L1018" s="282" t="n"/>
      <c r="O1018" s="282" t="n"/>
      <c r="P1018" s="282" t="n"/>
      <c r="S1018" s="282" t="n"/>
      <c r="T1018" s="282" t="n"/>
      <c r="W1018" s="282" t="n"/>
      <c r="X1018" s="282" t="n"/>
      <c r="Y1018" s="282" t="n"/>
      <c r="Z1018" s="282" t="n"/>
      <c r="AA1018" s="282" t="n"/>
      <c r="AB1018" s="282" t="n"/>
      <c r="AC1018" s="529" t="n"/>
      <c r="AE1018" s="282" t="n"/>
      <c r="AF1018" s="282" t="n"/>
      <c r="AI1018" s="282" t="n"/>
      <c r="AJ1018" s="282" t="n"/>
      <c r="AM1018" s="282" t="n"/>
      <c r="AN1018" s="282" t="n"/>
      <c r="AQ1018" s="282" t="n"/>
      <c r="AR1018" s="282" t="n"/>
    </row>
    <row customHeight="1" ht="15.75" r="1019" s="452" spans="1:45">
      <c r="A1019" s="44" t="n"/>
      <c r="G1019" s="282" t="n"/>
      <c r="H1019" s="282" t="n"/>
      <c r="K1019" s="282" t="n"/>
      <c r="L1019" s="282" t="n"/>
      <c r="O1019" s="282" t="n"/>
      <c r="P1019" s="282" t="n"/>
      <c r="S1019" s="282" t="n"/>
      <c r="T1019" s="282" t="n"/>
      <c r="W1019" s="282" t="n"/>
      <c r="X1019" s="282" t="n"/>
      <c r="Y1019" s="282" t="n"/>
      <c r="Z1019" s="282" t="n"/>
      <c r="AA1019" s="282" t="n"/>
      <c r="AB1019" s="282" t="n"/>
      <c r="AC1019" s="529" t="n"/>
      <c r="AE1019" s="282" t="n"/>
      <c r="AF1019" s="282" t="n"/>
      <c r="AI1019" s="282" t="n"/>
      <c r="AJ1019" s="282" t="n"/>
      <c r="AM1019" s="282" t="n"/>
      <c r="AN1019" s="282" t="n"/>
      <c r="AQ1019" s="282" t="n"/>
      <c r="AR1019" s="282" t="n"/>
    </row>
    <row customHeight="1" ht="15.75" r="1020" s="452" spans="1:45">
      <c r="A1020" s="44" t="n"/>
      <c r="G1020" s="282" t="n"/>
      <c r="H1020" s="282" t="n"/>
      <c r="K1020" s="282" t="n"/>
      <c r="L1020" s="282" t="n"/>
      <c r="O1020" s="282" t="n"/>
      <c r="P1020" s="282" t="n"/>
      <c r="S1020" s="282" t="n"/>
      <c r="T1020" s="282" t="n"/>
      <c r="W1020" s="282" t="n"/>
      <c r="X1020" s="282" t="n"/>
      <c r="Y1020" s="282" t="n"/>
      <c r="Z1020" s="282" t="n"/>
      <c r="AA1020" s="282" t="n"/>
      <c r="AB1020" s="282" t="n"/>
      <c r="AC1020" s="529" t="n"/>
      <c r="AE1020" s="282" t="n"/>
      <c r="AF1020" s="282" t="n"/>
      <c r="AI1020" s="282" t="n"/>
      <c r="AJ1020" s="282" t="n"/>
      <c r="AM1020" s="282" t="n"/>
      <c r="AN1020" s="282" t="n"/>
      <c r="AQ1020" s="282" t="n"/>
      <c r="AR1020" s="282" t="n"/>
    </row>
    <row customHeight="1" ht="15.75" r="1021" s="452" spans="1:45">
      <c r="A1021" s="44" t="n"/>
      <c r="G1021" s="282" t="n"/>
      <c r="H1021" s="282" t="n"/>
      <c r="K1021" s="282" t="n"/>
      <c r="L1021" s="282" t="n"/>
      <c r="O1021" s="282" t="n"/>
      <c r="P1021" s="282" t="n"/>
      <c r="S1021" s="282" t="n"/>
      <c r="T1021" s="282" t="n"/>
      <c r="W1021" s="282" t="n"/>
      <c r="X1021" s="282" t="n"/>
      <c r="Y1021" s="282" t="n"/>
      <c r="Z1021" s="282" t="n"/>
      <c r="AA1021" s="282" t="n"/>
      <c r="AB1021" s="282" t="n"/>
      <c r="AC1021" s="529" t="n"/>
      <c r="AE1021" s="282" t="n"/>
      <c r="AF1021" s="282" t="n"/>
      <c r="AI1021" s="282" t="n"/>
      <c r="AJ1021" s="282" t="n"/>
      <c r="AM1021" s="282" t="n"/>
      <c r="AN1021" s="282" t="n"/>
      <c r="AQ1021" s="282" t="n"/>
      <c r="AR1021" s="282" t="n"/>
    </row>
    <row customHeight="1" ht="15.75" r="1022" s="452" spans="1:45">
      <c r="A1022" s="44" t="n"/>
      <c r="G1022" s="282" t="n"/>
      <c r="H1022" s="282" t="n"/>
      <c r="K1022" s="282" t="n"/>
      <c r="L1022" s="282" t="n"/>
      <c r="O1022" s="282" t="n"/>
      <c r="P1022" s="282" t="n"/>
      <c r="S1022" s="282" t="n"/>
      <c r="T1022" s="282" t="n"/>
      <c r="W1022" s="282" t="n"/>
      <c r="X1022" s="282" t="n"/>
      <c r="Y1022" s="282" t="n"/>
      <c r="Z1022" s="282" t="n"/>
      <c r="AA1022" s="282" t="n"/>
      <c r="AB1022" s="282" t="n"/>
      <c r="AC1022" s="529" t="n"/>
      <c r="AE1022" s="282" t="n"/>
      <c r="AF1022" s="282" t="n"/>
      <c r="AI1022" s="282" t="n"/>
      <c r="AJ1022" s="282" t="n"/>
      <c r="AM1022" s="282" t="n"/>
      <c r="AN1022" s="282" t="n"/>
      <c r="AQ1022" s="282" t="n"/>
      <c r="AR1022" s="282" t="n"/>
    </row>
    <row customHeight="1" ht="15.75" r="1023" s="452" spans="1:45">
      <c r="A1023" s="44" t="n"/>
      <c r="G1023" s="282" t="n"/>
      <c r="H1023" s="282" t="n"/>
      <c r="K1023" s="282" t="n"/>
      <c r="L1023" s="282" t="n"/>
      <c r="O1023" s="282" t="n"/>
      <c r="P1023" s="282" t="n"/>
      <c r="S1023" s="282" t="n"/>
      <c r="T1023" s="282" t="n"/>
      <c r="W1023" s="282" t="n"/>
      <c r="X1023" s="282" t="n"/>
      <c r="Y1023" s="282" t="n"/>
      <c r="Z1023" s="282" t="n"/>
      <c r="AA1023" s="282" t="n"/>
      <c r="AB1023" s="282" t="n"/>
      <c r="AC1023" s="529" t="n"/>
      <c r="AE1023" s="282" t="n"/>
      <c r="AF1023" s="282" t="n"/>
      <c r="AI1023" s="282" t="n"/>
      <c r="AJ1023" s="282" t="n"/>
      <c r="AM1023" s="282" t="n"/>
      <c r="AN1023" s="282" t="n"/>
      <c r="AQ1023" s="282" t="n"/>
      <c r="AR1023" s="282" t="n"/>
    </row>
    <row customHeight="1" ht="15.75" r="1024" s="452" spans="1:45">
      <c r="A1024" s="44" t="n"/>
      <c r="G1024" s="282" t="n"/>
      <c r="H1024" s="282" t="n"/>
      <c r="K1024" s="282" t="n"/>
      <c r="L1024" s="282" t="n"/>
      <c r="O1024" s="282" t="n"/>
      <c r="P1024" s="282" t="n"/>
      <c r="S1024" s="282" t="n"/>
      <c r="T1024" s="282" t="n"/>
      <c r="W1024" s="282" t="n"/>
      <c r="X1024" s="282" t="n"/>
      <c r="Y1024" s="282" t="n"/>
      <c r="Z1024" s="282" t="n"/>
      <c r="AA1024" s="282" t="n"/>
      <c r="AB1024" s="282" t="n"/>
      <c r="AC1024" s="529" t="n"/>
      <c r="AE1024" s="282" t="n"/>
      <c r="AF1024" s="282" t="n"/>
      <c r="AI1024" s="282" t="n"/>
      <c r="AJ1024" s="282" t="n"/>
      <c r="AM1024" s="282" t="n"/>
      <c r="AN1024" s="282" t="n"/>
      <c r="AQ1024" s="282" t="n"/>
      <c r="AR1024" s="282" t="n"/>
    </row>
    <row customHeight="1" ht="15.75" r="1025" s="452" spans="1:45">
      <c r="A1025" s="44" t="n"/>
      <c r="G1025" s="282" t="n"/>
      <c r="H1025" s="282" t="n"/>
      <c r="K1025" s="282" t="n"/>
      <c r="L1025" s="282" t="n"/>
      <c r="O1025" s="282" t="n"/>
      <c r="P1025" s="282" t="n"/>
      <c r="S1025" s="282" t="n"/>
      <c r="T1025" s="282" t="n"/>
      <c r="W1025" s="282" t="n"/>
      <c r="X1025" s="282" t="n"/>
      <c r="Y1025" s="282" t="n"/>
      <c r="Z1025" s="282" t="n"/>
      <c r="AA1025" s="282" t="n"/>
      <c r="AB1025" s="282" t="n"/>
      <c r="AC1025" s="529" t="n"/>
      <c r="AE1025" s="282" t="n"/>
      <c r="AF1025" s="282" t="n"/>
      <c r="AI1025" s="282" t="n"/>
      <c r="AJ1025" s="282" t="n"/>
      <c r="AM1025" s="282" t="n"/>
      <c r="AN1025" s="282" t="n"/>
      <c r="AQ1025" s="282" t="n"/>
      <c r="AR1025" s="282" t="n"/>
    </row>
    <row customHeight="1" ht="15.75" r="1026" s="452" spans="1:45">
      <c r="A1026" s="44" t="n"/>
      <c r="G1026" s="282" t="n"/>
      <c r="H1026" s="282" t="n"/>
      <c r="K1026" s="282" t="n"/>
      <c r="L1026" s="282" t="n"/>
      <c r="O1026" s="282" t="n"/>
      <c r="P1026" s="282" t="n"/>
      <c r="S1026" s="282" t="n"/>
      <c r="T1026" s="282" t="n"/>
      <c r="W1026" s="282" t="n"/>
      <c r="X1026" s="282" t="n"/>
      <c r="Y1026" s="282" t="n"/>
      <c r="Z1026" s="282" t="n"/>
      <c r="AA1026" s="282" t="n"/>
      <c r="AB1026" s="282" t="n"/>
      <c r="AC1026" s="529" t="n"/>
      <c r="AE1026" s="282" t="n"/>
      <c r="AF1026" s="282" t="n"/>
      <c r="AI1026" s="282" t="n"/>
      <c r="AJ1026" s="282" t="n"/>
      <c r="AM1026" s="282" t="n"/>
      <c r="AN1026" s="282" t="n"/>
      <c r="AQ1026" s="282" t="n"/>
      <c r="AR1026" s="282" t="n"/>
    </row>
    <row customHeight="1" ht="15.75" r="1027" s="452" spans="1:45">
      <c r="A1027" s="44" t="n"/>
      <c r="G1027" s="282" t="n"/>
      <c r="H1027" s="282" t="n"/>
      <c r="K1027" s="282" t="n"/>
      <c r="L1027" s="282" t="n"/>
      <c r="O1027" s="282" t="n"/>
      <c r="P1027" s="282" t="n"/>
      <c r="S1027" s="282" t="n"/>
      <c r="T1027" s="282" t="n"/>
      <c r="W1027" s="282" t="n"/>
      <c r="X1027" s="282" t="n"/>
      <c r="Y1027" s="282" t="n"/>
      <c r="Z1027" s="282" t="n"/>
      <c r="AA1027" s="282" t="n"/>
      <c r="AB1027" s="282" t="n"/>
      <c r="AC1027" s="529" t="n"/>
      <c r="AE1027" s="282" t="n"/>
      <c r="AF1027" s="282" t="n"/>
      <c r="AI1027" s="282" t="n"/>
      <c r="AJ1027" s="282" t="n"/>
      <c r="AM1027" s="282" t="n"/>
      <c r="AN1027" s="282" t="n"/>
      <c r="AQ1027" s="282" t="n"/>
      <c r="AR1027" s="282" t="n"/>
    </row>
    <row customHeight="1" ht="15.75" r="1028" s="452" spans="1:45">
      <c r="A1028" s="44" t="n"/>
      <c r="G1028" s="282" t="n"/>
      <c r="H1028" s="282" t="n"/>
      <c r="K1028" s="282" t="n"/>
      <c r="L1028" s="282" t="n"/>
      <c r="O1028" s="282" t="n"/>
      <c r="P1028" s="282" t="n"/>
      <c r="S1028" s="282" t="n"/>
      <c r="T1028" s="282" t="n"/>
      <c r="W1028" s="282" t="n"/>
      <c r="X1028" s="282" t="n"/>
      <c r="Y1028" s="282" t="n"/>
      <c r="Z1028" s="282" t="n"/>
      <c r="AA1028" s="282" t="n"/>
      <c r="AB1028" s="282" t="n"/>
      <c r="AC1028" s="529" t="n"/>
      <c r="AE1028" s="282" t="n"/>
      <c r="AF1028" s="282" t="n"/>
      <c r="AI1028" s="282" t="n"/>
      <c r="AJ1028" s="282" t="n"/>
      <c r="AM1028" s="282" t="n"/>
      <c r="AN1028" s="282" t="n"/>
      <c r="AQ1028" s="282" t="n"/>
      <c r="AR1028" s="282" t="n"/>
    </row>
    <row customHeight="1" ht="15.75" r="1029" s="452" spans="1:45">
      <c r="A1029" s="44" t="n"/>
      <c r="G1029" s="282" t="n"/>
      <c r="H1029" s="282" t="n"/>
      <c r="K1029" s="282" t="n"/>
      <c r="L1029" s="282" t="n"/>
      <c r="O1029" s="282" t="n"/>
      <c r="P1029" s="282" t="n"/>
      <c r="S1029" s="282" t="n"/>
      <c r="T1029" s="282" t="n"/>
      <c r="W1029" s="282" t="n"/>
      <c r="X1029" s="282" t="n"/>
      <c r="Y1029" s="282" t="n"/>
      <c r="Z1029" s="282" t="n"/>
      <c r="AA1029" s="282" t="n"/>
      <c r="AB1029" s="282" t="n"/>
      <c r="AC1029" s="529" t="n"/>
      <c r="AE1029" s="282" t="n"/>
      <c r="AF1029" s="282" t="n"/>
      <c r="AI1029" s="282" t="n"/>
      <c r="AJ1029" s="282" t="n"/>
      <c r="AM1029" s="282" t="n"/>
      <c r="AN1029" s="282" t="n"/>
      <c r="AQ1029" s="282" t="n"/>
      <c r="AR1029" s="282" t="n"/>
    </row>
    <row customHeight="1" ht="15.75" r="1030" s="452" spans="1:45">
      <c r="A1030" s="44" t="n"/>
      <c r="G1030" s="282" t="n"/>
      <c r="H1030" s="282" t="n"/>
      <c r="K1030" s="282" t="n"/>
      <c r="L1030" s="282" t="n"/>
      <c r="O1030" s="282" t="n"/>
      <c r="P1030" s="282" t="n"/>
      <c r="S1030" s="282" t="n"/>
      <c r="T1030" s="282" t="n"/>
      <c r="W1030" s="282" t="n"/>
      <c r="X1030" s="282" t="n"/>
      <c r="Y1030" s="282" t="n"/>
      <c r="Z1030" s="282" t="n"/>
      <c r="AA1030" s="282" t="n"/>
      <c r="AB1030" s="282" t="n"/>
      <c r="AC1030" s="529" t="n"/>
      <c r="AE1030" s="282" t="n"/>
      <c r="AF1030" s="282" t="n"/>
      <c r="AI1030" s="282" t="n"/>
      <c r="AJ1030" s="282" t="n"/>
      <c r="AM1030" s="282" t="n"/>
      <c r="AN1030" s="282" t="n"/>
      <c r="AQ1030" s="282" t="n"/>
      <c r="AR1030" s="282" t="n"/>
    </row>
    <row customHeight="1" ht="15.75" r="1031" s="452" spans="1:45">
      <c r="A1031" s="44" t="n"/>
      <c r="G1031" s="282" t="n"/>
      <c r="H1031" s="282" t="n"/>
      <c r="K1031" s="282" t="n"/>
      <c r="L1031" s="282" t="n"/>
      <c r="O1031" s="282" t="n"/>
      <c r="P1031" s="282" t="n"/>
      <c r="S1031" s="282" t="n"/>
      <c r="T1031" s="282" t="n"/>
      <c r="W1031" s="282" t="n"/>
      <c r="X1031" s="282" t="n"/>
      <c r="Y1031" s="282" t="n"/>
      <c r="Z1031" s="282" t="n"/>
      <c r="AA1031" s="282" t="n"/>
      <c r="AB1031" s="282" t="n"/>
      <c r="AC1031" s="529" t="n"/>
      <c r="AE1031" s="282" t="n"/>
      <c r="AF1031" s="282" t="n"/>
      <c r="AI1031" s="282" t="n"/>
      <c r="AJ1031" s="282" t="n"/>
      <c r="AM1031" s="282" t="n"/>
      <c r="AN1031" s="282" t="n"/>
      <c r="AQ1031" s="282" t="n"/>
      <c r="AR1031" s="282" t="n"/>
    </row>
    <row customHeight="1" ht="15.75" r="1032" s="452" spans="1:45">
      <c r="A1032" s="44" t="n"/>
      <c r="G1032" s="282" t="n"/>
      <c r="H1032" s="282" t="n"/>
      <c r="K1032" s="282" t="n"/>
      <c r="L1032" s="282" t="n"/>
      <c r="O1032" s="282" t="n"/>
      <c r="P1032" s="282" t="n"/>
      <c r="S1032" s="282" t="n"/>
      <c r="T1032" s="282" t="n"/>
      <c r="W1032" s="282" t="n"/>
      <c r="X1032" s="282" t="n"/>
      <c r="Y1032" s="282" t="n"/>
      <c r="Z1032" s="282" t="n"/>
      <c r="AA1032" s="282" t="n"/>
      <c r="AB1032" s="282" t="n"/>
      <c r="AC1032" s="529" t="n"/>
      <c r="AE1032" s="282" t="n"/>
      <c r="AF1032" s="282" t="n"/>
      <c r="AI1032" s="282" t="n"/>
      <c r="AJ1032" s="282" t="n"/>
      <c r="AM1032" s="282" t="n"/>
      <c r="AN1032" s="282" t="n"/>
      <c r="AQ1032" s="282" t="n"/>
      <c r="AR1032" s="282" t="n"/>
    </row>
    <row customHeight="1" ht="15.75" r="1033" s="452" spans="1:45">
      <c r="A1033" s="44" t="n"/>
      <c r="G1033" s="282" t="n"/>
      <c r="H1033" s="282" t="n"/>
      <c r="K1033" s="282" t="n"/>
      <c r="L1033" s="282" t="n"/>
      <c r="O1033" s="282" t="n"/>
      <c r="P1033" s="282" t="n"/>
      <c r="S1033" s="282" t="n"/>
      <c r="T1033" s="282" t="n"/>
      <c r="W1033" s="282" t="n"/>
      <c r="X1033" s="282" t="n"/>
      <c r="Y1033" s="282" t="n"/>
      <c r="Z1033" s="282" t="n"/>
      <c r="AA1033" s="282" t="n"/>
      <c r="AB1033" s="282" t="n"/>
      <c r="AC1033" s="529" t="n"/>
      <c r="AE1033" s="282" t="n"/>
      <c r="AF1033" s="282" t="n"/>
      <c r="AI1033" s="282" t="n"/>
      <c r="AJ1033" s="282" t="n"/>
      <c r="AM1033" s="282" t="n"/>
      <c r="AN1033" s="282" t="n"/>
      <c r="AQ1033" s="282" t="n"/>
      <c r="AR1033" s="282" t="n"/>
    </row>
    <row customHeight="1" ht="15.75" r="1034" s="452" spans="1:45">
      <c r="A1034" s="44" t="n"/>
      <c r="G1034" s="282" t="n"/>
      <c r="H1034" s="282" t="n"/>
      <c r="K1034" s="282" t="n"/>
      <c r="L1034" s="282" t="n"/>
      <c r="O1034" s="282" t="n"/>
      <c r="P1034" s="282" t="n"/>
      <c r="S1034" s="282" t="n"/>
      <c r="T1034" s="282" t="n"/>
      <c r="W1034" s="282" t="n"/>
      <c r="X1034" s="282" t="n"/>
      <c r="Y1034" s="282" t="n"/>
      <c r="Z1034" s="282" t="n"/>
      <c r="AA1034" s="282" t="n"/>
      <c r="AB1034" s="282" t="n"/>
      <c r="AC1034" s="529" t="n"/>
      <c r="AE1034" s="282" t="n"/>
      <c r="AF1034" s="282" t="n"/>
      <c r="AI1034" s="282" t="n"/>
      <c r="AJ1034" s="282" t="n"/>
      <c r="AM1034" s="282" t="n"/>
      <c r="AN1034" s="282" t="n"/>
      <c r="AQ1034" s="282" t="n"/>
      <c r="AR1034" s="282" t="n"/>
    </row>
    <row customHeight="1" ht="15.75" r="1035" s="452" spans="1:45">
      <c r="A1035" s="44" t="n"/>
      <c r="G1035" s="282" t="n"/>
      <c r="H1035" s="282" t="n"/>
      <c r="K1035" s="282" t="n"/>
      <c r="L1035" s="282" t="n"/>
      <c r="O1035" s="282" t="n"/>
      <c r="P1035" s="282" t="n"/>
      <c r="S1035" s="282" t="n"/>
      <c r="T1035" s="282" t="n"/>
      <c r="W1035" s="282" t="n"/>
      <c r="X1035" s="282" t="n"/>
      <c r="Y1035" s="282" t="n"/>
      <c r="Z1035" s="282" t="n"/>
      <c r="AA1035" s="282" t="n"/>
      <c r="AB1035" s="282" t="n"/>
      <c r="AC1035" s="529" t="n"/>
      <c r="AE1035" s="282" t="n"/>
      <c r="AF1035" s="282" t="n"/>
      <c r="AI1035" s="282" t="n"/>
      <c r="AJ1035" s="282" t="n"/>
      <c r="AM1035" s="282" t="n"/>
      <c r="AN1035" s="282" t="n"/>
      <c r="AQ1035" s="282" t="n"/>
      <c r="AR1035" s="282" t="n"/>
    </row>
    <row customHeight="1" ht="15.75" r="1036" s="452" spans="1:45">
      <c r="A1036" s="44" t="n"/>
      <c r="G1036" s="282" t="n"/>
      <c r="H1036" s="282" t="n"/>
      <c r="K1036" s="282" t="n"/>
      <c r="L1036" s="282" t="n"/>
      <c r="O1036" s="282" t="n"/>
      <c r="P1036" s="282" t="n"/>
      <c r="S1036" s="282" t="n"/>
      <c r="T1036" s="282" t="n"/>
      <c r="W1036" s="282" t="n"/>
      <c r="X1036" s="282" t="n"/>
      <c r="Y1036" s="282" t="n"/>
      <c r="Z1036" s="282" t="n"/>
      <c r="AA1036" s="282" t="n"/>
      <c r="AB1036" s="282" t="n"/>
      <c r="AC1036" s="529" t="n"/>
      <c r="AE1036" s="282" t="n"/>
      <c r="AF1036" s="282" t="n"/>
      <c r="AI1036" s="282" t="n"/>
      <c r="AJ1036" s="282" t="n"/>
      <c r="AM1036" s="282" t="n"/>
      <c r="AN1036" s="282" t="n"/>
      <c r="AQ1036" s="282" t="n"/>
      <c r="AR1036" s="282" t="n"/>
    </row>
    <row customHeight="1" ht="15.75" r="1037" s="452" spans="1:45">
      <c r="A1037" s="44" t="n"/>
      <c r="G1037" s="282" t="n"/>
      <c r="H1037" s="282" t="n"/>
      <c r="K1037" s="282" t="n"/>
      <c r="L1037" s="282" t="n"/>
      <c r="O1037" s="282" t="n"/>
      <c r="P1037" s="282" t="n"/>
      <c r="S1037" s="282" t="n"/>
      <c r="T1037" s="282" t="n"/>
      <c r="W1037" s="282" t="n"/>
      <c r="X1037" s="282" t="n"/>
      <c r="Y1037" s="282" t="n"/>
      <c r="Z1037" s="282" t="n"/>
      <c r="AA1037" s="282" t="n"/>
      <c r="AB1037" s="282" t="n"/>
      <c r="AC1037" s="529" t="n"/>
      <c r="AE1037" s="282" t="n"/>
      <c r="AF1037" s="282" t="n"/>
      <c r="AI1037" s="282" t="n"/>
      <c r="AJ1037" s="282" t="n"/>
      <c r="AM1037" s="282" t="n"/>
      <c r="AN1037" s="282" t="n"/>
      <c r="AQ1037" s="282" t="n"/>
      <c r="AR1037" s="282" t="n"/>
    </row>
    <row customHeight="1" ht="15.75" r="1038" s="452" spans="1:45">
      <c r="A1038" s="44" t="n"/>
      <c r="G1038" s="282" t="n"/>
      <c r="H1038" s="282" t="n"/>
      <c r="K1038" s="282" t="n"/>
      <c r="L1038" s="282" t="n"/>
      <c r="O1038" s="282" t="n"/>
      <c r="P1038" s="282" t="n"/>
      <c r="S1038" s="282" t="n"/>
      <c r="T1038" s="282" t="n"/>
      <c r="W1038" s="282" t="n"/>
      <c r="X1038" s="282" t="n"/>
      <c r="Y1038" s="282" t="n"/>
      <c r="Z1038" s="282" t="n"/>
      <c r="AA1038" s="282" t="n"/>
      <c r="AB1038" s="282" t="n"/>
      <c r="AC1038" s="529" t="n"/>
      <c r="AE1038" s="282" t="n"/>
      <c r="AF1038" s="282" t="n"/>
      <c r="AI1038" s="282" t="n"/>
      <c r="AJ1038" s="282" t="n"/>
      <c r="AM1038" s="282" t="n"/>
      <c r="AN1038" s="282" t="n"/>
      <c r="AQ1038" s="282" t="n"/>
      <c r="AR1038" s="282" t="n"/>
    </row>
    <row customHeight="1" ht="15.75" r="1039" s="452" spans="1:45">
      <c r="A1039" s="44" t="n"/>
      <c r="G1039" s="282" t="n"/>
      <c r="H1039" s="282" t="n"/>
      <c r="K1039" s="282" t="n"/>
      <c r="L1039" s="282" t="n"/>
      <c r="O1039" s="282" t="n"/>
      <c r="P1039" s="282" t="n"/>
      <c r="S1039" s="282" t="n"/>
      <c r="T1039" s="282" t="n"/>
      <c r="W1039" s="282" t="n"/>
      <c r="X1039" s="282" t="n"/>
      <c r="Y1039" s="282" t="n"/>
      <c r="Z1039" s="282" t="n"/>
      <c r="AA1039" s="282" t="n"/>
      <c r="AB1039" s="282" t="n"/>
      <c r="AC1039" s="529" t="n"/>
      <c r="AE1039" s="282" t="n"/>
      <c r="AF1039" s="282" t="n"/>
      <c r="AI1039" s="282" t="n"/>
      <c r="AJ1039" s="282" t="n"/>
      <c r="AM1039" s="282" t="n"/>
      <c r="AN1039" s="282" t="n"/>
      <c r="AQ1039" s="282" t="n"/>
      <c r="AR1039" s="282" t="n"/>
    </row>
    <row customHeight="1" ht="15.75" r="1040" s="452" spans="1:45">
      <c r="A1040" s="44" t="n"/>
      <c r="G1040" s="282" t="n"/>
      <c r="H1040" s="282" t="n"/>
      <c r="K1040" s="282" t="n"/>
      <c r="L1040" s="282" t="n"/>
      <c r="O1040" s="282" t="n"/>
      <c r="P1040" s="282" t="n"/>
      <c r="S1040" s="282" t="n"/>
      <c r="T1040" s="282" t="n"/>
      <c r="W1040" s="282" t="n"/>
      <c r="X1040" s="282" t="n"/>
      <c r="Y1040" s="282" t="n"/>
      <c r="Z1040" s="282" t="n"/>
      <c r="AA1040" s="282" t="n"/>
      <c r="AB1040" s="282" t="n"/>
      <c r="AC1040" s="529" t="n"/>
      <c r="AE1040" s="282" t="n"/>
      <c r="AF1040" s="282" t="n"/>
      <c r="AI1040" s="282" t="n"/>
      <c r="AJ1040" s="282" t="n"/>
      <c r="AM1040" s="282" t="n"/>
      <c r="AN1040" s="282" t="n"/>
      <c r="AQ1040" s="282" t="n"/>
      <c r="AR1040" s="282" t="n"/>
    </row>
    <row customHeight="1" ht="15.75" r="1041" s="452" spans="1:45">
      <c r="A1041" s="44" t="n"/>
      <c r="G1041" s="282" t="n"/>
      <c r="H1041" s="282" t="n"/>
      <c r="K1041" s="282" t="n"/>
      <c r="L1041" s="282" t="n"/>
      <c r="O1041" s="282" t="n"/>
      <c r="P1041" s="282" t="n"/>
      <c r="S1041" s="282" t="n"/>
      <c r="T1041" s="282" t="n"/>
      <c r="W1041" s="282" t="n"/>
      <c r="X1041" s="282" t="n"/>
      <c r="Y1041" s="282" t="n"/>
      <c r="Z1041" s="282" t="n"/>
      <c r="AA1041" s="282" t="n"/>
      <c r="AB1041" s="282" t="n"/>
      <c r="AC1041" s="529" t="n"/>
      <c r="AE1041" s="282" t="n"/>
      <c r="AF1041" s="282" t="n"/>
      <c r="AI1041" s="282" t="n"/>
      <c r="AJ1041" s="282" t="n"/>
      <c r="AM1041" s="282" t="n"/>
      <c r="AN1041" s="282" t="n"/>
      <c r="AQ1041" s="282" t="n"/>
      <c r="AR1041" s="282" t="n"/>
    </row>
    <row customHeight="1" ht="15.75" r="1042" s="452" spans="1:45">
      <c r="A1042" s="44" t="n"/>
      <c r="G1042" s="282" t="n"/>
      <c r="H1042" s="282" t="n"/>
      <c r="K1042" s="282" t="n"/>
      <c r="L1042" s="282" t="n"/>
      <c r="O1042" s="282" t="n"/>
      <c r="P1042" s="282" t="n"/>
      <c r="S1042" s="282" t="n"/>
      <c r="T1042" s="282" t="n"/>
      <c r="W1042" s="282" t="n"/>
      <c r="X1042" s="282" t="n"/>
      <c r="Y1042" s="282" t="n"/>
      <c r="Z1042" s="282" t="n"/>
      <c r="AA1042" s="282" t="n"/>
      <c r="AB1042" s="282" t="n"/>
      <c r="AC1042" s="529" t="n"/>
      <c r="AE1042" s="282" t="n"/>
      <c r="AF1042" s="282" t="n"/>
      <c r="AI1042" s="282" t="n"/>
      <c r="AJ1042" s="282" t="n"/>
      <c r="AM1042" s="282" t="n"/>
      <c r="AN1042" s="282" t="n"/>
      <c r="AQ1042" s="282" t="n"/>
      <c r="AR1042" s="282" t="n"/>
    </row>
    <row customHeight="1" ht="15.75" r="1043" s="452" spans="1:45">
      <c r="A1043" s="44" t="n"/>
      <c r="G1043" s="282" t="n"/>
      <c r="H1043" s="282" t="n"/>
      <c r="K1043" s="282" t="n"/>
      <c r="L1043" s="282" t="n"/>
      <c r="O1043" s="282" t="n"/>
      <c r="P1043" s="282" t="n"/>
      <c r="S1043" s="282" t="n"/>
      <c r="T1043" s="282" t="n"/>
      <c r="W1043" s="282" t="n"/>
      <c r="X1043" s="282" t="n"/>
      <c r="Y1043" s="282" t="n"/>
      <c r="Z1043" s="282" t="n"/>
      <c r="AA1043" s="282" t="n"/>
      <c r="AB1043" s="282" t="n"/>
      <c r="AC1043" s="529" t="n"/>
      <c r="AE1043" s="282" t="n"/>
      <c r="AF1043" s="282" t="n"/>
      <c r="AI1043" s="282" t="n"/>
      <c r="AJ1043" s="282" t="n"/>
      <c r="AM1043" s="282" t="n"/>
      <c r="AN1043" s="282" t="n"/>
      <c r="AQ1043" s="282" t="n"/>
      <c r="AR1043" s="282" t="n"/>
    </row>
    <row customHeight="1" ht="15.75" r="1044" s="452" spans="1:45">
      <c r="A1044" s="44" t="n"/>
      <c r="G1044" s="282" t="n"/>
      <c r="H1044" s="282" t="n"/>
      <c r="K1044" s="282" t="n"/>
      <c r="L1044" s="282" t="n"/>
      <c r="O1044" s="282" t="n"/>
      <c r="P1044" s="282" t="n"/>
      <c r="S1044" s="282" t="n"/>
      <c r="T1044" s="282" t="n"/>
      <c r="W1044" s="282" t="n"/>
      <c r="X1044" s="282" t="n"/>
      <c r="Y1044" s="282" t="n"/>
      <c r="Z1044" s="282" t="n"/>
      <c r="AA1044" s="282" t="n"/>
      <c r="AB1044" s="282" t="n"/>
      <c r="AC1044" s="529" t="n"/>
      <c r="AE1044" s="282" t="n"/>
      <c r="AF1044" s="282" t="n"/>
      <c r="AI1044" s="282" t="n"/>
      <c r="AJ1044" s="282" t="n"/>
      <c r="AM1044" s="282" t="n"/>
      <c r="AN1044" s="282" t="n"/>
      <c r="AQ1044" s="282" t="n"/>
      <c r="AR1044" s="282" t="n"/>
    </row>
    <row customHeight="1" ht="15.75" r="1045" s="452" spans="1:45">
      <c r="A1045" s="44" t="n"/>
      <c r="G1045" s="282" t="n"/>
      <c r="H1045" s="282" t="n"/>
      <c r="K1045" s="282" t="n"/>
      <c r="L1045" s="282" t="n"/>
      <c r="O1045" s="282" t="n"/>
      <c r="P1045" s="282" t="n"/>
      <c r="S1045" s="282" t="n"/>
      <c r="T1045" s="282" t="n"/>
      <c r="W1045" s="282" t="n"/>
      <c r="X1045" s="282" t="n"/>
      <c r="Y1045" s="282" t="n"/>
      <c r="Z1045" s="282" t="n"/>
      <c r="AA1045" s="282" t="n"/>
      <c r="AB1045" s="282" t="n"/>
      <c r="AC1045" s="529" t="n"/>
      <c r="AE1045" s="282" t="n"/>
      <c r="AF1045" s="282" t="n"/>
      <c r="AI1045" s="282" t="n"/>
      <c r="AJ1045" s="282" t="n"/>
      <c r="AM1045" s="282" t="n"/>
      <c r="AN1045" s="282" t="n"/>
      <c r="AQ1045" s="282" t="n"/>
      <c r="AR1045" s="282" t="n"/>
    </row>
    <row customHeight="1" ht="15.75" r="1046" s="452" spans="1:45">
      <c r="A1046" s="44" t="n"/>
      <c r="G1046" s="282" t="n"/>
      <c r="H1046" s="282" t="n"/>
      <c r="K1046" s="282" t="n"/>
      <c r="L1046" s="282" t="n"/>
      <c r="O1046" s="282" t="n"/>
      <c r="P1046" s="282" t="n"/>
      <c r="S1046" s="282" t="n"/>
      <c r="T1046" s="282" t="n"/>
      <c r="W1046" s="282" t="n"/>
      <c r="X1046" s="282" t="n"/>
      <c r="Y1046" s="282" t="n"/>
      <c r="Z1046" s="282" t="n"/>
      <c r="AA1046" s="282" t="n"/>
      <c r="AB1046" s="282" t="n"/>
      <c r="AC1046" s="529" t="n"/>
      <c r="AE1046" s="282" t="n"/>
      <c r="AF1046" s="282" t="n"/>
      <c r="AI1046" s="282" t="n"/>
      <c r="AJ1046" s="282" t="n"/>
      <c r="AM1046" s="282" t="n"/>
      <c r="AN1046" s="282" t="n"/>
      <c r="AQ1046" s="282" t="n"/>
      <c r="AR1046" s="282" t="n"/>
    </row>
    <row customHeight="1" ht="15.75" r="1047" s="452" spans="1:45">
      <c r="A1047" s="44" t="n"/>
      <c r="G1047" s="282" t="n"/>
      <c r="H1047" s="282" t="n"/>
      <c r="K1047" s="282" t="n"/>
      <c r="L1047" s="282" t="n"/>
      <c r="O1047" s="282" t="n"/>
      <c r="P1047" s="282" t="n"/>
      <c r="S1047" s="282" t="n"/>
      <c r="T1047" s="282" t="n"/>
      <c r="W1047" s="282" t="n"/>
      <c r="X1047" s="282" t="n"/>
      <c r="Y1047" s="282" t="n"/>
      <c r="Z1047" s="282" t="n"/>
      <c r="AA1047" s="282" t="n"/>
      <c r="AB1047" s="282" t="n"/>
      <c r="AC1047" s="529" t="n"/>
      <c r="AE1047" s="282" t="n"/>
      <c r="AF1047" s="282" t="n"/>
      <c r="AI1047" s="282" t="n"/>
      <c r="AJ1047" s="282" t="n"/>
      <c r="AM1047" s="282" t="n"/>
      <c r="AN1047" s="282" t="n"/>
      <c r="AQ1047" s="282" t="n"/>
      <c r="AR1047" s="282" t="n"/>
    </row>
    <row customHeight="1" ht="15.75" r="1048" s="452" spans="1:45">
      <c r="A1048" s="44" t="n"/>
      <c r="G1048" s="282" t="n"/>
      <c r="H1048" s="282" t="n"/>
      <c r="K1048" s="282" t="n"/>
      <c r="L1048" s="282" t="n"/>
      <c r="O1048" s="282" t="n"/>
      <c r="P1048" s="282" t="n"/>
      <c r="S1048" s="282" t="n"/>
      <c r="T1048" s="282" t="n"/>
      <c r="W1048" s="282" t="n"/>
      <c r="X1048" s="282" t="n"/>
      <c r="Y1048" s="282" t="n"/>
      <c r="Z1048" s="282" t="n"/>
      <c r="AA1048" s="282" t="n"/>
      <c r="AB1048" s="282" t="n"/>
      <c r="AC1048" s="529" t="n"/>
      <c r="AE1048" s="282" t="n"/>
      <c r="AF1048" s="282" t="n"/>
      <c r="AI1048" s="282" t="n"/>
      <c r="AJ1048" s="282" t="n"/>
      <c r="AM1048" s="282" t="n"/>
      <c r="AN1048" s="282" t="n"/>
      <c r="AQ1048" s="282" t="n"/>
      <c r="AR1048" s="282" t="n"/>
    </row>
    <row customHeight="1" ht="15.75" r="1049" s="452" spans="1:45">
      <c r="A1049" s="44" t="n"/>
      <c r="G1049" s="282" t="n"/>
      <c r="H1049" s="282" t="n"/>
      <c r="K1049" s="282" t="n"/>
      <c r="L1049" s="282" t="n"/>
      <c r="O1049" s="282" t="n"/>
      <c r="P1049" s="282" t="n"/>
      <c r="S1049" s="282" t="n"/>
      <c r="T1049" s="282" t="n"/>
      <c r="W1049" s="282" t="n"/>
      <c r="X1049" s="282" t="n"/>
      <c r="Y1049" s="282" t="n"/>
      <c r="Z1049" s="282" t="n"/>
      <c r="AA1049" s="282" t="n"/>
      <c r="AB1049" s="282" t="n"/>
      <c r="AC1049" s="529" t="n"/>
      <c r="AE1049" s="282" t="n"/>
      <c r="AF1049" s="282" t="n"/>
      <c r="AI1049" s="282" t="n"/>
      <c r="AJ1049" s="282" t="n"/>
      <c r="AM1049" s="282" t="n"/>
      <c r="AN1049" s="282" t="n"/>
      <c r="AQ1049" s="282" t="n"/>
      <c r="AR1049" s="282" t="n"/>
    </row>
    <row customHeight="1" ht="15.75" r="1050" s="452" spans="1:45">
      <c r="A1050" s="44" t="n"/>
      <c r="G1050" s="282" t="n"/>
      <c r="H1050" s="282" t="n"/>
      <c r="K1050" s="282" t="n"/>
      <c r="L1050" s="282" t="n"/>
      <c r="O1050" s="282" t="n"/>
      <c r="P1050" s="282" t="n"/>
      <c r="S1050" s="282" t="n"/>
      <c r="T1050" s="282" t="n"/>
      <c r="W1050" s="282" t="n"/>
      <c r="X1050" s="282" t="n"/>
      <c r="Y1050" s="282" t="n"/>
      <c r="Z1050" s="282" t="n"/>
      <c r="AA1050" s="282" t="n"/>
      <c r="AB1050" s="282" t="n"/>
      <c r="AC1050" s="529" t="n"/>
      <c r="AE1050" s="282" t="n"/>
      <c r="AF1050" s="282" t="n"/>
      <c r="AI1050" s="282" t="n"/>
      <c r="AJ1050" s="282" t="n"/>
      <c r="AM1050" s="282" t="n"/>
      <c r="AN1050" s="282" t="n"/>
      <c r="AQ1050" s="282" t="n"/>
      <c r="AR1050" s="282" t="n"/>
    </row>
    <row customHeight="1" ht="15.75" r="1051" s="452" spans="1:45">
      <c r="A1051" s="44" t="n"/>
      <c r="G1051" s="282" t="n"/>
      <c r="H1051" s="282" t="n"/>
      <c r="K1051" s="282" t="n"/>
      <c r="L1051" s="282" t="n"/>
      <c r="O1051" s="282" t="n"/>
      <c r="P1051" s="282" t="n"/>
      <c r="S1051" s="282" t="n"/>
      <c r="T1051" s="282" t="n"/>
      <c r="W1051" s="282" t="n"/>
      <c r="X1051" s="282" t="n"/>
      <c r="Y1051" s="282" t="n"/>
      <c r="Z1051" s="282" t="n"/>
      <c r="AA1051" s="282" t="n"/>
      <c r="AB1051" s="282" t="n"/>
      <c r="AC1051" s="529" t="n"/>
      <c r="AE1051" s="282" t="n"/>
      <c r="AF1051" s="282" t="n"/>
      <c r="AI1051" s="282" t="n"/>
      <c r="AJ1051" s="282" t="n"/>
      <c r="AM1051" s="282" t="n"/>
      <c r="AN1051" s="282" t="n"/>
      <c r="AQ1051" s="282" t="n"/>
      <c r="AR1051" s="282" t="n"/>
    </row>
    <row customHeight="1" ht="15.75" r="1052" s="452" spans="1:45">
      <c r="A1052" s="44" t="n"/>
      <c r="G1052" s="282" t="n"/>
      <c r="H1052" s="282" t="n"/>
      <c r="K1052" s="282" t="n"/>
      <c r="L1052" s="282" t="n"/>
      <c r="O1052" s="282" t="n"/>
      <c r="P1052" s="282" t="n"/>
      <c r="S1052" s="282" t="n"/>
      <c r="T1052" s="282" t="n"/>
      <c r="W1052" s="282" t="n"/>
      <c r="X1052" s="282" t="n"/>
      <c r="Y1052" s="282" t="n"/>
      <c r="Z1052" s="282" t="n"/>
      <c r="AA1052" s="282" t="n"/>
      <c r="AB1052" s="282" t="n"/>
      <c r="AC1052" s="529" t="n"/>
      <c r="AE1052" s="282" t="n"/>
      <c r="AF1052" s="282" t="n"/>
      <c r="AI1052" s="282" t="n"/>
      <c r="AJ1052" s="282" t="n"/>
      <c r="AM1052" s="282" t="n"/>
      <c r="AN1052" s="282" t="n"/>
      <c r="AQ1052" s="282" t="n"/>
      <c r="AR1052" s="282" t="n"/>
    </row>
  </sheetData>
  <autoFilter ref="A1:AS212"/>
  <conditionalFormatting sqref="G2:G5 S6:S85 W6:W85 W87:W89 S87:S89 S91:S93 W91:W93 W95:W97 S95:S97 S99:S101 W99:W101 W103:W105 S103:S105 S107:S109 W107:W109 W111:W113 S111:S113 S115:S117 W115:W117 W119:W121 S119:S121 S123:S125 W123:W125 W127:W129 S127:S129 S131:S133 W131:W133 W135:W137 S135:S137 S139:S141 W143:W145 S143:S145 S147:S149 W147:W149 W151:W153 S151:S153 S155:S157 W155:W157 W159:W161 S159:S161 S163:S165 W163:W165 W167:W169 S167:S169 S171:S173 W171:W173 W175:W177 S175:S177 S179:S181 W179:W181 W183:W185 S183:S185 S187:S189 W187:W189 W191:W193 S191:S193 S195:S197 W195:W197 W199:W201 S199:S201 S203:S205 W203:W205 W207:W209 S207:S209 W139:W141">
    <cfRule dxfId="1" operator="lessThan" priority="1373" type="cellIs">
      <formula>0</formula>
    </cfRule>
    <cfRule dxfId="0" operator="greaterThanOrEqual" priority="1374" type="cellIs">
      <formula>0</formula>
    </cfRule>
  </conditionalFormatting>
  <conditionalFormatting sqref="K2:K85 K87:K89 K91:K93 K95:K97 K99:K101 K103:K105 K107:K109 K111:K113 K115:K117 K119:K121 K123:K125 K127:K129 K131:K133 K135:K137 K143:K145 K147:K149 K151:K153 K155:K157 K159:K161 K163:K165 K167:K169 K171:K173 K175:K177 K179:K181 K183:K185 K187:K189 K191:K193 K195:K197 K199:K201 K203:K205 K207:K209 K139:K141">
    <cfRule dxfId="0" operator="lessThanOrEqual" priority="1375" type="cellIs">
      <formula>0</formula>
    </cfRule>
    <cfRule dxfId="1" operator="greaterThan" priority="1376" type="cellIs">
      <formula>0</formula>
    </cfRule>
  </conditionalFormatting>
  <conditionalFormatting sqref="O6:O85 O87:O89 O91:O93 O95:O97 O99:O101 O103:O105 O107:O109 O111:O113 O115:O117 O119:O121 O123:O125 O127:O129 O131:O133 O135:O137 O143:O145 O147:O149 O151:O153 O155:O157 O159:O161 O163:O165 O167:O169 O171:O173 O175:O177 O179:O181 O183:O185 O187:O189 O191:O193 O195:O197 O199:O201 O203:O205 O207:O209 O139:O141">
    <cfRule dxfId="1" operator="lessThan" priority="1377" type="cellIs">
      <formula>0</formula>
    </cfRule>
    <cfRule dxfId="0" operator="greaterThanOrEqual" priority="1378" type="cellIs">
      <formula>0</formula>
    </cfRule>
  </conditionalFormatting>
  <conditionalFormatting sqref="AQ6:AQ85 AQ87:AQ89 AQ91:AQ93 AQ95:AQ97 AQ99:AQ101 AQ103:AQ105 AQ107:AQ109 AQ111:AQ113 AQ115:AQ117 AQ119:AQ121 AQ123:AQ125 AQ127:AQ129 AQ131:AQ133 AQ135:AQ137 AQ139:AQ141 AQ143:AQ145 AQ147:AQ149 AQ151:AQ153 AQ155:AQ157 AQ159:AQ161 AQ163:AQ165 AQ167:AQ169 AQ171:AQ173 AQ175:AQ177 AQ179:AQ181 AQ183:AQ185 AQ187:AQ189 AQ191:AQ193 AQ195:AQ197 AQ199:AQ201 AQ203:AQ205 AQ207:AQ209">
    <cfRule dxfId="1" operator="lessThan" priority="1363" type="cellIs">
      <formula>0</formula>
    </cfRule>
    <cfRule dxfId="0" operator="greaterThanOrEqual" priority="1364" type="cellIs">
      <formula>0</formula>
    </cfRule>
  </conditionalFormatting>
  <conditionalFormatting sqref="H2:H5">
    <cfRule dxfId="1" operator="lessThan" priority="1361" type="cellIs">
      <formula>0</formula>
    </cfRule>
    <cfRule dxfId="0" operator="greaterThanOrEqual" priority="1362" type="cellIs">
      <formula>0</formula>
    </cfRule>
  </conditionalFormatting>
  <conditionalFormatting sqref="L2:L85 L87:L89 L91:L93 L95:L97 L99:L101 L103:L105 L107:L109 L111:L113 L115:L117 L119:L121 L123:L125 L127:L129 L131:L133 L135:L137 L143:L145 L147:L149 L151:L153 L155:L157 L159:L161 L163:L165 L167:L169 L171:L173 L175:L177 L179:L181 L183:L185 L187:L189 L191:L193 L195:L197 L199:L201 L203:L205 L207:L209 L139:L141">
    <cfRule dxfId="0" operator="lessThanOrEqual" priority="1359" type="cellIs">
      <formula>0</formula>
    </cfRule>
    <cfRule dxfId="1" operator="greaterThan" priority="1360" type="cellIs">
      <formula>0</formula>
    </cfRule>
  </conditionalFormatting>
  <conditionalFormatting sqref="T6:T85 T87:T89 T91:T93 T95:T97 T99:T101 T103:T105 T107:T109 T111:T113 T115:T117 T119:T121 T123:T125 T127:T129 T131:T133 T135:T137 T139:T141 T143:T145 T147:T149 T151:T153 T155:T157 T159:T161 T163:T165 T167:T169 T171:T173 T175:T177 T179:T181 T183:T185 T187:T189 T191:T193 T195:T197 T199:T201 T203:T205 T207:T209">
    <cfRule dxfId="1" operator="lessThan" priority="1357" type="cellIs">
      <formula>0</formula>
    </cfRule>
    <cfRule dxfId="0" operator="greaterThanOrEqual" priority="1358" type="cellIs">
      <formula>0</formula>
    </cfRule>
  </conditionalFormatting>
  <conditionalFormatting sqref="X6:X85 X87:X89 X91:X93 X95:X97 X99:X101 X103:X105 X107:X109 X111:X113 X115:X117 X119:X121 X123:X125 X127:X129 X131:X133 X135:X137 X143:X145 X147:X149 X151:X153 X155:X157 X159:X161 X163:X165 X167:X169 X171:X173 X175:X177 X179:X181 X183:X185 X187:X189 X191:X193 X195:X197 X199:X201 X203:X205 X207:X209 X139:X141">
    <cfRule dxfId="1" operator="lessThan" priority="1355" type="cellIs">
      <formula>0</formula>
    </cfRule>
    <cfRule dxfId="0" operator="greaterThanOrEqual" priority="1356" type="cellIs">
      <formula>0</formula>
    </cfRule>
  </conditionalFormatting>
  <conditionalFormatting sqref="AB6:AB85 AB87:AB89 AB91:AB93 AB95:AB97 AB99:AB101 AB103:AB105 AB107:AB109 AB111:AB113 AB115:AB117 AB119:AB121 AB123:AB125 AB127:AB129 AB131:AB133 AB135:AB137 AB143:AB145 AB147:AB149 AB151:AB153 AB155:AB157 AB159:AB161 AB163:AB165 AB167:AB169 AB171:AB173 AB175:AB177 AB179:AB181 AB183:AB185 AB187:AB189 AB191:AB193 AB195:AB197 AB199:AB201 AB203:AB205 AB207:AB209 AB139:AB141">
    <cfRule dxfId="1" operator="lessThan" priority="1353" type="cellIs">
      <formula>0</formula>
    </cfRule>
    <cfRule dxfId="0" operator="greaterThanOrEqual" priority="1354" type="cellIs">
      <formula>0</formula>
    </cfRule>
  </conditionalFormatting>
  <conditionalFormatting sqref="AF6:AF85 AF87:AF89 AF91:AF93 AF95:AF97 AF99:AF101 AF103:AF105 AF107:AF109 AF111:AF113 AF115:AF117 AF119:AF121 AF123:AF125 AF127:AF129 AF131:AF133 AF135:AF137 AF143:AF145 AF147:AF149 AF151:AF153 AF155:AF157 AF159:AF161 AF163:AF165 AF167:AF169 AF171:AF173 AF175:AF177 AF179:AF181 AF183:AF185 AF187:AF189 AF191:AF193 AF195:AF197 AF199:AF201 AF203:AF205 AF207:AF209 AF139:AF141">
    <cfRule dxfId="1" operator="lessThan" priority="1351" type="cellIs">
      <formula>0</formula>
    </cfRule>
    <cfRule dxfId="0" operator="greaterThanOrEqual" priority="1352" type="cellIs">
      <formula>0</formula>
    </cfRule>
  </conditionalFormatting>
  <conditionalFormatting sqref="AF3:AF5">
    <cfRule dxfId="1" operator="lessThan" priority="1343" type="cellIs">
      <formula>0</formula>
    </cfRule>
    <cfRule dxfId="0" operator="greaterThanOrEqual" priority="1344" type="cellIs">
      <formula>0</formula>
    </cfRule>
  </conditionalFormatting>
  <conditionalFormatting sqref="AB3:AB5">
    <cfRule dxfId="1" operator="lessThan" priority="1341" type="cellIs">
      <formula>0</formula>
    </cfRule>
    <cfRule dxfId="0" operator="greaterThanOrEqual" priority="1342" type="cellIs">
      <formula>0</formula>
    </cfRule>
  </conditionalFormatting>
  <conditionalFormatting sqref="T3:T5">
    <cfRule dxfId="1" operator="lessThan" priority="1339" type="cellIs">
      <formula>0</formula>
    </cfRule>
    <cfRule dxfId="0" operator="greaterThanOrEqual" priority="1340" type="cellIs">
      <formula>0</formula>
    </cfRule>
  </conditionalFormatting>
  <conditionalFormatting sqref="X3:X5">
    <cfRule dxfId="1" operator="lessThan" priority="1337" type="cellIs">
      <formula>0</formula>
    </cfRule>
    <cfRule dxfId="0" operator="greaterThanOrEqual" priority="1338" type="cellIs">
      <formula>0</formula>
    </cfRule>
  </conditionalFormatting>
  <conditionalFormatting sqref="AF2">
    <cfRule dxfId="1" operator="lessThan" priority="1331" type="cellIs">
      <formula>0</formula>
    </cfRule>
    <cfRule dxfId="0" operator="greaterThanOrEqual" priority="1332" type="cellIs">
      <formula>0</formula>
    </cfRule>
  </conditionalFormatting>
  <conditionalFormatting sqref="T2">
    <cfRule dxfId="1" operator="lessThan" priority="1329" type="cellIs">
      <formula>0</formula>
    </cfRule>
    <cfRule dxfId="0" operator="greaterThanOrEqual" priority="1330" type="cellIs">
      <formula>0</formula>
    </cfRule>
  </conditionalFormatting>
  <conditionalFormatting sqref="X2">
    <cfRule dxfId="1" operator="lessThan" priority="1327" type="cellIs">
      <formula>0</formula>
    </cfRule>
    <cfRule dxfId="0" operator="greaterThanOrEqual" priority="1328" type="cellIs">
      <formula>0</formula>
    </cfRule>
  </conditionalFormatting>
  <conditionalFormatting sqref="AB2">
    <cfRule dxfId="1" operator="lessThan" priority="1325" type="cellIs">
      <formula>0</formula>
    </cfRule>
    <cfRule dxfId="0" operator="greaterThanOrEqual" priority="1326" type="cellIs">
      <formula>0</formula>
    </cfRule>
  </conditionalFormatting>
  <conditionalFormatting sqref="AN3:AN5">
    <cfRule dxfId="1" operator="lessThan" priority="1315" type="cellIs">
      <formula>0</formula>
    </cfRule>
    <cfRule dxfId="0" operator="greaterThanOrEqual" priority="1316" type="cellIs">
      <formula>0</formula>
    </cfRule>
  </conditionalFormatting>
  <conditionalFormatting sqref="AN2">
    <cfRule dxfId="1" operator="lessThan" priority="1313" type="cellIs">
      <formula>0</formula>
    </cfRule>
    <cfRule dxfId="0" operator="greaterThanOrEqual" priority="1314" type="cellIs">
      <formula>0</formula>
    </cfRule>
  </conditionalFormatting>
  <conditionalFormatting sqref="P2:P85 P87:P89 P91:P93 P95:P97 P99:P101 P103:P105 P107:P109 P111:P113 P115:P117 P119:P121 P123:P125 P127:P129 P131:P133 P135:P137 P143:P145 P147:P149 P151:P153 P155:P157 P159:P161 P163:P165 P167:P169 P171:P173 P175:P177 P179:P181 P183:P185 P187:P189 P191:P193 P195:P197 P199:P201 P203:P205 P207:P209 P139:P141">
    <cfRule dxfId="1" operator="lessThan" priority="1311" type="cellIs">
      <formula>0</formula>
    </cfRule>
    <cfRule dxfId="0" operator="greaterThanOrEqual" priority="1312" type="cellIs">
      <formula>0</formula>
    </cfRule>
  </conditionalFormatting>
  <conditionalFormatting sqref="AJ6:AJ85 AJ87:AJ89 AJ91:AJ93 AJ95:AJ97 AJ99:AJ101 AJ103:AJ105 AJ107:AJ109 AJ111:AJ113 AJ115:AJ117 AJ119:AJ121 AJ123:AJ125 AJ127:AJ129 AJ131:AJ133 AJ135:AJ137 AJ139:AJ141 AJ143:AJ145 AJ147:AJ149 AJ151:AJ153 AJ155:AJ157 AJ159:AJ161 AJ163:AJ165 AJ167:AJ169 AJ171:AJ173 AJ175:AJ177 AJ179:AJ181 AJ183:AJ185 AJ187:AJ189 AJ191:AJ193 AJ195:AJ197 AJ199:AJ201 AJ203:AJ205 AJ207:AJ209">
    <cfRule dxfId="1" operator="lessThan" priority="1305" type="cellIs">
      <formula>0</formula>
    </cfRule>
    <cfRule dxfId="0" operator="greaterThanOrEqual" priority="1306" type="cellIs">
      <formula>0</formula>
    </cfRule>
  </conditionalFormatting>
  <conditionalFormatting sqref="AJ3:AJ5">
    <cfRule dxfId="1" operator="lessThan" priority="1303" type="cellIs">
      <formula>0</formula>
    </cfRule>
    <cfRule dxfId="0" operator="greaterThanOrEqual" priority="1304" type="cellIs">
      <formula>0</formula>
    </cfRule>
  </conditionalFormatting>
  <conditionalFormatting sqref="AJ2">
    <cfRule dxfId="1" operator="lessThan" priority="1301" type="cellIs">
      <formula>0</formula>
    </cfRule>
    <cfRule dxfId="0" operator="greaterThanOrEqual" priority="1302" type="cellIs">
      <formula>0</formula>
    </cfRule>
  </conditionalFormatting>
  <conditionalFormatting sqref="AR6:AR85 AR87:AR89 AR91:AR93 AR95:AR97 AR99:AR101 AR103:AR105 AR107:AR109 AR111:AR113 AR115:AR117 AR119:AR121 AR123:AR125 AR127:AR129 AR131:AR133 AR135:AR137 AR139:AR141 AR143:AR145 AR147:AR149 AR151:AR153 AR155:AR157 AR159:AR161 AR163:AR165 AR167:AR169 AR171:AR173 AR175:AR177 AR179:AR181 AR183:AR185 AR187:AR189 AR191:AR193 AR195:AR197 AR199:AR201 AR203:AR205 AR207:AR209">
    <cfRule dxfId="1" operator="lessThan" priority="1299" type="cellIs">
      <formula>0</formula>
    </cfRule>
    <cfRule dxfId="0" operator="greaterThanOrEqual" priority="1300" type="cellIs">
      <formula>0</formula>
    </cfRule>
  </conditionalFormatting>
  <conditionalFormatting sqref="AR3:AR5">
    <cfRule dxfId="1" operator="lessThan" priority="1297" type="cellIs">
      <formula>0</formula>
    </cfRule>
    <cfRule dxfId="0" operator="greaterThanOrEqual" priority="1298" type="cellIs">
      <formula>0</formula>
    </cfRule>
  </conditionalFormatting>
  <conditionalFormatting sqref="AR2">
    <cfRule dxfId="1" operator="lessThan" priority="1295" type="cellIs">
      <formula>0</formula>
    </cfRule>
    <cfRule dxfId="0" operator="greaterThanOrEqual" priority="1296" type="cellIs">
      <formula>0</formula>
    </cfRule>
  </conditionalFormatting>
  <conditionalFormatting sqref="AA6:AA85 AA87:AA89 AA91:AA93 AA95:AA97 AA99:AA101 AA103:AA105 AA107:AA109 AA111:AA113 AA115:AA117 AA119:AA121 AA123:AA125 AA127:AA129 AA131:AA133 AA135:AA137 AA143:AA145 AA147:AA149 AA151:AA153 AA155:AA157 AA159:AA161 AA163:AA165 AA167:AA169 AA171:AA173 AA175:AA177 AA179:AA181 AA183:AA185 AA187:AA189 AA191:AA193 AA195:AA197 AA199:AA201 AA203:AA205 AA207:AA209 AA139:AA141">
    <cfRule dxfId="1" operator="lessThan" priority="1293" type="cellIs">
      <formula>0</formula>
    </cfRule>
    <cfRule dxfId="0" operator="greaterThanOrEqual" priority="1294" type="cellIs">
      <formula>0</formula>
    </cfRule>
  </conditionalFormatting>
  <conditionalFormatting sqref="AE6:AE85 AE87:AE89 AE91:AE93 AE95:AE97 AE99:AE101 AE103:AE105 AE107:AE109 AE111:AE113 AE115:AE117 AE119:AE121 AE123:AE125 AE127:AE129 AE131:AE133 AE135:AE137 AE143:AE145 AE147:AE149 AE151:AE153 AE155:AE157 AE159:AE161 AE163:AE165 AE167:AE169 AE171:AE173 AE175:AE177 AE179:AE181 AE183:AE185 AE187:AE189 AE191:AE193 AE195:AE197 AE199:AE201 AE203:AE205 AE207:AE209 AE139:AE141">
    <cfRule dxfId="1" operator="lessThan" priority="1289" type="cellIs">
      <formula>0</formula>
    </cfRule>
    <cfRule dxfId="0" operator="greaterThanOrEqual" priority="1290" type="cellIs">
      <formula>0</formula>
    </cfRule>
  </conditionalFormatting>
  <conditionalFormatting sqref="AI6:AI85 AI87:AI89 AI91:AI93 AI95:AI97 AI99:AI101 AI103:AI105 AI107:AI109 AI111:AI113 AI115:AI117 AI119:AI121 AI123:AI125 AI127:AI129 AI131:AI133 AI135:AI137 AI139:AI141 AI143:AI145 AI147:AI149 AI151:AI153 AI155:AI157 AI159:AI161 AI163:AI165 AI167:AI169 AI171:AI173 AI175:AI177 AI179:AI181 AI183:AI185 AI187:AI189 AI191:AI193 AI195:AI197 AI199:AI201 AI203:AI205 AI207:AI209">
    <cfRule dxfId="1" operator="lessThan" priority="1283" type="cellIs">
      <formula>0</formula>
    </cfRule>
    <cfRule dxfId="0" operator="greaterThanOrEqual" priority="1284" type="cellIs">
      <formula>0</formula>
    </cfRule>
  </conditionalFormatting>
  <conditionalFormatting sqref="AN6:AN85 AN87:AN89 AN91:AN93 AN95:AN97 AN99:AN101 AN103:AN105 AN107:AN109 AN111:AN113 AN115:AN117 AN119:AN121 AN123:AN125 AN127:AN129 AN131:AN133 AN135:AN137 AN139:AN141 AN143:AN145 AN147:AN149 AN151:AN153 AN155:AN157 AN159:AN161 AN163:AN165 AN167:AN169 AN171:AN173 AN175:AN177 AN179:AN181 AN183:AN185 AN187:AN189 AN191:AN193 AN195:AN197 AN199:AN201 AN203:AN205 AN207:AN209">
    <cfRule dxfId="1" operator="lessThan" priority="1273" type="cellIs">
      <formula>0</formula>
    </cfRule>
    <cfRule dxfId="0" operator="greaterThanOrEqual" priority="1274" type="cellIs">
      <formula>0</formula>
    </cfRule>
  </conditionalFormatting>
  <conditionalFormatting sqref="O2:O5">
    <cfRule dxfId="1" operator="lessThan" priority="1271" type="cellIs">
      <formula>0</formula>
    </cfRule>
    <cfRule dxfId="0" operator="greaterThanOrEqual" priority="1272" type="cellIs">
      <formula>0</formula>
    </cfRule>
  </conditionalFormatting>
  <conditionalFormatting sqref="S2:S5">
    <cfRule dxfId="1" operator="lessThan" priority="1269" type="cellIs">
      <formula>0</formula>
    </cfRule>
    <cfRule dxfId="0" operator="greaterThanOrEqual" priority="1270" type="cellIs">
      <formula>0</formula>
    </cfRule>
  </conditionalFormatting>
  <conditionalFormatting sqref="W2:W5">
    <cfRule dxfId="1" operator="lessThan" priority="1267" type="cellIs">
      <formula>0</formula>
    </cfRule>
    <cfRule dxfId="0" operator="greaterThanOrEqual" priority="1268" type="cellIs">
      <formula>0</formula>
    </cfRule>
  </conditionalFormatting>
  <conditionalFormatting sqref="AE2:AE5">
    <cfRule dxfId="1" operator="lessThan" priority="1265" type="cellIs">
      <formula>0</formula>
    </cfRule>
    <cfRule dxfId="0" operator="greaterThanOrEqual" priority="1266" type="cellIs">
      <formula>0</formula>
    </cfRule>
  </conditionalFormatting>
  <conditionalFormatting sqref="AA2:AA5">
    <cfRule dxfId="1" operator="lessThan" priority="1263" type="cellIs">
      <formula>0</formula>
    </cfRule>
    <cfRule dxfId="0" operator="greaterThanOrEqual" priority="1264" type="cellIs">
      <formula>0</formula>
    </cfRule>
  </conditionalFormatting>
  <conditionalFormatting sqref="AI2:AI5">
    <cfRule dxfId="1" operator="lessThan" priority="1261" type="cellIs">
      <formula>0</formula>
    </cfRule>
    <cfRule dxfId="0" operator="greaterThanOrEqual" priority="1262" type="cellIs">
      <formula>0</formula>
    </cfRule>
  </conditionalFormatting>
  <conditionalFormatting sqref="AQ2:AQ5">
    <cfRule dxfId="1" operator="lessThan" priority="1257" type="cellIs">
      <formula>0</formula>
    </cfRule>
    <cfRule dxfId="0" operator="greaterThanOrEqual" priority="1258" type="cellIs">
      <formula>0</formula>
    </cfRule>
  </conditionalFormatting>
  <conditionalFormatting sqref="H6:H85 H87:H89 H91:H93 H95:H97 H99:H101 H103:H105 H107:H109 H111:H113 H115:H117 H119:H121 H123:H125 H127:H129 H131:H133 H135:H137 H139:H141 H143:H145 H147:H149 H151:H153 H155:H157 H159:H161 H163:H165 H167:H169 H171:H173 H175:H177 H179:H181 H183:H185 H187:H189 H191:H193 H195:H197 H199:H201 H203:H205 H207:H209">
    <cfRule dxfId="1" operator="lessThan" priority="1219" type="cellIs">
      <formula>0</formula>
    </cfRule>
    <cfRule dxfId="0" operator="greaterThanOrEqual" priority="1220" type="cellIs">
      <formula>0</formula>
    </cfRule>
  </conditionalFormatting>
  <conditionalFormatting sqref="G6:G85 G87:G89 G91:G93 G95:G97 G99:G101 G103:G105 G107:G109 G111:G113 G115:G117 G119:G121 G123:G125 G127:G129 G131:G133 G135:G137 G139:G141 G143:G145 G147:G149 G151:G153 G155:G157 G159:G161 G163:G165 G167:G169 G171:G173 G175:G177 G179:G181 G183:G185 G187:G189 G191:G193 G195:G197 G199:G201 G203:G205 G207:G209">
    <cfRule dxfId="1" operator="lessThan" priority="1221" type="cellIs">
      <formula>0</formula>
    </cfRule>
    <cfRule dxfId="0" operator="greaterThanOrEqual" priority="1222" type="cellIs">
      <formula>0</formula>
    </cfRule>
  </conditionalFormatting>
  <conditionalFormatting sqref="S86 W86">
    <cfRule dxfId="1" operator="lessThan" priority="1213" type="cellIs">
      <formula>0</formula>
    </cfRule>
    <cfRule dxfId="0" operator="greaterThanOrEqual" priority="1214" type="cellIs">
      <formula>0</formula>
    </cfRule>
  </conditionalFormatting>
  <conditionalFormatting sqref="K86">
    <cfRule dxfId="0" operator="lessThanOrEqual" priority="1215" type="cellIs">
      <formula>0</formula>
    </cfRule>
    <cfRule dxfId="1" operator="greaterThan" priority="1216" type="cellIs">
      <formula>0</formula>
    </cfRule>
  </conditionalFormatting>
  <conditionalFormatting sqref="O86">
    <cfRule dxfId="1" operator="lessThan" priority="1217" type="cellIs">
      <formula>0</formula>
    </cfRule>
    <cfRule dxfId="0" operator="greaterThanOrEqual" priority="1218" type="cellIs">
      <formula>0</formula>
    </cfRule>
  </conditionalFormatting>
  <conditionalFormatting sqref="AQ86">
    <cfRule dxfId="1" operator="lessThan" priority="1211" type="cellIs">
      <formula>0</formula>
    </cfRule>
    <cfRule dxfId="0" operator="greaterThanOrEqual" priority="1212" type="cellIs">
      <formula>0</formula>
    </cfRule>
  </conditionalFormatting>
  <conditionalFormatting sqref="L86">
    <cfRule dxfId="0" operator="lessThanOrEqual" priority="1209" type="cellIs">
      <formula>0</formula>
    </cfRule>
    <cfRule dxfId="1" operator="greaterThan" priority="1210" type="cellIs">
      <formula>0</formula>
    </cfRule>
  </conditionalFormatting>
  <conditionalFormatting sqref="T86">
    <cfRule dxfId="1" operator="lessThan" priority="1207" type="cellIs">
      <formula>0</formula>
    </cfRule>
    <cfRule dxfId="0" operator="greaterThanOrEqual" priority="1208" type="cellIs">
      <formula>0</formula>
    </cfRule>
  </conditionalFormatting>
  <conditionalFormatting sqref="X86">
    <cfRule dxfId="1" operator="lessThan" priority="1205" type="cellIs">
      <formula>0</formula>
    </cfRule>
    <cfRule dxfId="0" operator="greaterThanOrEqual" priority="1206" type="cellIs">
      <formula>0</formula>
    </cfRule>
  </conditionalFormatting>
  <conditionalFormatting sqref="AB86">
    <cfRule dxfId="1" operator="lessThan" priority="1203" type="cellIs">
      <formula>0</formula>
    </cfRule>
    <cfRule dxfId="0" operator="greaterThanOrEqual" priority="1204" type="cellIs">
      <formula>0</formula>
    </cfRule>
  </conditionalFormatting>
  <conditionalFormatting sqref="AF86">
    <cfRule dxfId="1" operator="lessThan" priority="1201" type="cellIs">
      <formula>0</formula>
    </cfRule>
    <cfRule dxfId="0" operator="greaterThanOrEqual" priority="1202" type="cellIs">
      <formula>0</formula>
    </cfRule>
  </conditionalFormatting>
  <conditionalFormatting sqref="P86">
    <cfRule dxfId="1" operator="lessThan" priority="1199" type="cellIs">
      <formula>0</formula>
    </cfRule>
    <cfRule dxfId="0" operator="greaterThanOrEqual" priority="1200" type="cellIs">
      <formula>0</formula>
    </cfRule>
  </conditionalFormatting>
  <conditionalFormatting sqref="AJ86">
    <cfRule dxfId="1" operator="lessThan" priority="1197" type="cellIs">
      <formula>0</formula>
    </cfRule>
    <cfRule dxfId="0" operator="greaterThanOrEqual" priority="1198" type="cellIs">
      <formula>0</formula>
    </cfRule>
  </conditionalFormatting>
  <conditionalFormatting sqref="AR86">
    <cfRule dxfId="1" operator="lessThan" priority="1195" type="cellIs">
      <formula>0</formula>
    </cfRule>
    <cfRule dxfId="0" operator="greaterThanOrEqual" priority="1196" type="cellIs">
      <formula>0</formula>
    </cfRule>
  </conditionalFormatting>
  <conditionalFormatting sqref="AA86">
    <cfRule dxfId="1" operator="lessThan" priority="1193" type="cellIs">
      <formula>0</formula>
    </cfRule>
    <cfRule dxfId="0" operator="greaterThanOrEqual" priority="1194" type="cellIs">
      <formula>0</formula>
    </cfRule>
  </conditionalFormatting>
  <conditionalFormatting sqref="AE86">
    <cfRule dxfId="1" operator="lessThan" priority="1191" type="cellIs">
      <formula>0</formula>
    </cfRule>
    <cfRule dxfId="0" operator="greaterThanOrEqual" priority="1192" type="cellIs">
      <formula>0</formula>
    </cfRule>
  </conditionalFormatting>
  <conditionalFormatting sqref="AI86">
    <cfRule dxfId="1" operator="lessThan" priority="1189" type="cellIs">
      <formula>0</formula>
    </cfRule>
    <cfRule dxfId="0" operator="greaterThanOrEqual" priority="1190" type="cellIs">
      <formula>0</formula>
    </cfRule>
  </conditionalFormatting>
  <conditionalFormatting sqref="AN86">
    <cfRule dxfId="1" operator="lessThan" priority="1185" type="cellIs">
      <formula>0</formula>
    </cfRule>
    <cfRule dxfId="0" operator="greaterThanOrEqual" priority="1186" type="cellIs">
      <formula>0</formula>
    </cfRule>
  </conditionalFormatting>
  <conditionalFormatting sqref="H86">
    <cfRule dxfId="1" operator="lessThan" priority="1181" type="cellIs">
      <formula>0</formula>
    </cfRule>
    <cfRule dxfId="0" operator="greaterThanOrEqual" priority="1182" type="cellIs">
      <formula>0</formula>
    </cfRule>
  </conditionalFormatting>
  <conditionalFormatting sqref="G86">
    <cfRule dxfId="1" operator="lessThan" priority="1183" type="cellIs">
      <formula>0</formula>
    </cfRule>
    <cfRule dxfId="0" operator="greaterThanOrEqual" priority="1184" type="cellIs">
      <formula>0</formula>
    </cfRule>
  </conditionalFormatting>
  <conditionalFormatting sqref="S90 W90">
    <cfRule dxfId="1" operator="lessThan" priority="1175" type="cellIs">
      <formula>0</formula>
    </cfRule>
    <cfRule dxfId="0" operator="greaterThanOrEqual" priority="1176" type="cellIs">
      <formula>0</formula>
    </cfRule>
  </conditionalFormatting>
  <conditionalFormatting sqref="K90">
    <cfRule dxfId="0" operator="lessThanOrEqual" priority="1177" type="cellIs">
      <formula>0</formula>
    </cfRule>
    <cfRule dxfId="1" operator="greaterThan" priority="1178" type="cellIs">
      <formula>0</formula>
    </cfRule>
  </conditionalFormatting>
  <conditionalFormatting sqref="O90">
    <cfRule dxfId="1" operator="lessThan" priority="1179" type="cellIs">
      <formula>0</formula>
    </cfRule>
    <cfRule dxfId="0" operator="greaterThanOrEqual" priority="1180" type="cellIs">
      <formula>0</formula>
    </cfRule>
  </conditionalFormatting>
  <conditionalFormatting sqref="AQ90">
    <cfRule dxfId="1" operator="lessThan" priority="1173" type="cellIs">
      <formula>0</formula>
    </cfRule>
    <cfRule dxfId="0" operator="greaterThanOrEqual" priority="1174" type="cellIs">
      <formula>0</formula>
    </cfRule>
  </conditionalFormatting>
  <conditionalFormatting sqref="L90">
    <cfRule dxfId="0" operator="lessThanOrEqual" priority="1171" type="cellIs">
      <formula>0</formula>
    </cfRule>
    <cfRule dxfId="1" operator="greaterThan" priority="1172" type="cellIs">
      <formula>0</formula>
    </cfRule>
  </conditionalFormatting>
  <conditionalFormatting sqref="T90">
    <cfRule dxfId="1" operator="lessThan" priority="1169" type="cellIs">
      <formula>0</formula>
    </cfRule>
    <cfRule dxfId="0" operator="greaterThanOrEqual" priority="1170" type="cellIs">
      <formula>0</formula>
    </cfRule>
  </conditionalFormatting>
  <conditionalFormatting sqref="X90">
    <cfRule dxfId="1" operator="lessThan" priority="1167" type="cellIs">
      <formula>0</formula>
    </cfRule>
    <cfRule dxfId="0" operator="greaterThanOrEqual" priority="1168" type="cellIs">
      <formula>0</formula>
    </cfRule>
  </conditionalFormatting>
  <conditionalFormatting sqref="AB90">
    <cfRule dxfId="1" operator="lessThan" priority="1165" type="cellIs">
      <formula>0</formula>
    </cfRule>
    <cfRule dxfId="0" operator="greaterThanOrEqual" priority="1166" type="cellIs">
      <formula>0</formula>
    </cfRule>
  </conditionalFormatting>
  <conditionalFormatting sqref="AF90">
    <cfRule dxfId="1" operator="lessThan" priority="1163" type="cellIs">
      <formula>0</formula>
    </cfRule>
    <cfRule dxfId="0" operator="greaterThanOrEqual" priority="1164" type="cellIs">
      <formula>0</formula>
    </cfRule>
  </conditionalFormatting>
  <conditionalFormatting sqref="P90">
    <cfRule dxfId="1" operator="lessThan" priority="1161" type="cellIs">
      <formula>0</formula>
    </cfRule>
    <cfRule dxfId="0" operator="greaterThanOrEqual" priority="1162" type="cellIs">
      <formula>0</formula>
    </cfRule>
  </conditionalFormatting>
  <conditionalFormatting sqref="AJ90">
    <cfRule dxfId="1" operator="lessThan" priority="1159" type="cellIs">
      <formula>0</formula>
    </cfRule>
    <cfRule dxfId="0" operator="greaterThanOrEqual" priority="1160" type="cellIs">
      <formula>0</formula>
    </cfRule>
  </conditionalFormatting>
  <conditionalFormatting sqref="AR90">
    <cfRule dxfId="1" operator="lessThan" priority="1157" type="cellIs">
      <formula>0</formula>
    </cfRule>
    <cfRule dxfId="0" operator="greaterThanOrEqual" priority="1158" type="cellIs">
      <formula>0</formula>
    </cfRule>
  </conditionalFormatting>
  <conditionalFormatting sqref="AA90">
    <cfRule dxfId="1" operator="lessThan" priority="1155" type="cellIs">
      <formula>0</formula>
    </cfRule>
    <cfRule dxfId="0" operator="greaterThanOrEqual" priority="1156" type="cellIs">
      <formula>0</formula>
    </cfRule>
  </conditionalFormatting>
  <conditionalFormatting sqref="AE90">
    <cfRule dxfId="1" operator="lessThan" priority="1153" type="cellIs">
      <formula>0</formula>
    </cfRule>
    <cfRule dxfId="0" operator="greaterThanOrEqual" priority="1154" type="cellIs">
      <formula>0</formula>
    </cfRule>
  </conditionalFormatting>
  <conditionalFormatting sqref="AI90">
    <cfRule dxfId="1" operator="lessThan" priority="1151" type="cellIs">
      <formula>0</formula>
    </cfRule>
    <cfRule dxfId="0" operator="greaterThanOrEqual" priority="1152" type="cellIs">
      <formula>0</formula>
    </cfRule>
  </conditionalFormatting>
  <conditionalFormatting sqref="AN90">
    <cfRule dxfId="1" operator="lessThan" priority="1147" type="cellIs">
      <formula>0</formula>
    </cfRule>
    <cfRule dxfId="0" operator="greaterThanOrEqual" priority="1148" type="cellIs">
      <formula>0</formula>
    </cfRule>
  </conditionalFormatting>
  <conditionalFormatting sqref="H90">
    <cfRule dxfId="1" operator="lessThan" priority="1143" type="cellIs">
      <formula>0</formula>
    </cfRule>
    <cfRule dxfId="0" operator="greaterThanOrEqual" priority="1144" type="cellIs">
      <formula>0</formula>
    </cfRule>
  </conditionalFormatting>
  <conditionalFormatting sqref="G90">
    <cfRule dxfId="1" operator="lessThan" priority="1145" type="cellIs">
      <formula>0</formula>
    </cfRule>
    <cfRule dxfId="0" operator="greaterThanOrEqual" priority="1146" type="cellIs">
      <formula>0</formula>
    </cfRule>
  </conditionalFormatting>
  <conditionalFormatting sqref="S94 W94">
    <cfRule dxfId="1" operator="lessThan" priority="1137" type="cellIs">
      <formula>0</formula>
    </cfRule>
    <cfRule dxfId="0" operator="greaterThanOrEqual" priority="1138" type="cellIs">
      <formula>0</formula>
    </cfRule>
  </conditionalFormatting>
  <conditionalFormatting sqref="K94">
    <cfRule dxfId="0" operator="lessThanOrEqual" priority="1139" type="cellIs">
      <formula>0</formula>
    </cfRule>
    <cfRule dxfId="1" operator="greaterThan" priority="1140" type="cellIs">
      <formula>0</formula>
    </cfRule>
  </conditionalFormatting>
  <conditionalFormatting sqref="O94">
    <cfRule dxfId="1" operator="lessThan" priority="1141" type="cellIs">
      <formula>0</formula>
    </cfRule>
    <cfRule dxfId="0" operator="greaterThanOrEqual" priority="1142" type="cellIs">
      <formula>0</formula>
    </cfRule>
  </conditionalFormatting>
  <conditionalFormatting sqref="AQ94">
    <cfRule dxfId="1" operator="lessThan" priority="1135" type="cellIs">
      <formula>0</formula>
    </cfRule>
    <cfRule dxfId="0" operator="greaterThanOrEqual" priority="1136" type="cellIs">
      <formula>0</formula>
    </cfRule>
  </conditionalFormatting>
  <conditionalFormatting sqref="L94">
    <cfRule dxfId="0" operator="lessThanOrEqual" priority="1133" type="cellIs">
      <formula>0</formula>
    </cfRule>
    <cfRule dxfId="1" operator="greaterThan" priority="1134" type="cellIs">
      <formula>0</formula>
    </cfRule>
  </conditionalFormatting>
  <conditionalFormatting sqref="T94">
    <cfRule dxfId="1" operator="lessThan" priority="1131" type="cellIs">
      <formula>0</formula>
    </cfRule>
    <cfRule dxfId="0" operator="greaterThanOrEqual" priority="1132" type="cellIs">
      <formula>0</formula>
    </cfRule>
  </conditionalFormatting>
  <conditionalFormatting sqref="X94">
    <cfRule dxfId="1" operator="lessThan" priority="1129" type="cellIs">
      <formula>0</formula>
    </cfRule>
    <cfRule dxfId="0" operator="greaterThanOrEqual" priority="1130" type="cellIs">
      <formula>0</formula>
    </cfRule>
  </conditionalFormatting>
  <conditionalFormatting sqref="AB94">
    <cfRule dxfId="1" operator="lessThan" priority="1127" type="cellIs">
      <formula>0</formula>
    </cfRule>
    <cfRule dxfId="0" operator="greaterThanOrEqual" priority="1128" type="cellIs">
      <formula>0</formula>
    </cfRule>
  </conditionalFormatting>
  <conditionalFormatting sqref="AF94">
    <cfRule dxfId="1" operator="lessThan" priority="1125" type="cellIs">
      <formula>0</formula>
    </cfRule>
    <cfRule dxfId="0" operator="greaterThanOrEqual" priority="1126" type="cellIs">
      <formula>0</formula>
    </cfRule>
  </conditionalFormatting>
  <conditionalFormatting sqref="P94">
    <cfRule dxfId="1" operator="lessThan" priority="1123" type="cellIs">
      <formula>0</formula>
    </cfRule>
    <cfRule dxfId="0" operator="greaterThanOrEqual" priority="1124" type="cellIs">
      <formula>0</formula>
    </cfRule>
  </conditionalFormatting>
  <conditionalFormatting sqref="AJ94">
    <cfRule dxfId="1" operator="lessThan" priority="1121" type="cellIs">
      <formula>0</formula>
    </cfRule>
    <cfRule dxfId="0" operator="greaterThanOrEqual" priority="1122" type="cellIs">
      <formula>0</formula>
    </cfRule>
  </conditionalFormatting>
  <conditionalFormatting sqref="AR94">
    <cfRule dxfId="1" operator="lessThan" priority="1119" type="cellIs">
      <formula>0</formula>
    </cfRule>
    <cfRule dxfId="0" operator="greaterThanOrEqual" priority="1120" type="cellIs">
      <formula>0</formula>
    </cfRule>
  </conditionalFormatting>
  <conditionalFormatting sqref="AA94">
    <cfRule dxfId="1" operator="lessThan" priority="1117" type="cellIs">
      <formula>0</formula>
    </cfRule>
    <cfRule dxfId="0" operator="greaterThanOrEqual" priority="1118" type="cellIs">
      <formula>0</formula>
    </cfRule>
  </conditionalFormatting>
  <conditionalFormatting sqref="AE94">
    <cfRule dxfId="1" operator="lessThan" priority="1115" type="cellIs">
      <formula>0</formula>
    </cfRule>
    <cfRule dxfId="0" operator="greaterThanOrEqual" priority="1116" type="cellIs">
      <formula>0</formula>
    </cfRule>
  </conditionalFormatting>
  <conditionalFormatting sqref="AI94">
    <cfRule dxfId="1" operator="lessThan" priority="1113" type="cellIs">
      <formula>0</formula>
    </cfRule>
    <cfRule dxfId="0" operator="greaterThanOrEqual" priority="1114" type="cellIs">
      <formula>0</formula>
    </cfRule>
  </conditionalFormatting>
  <conditionalFormatting sqref="AN94">
    <cfRule dxfId="1" operator="lessThan" priority="1109" type="cellIs">
      <formula>0</formula>
    </cfRule>
    <cfRule dxfId="0" operator="greaterThanOrEqual" priority="1110" type="cellIs">
      <formula>0</formula>
    </cfRule>
  </conditionalFormatting>
  <conditionalFormatting sqref="H94">
    <cfRule dxfId="1" operator="lessThan" priority="1105" type="cellIs">
      <formula>0</formula>
    </cfRule>
    <cfRule dxfId="0" operator="greaterThanOrEqual" priority="1106" type="cellIs">
      <formula>0</formula>
    </cfRule>
  </conditionalFormatting>
  <conditionalFormatting sqref="G94">
    <cfRule dxfId="1" operator="lessThan" priority="1107" type="cellIs">
      <formula>0</formula>
    </cfRule>
    <cfRule dxfId="0" operator="greaterThanOrEqual" priority="1108" type="cellIs">
      <formula>0</formula>
    </cfRule>
  </conditionalFormatting>
  <conditionalFormatting sqref="S98 W98">
    <cfRule dxfId="1" operator="lessThan" priority="1099" type="cellIs">
      <formula>0</formula>
    </cfRule>
    <cfRule dxfId="0" operator="greaterThanOrEqual" priority="1100" type="cellIs">
      <formula>0</formula>
    </cfRule>
  </conditionalFormatting>
  <conditionalFormatting sqref="K98">
    <cfRule dxfId="0" operator="lessThanOrEqual" priority="1101" type="cellIs">
      <formula>0</formula>
    </cfRule>
    <cfRule dxfId="1" operator="greaterThan" priority="1102" type="cellIs">
      <formula>0</formula>
    </cfRule>
  </conditionalFormatting>
  <conditionalFormatting sqref="O98">
    <cfRule dxfId="1" operator="lessThan" priority="1103" type="cellIs">
      <formula>0</formula>
    </cfRule>
    <cfRule dxfId="0" operator="greaterThanOrEqual" priority="1104" type="cellIs">
      <formula>0</formula>
    </cfRule>
  </conditionalFormatting>
  <conditionalFormatting sqref="AQ98">
    <cfRule dxfId="1" operator="lessThan" priority="1097" type="cellIs">
      <formula>0</formula>
    </cfRule>
    <cfRule dxfId="0" operator="greaterThanOrEqual" priority="1098" type="cellIs">
      <formula>0</formula>
    </cfRule>
  </conditionalFormatting>
  <conditionalFormatting sqref="L98">
    <cfRule dxfId="0" operator="lessThanOrEqual" priority="1095" type="cellIs">
      <formula>0</formula>
    </cfRule>
    <cfRule dxfId="1" operator="greaterThan" priority="1096" type="cellIs">
      <formula>0</formula>
    </cfRule>
  </conditionalFormatting>
  <conditionalFormatting sqref="T98">
    <cfRule dxfId="1" operator="lessThan" priority="1093" type="cellIs">
      <formula>0</formula>
    </cfRule>
    <cfRule dxfId="0" operator="greaterThanOrEqual" priority="1094" type="cellIs">
      <formula>0</formula>
    </cfRule>
  </conditionalFormatting>
  <conditionalFormatting sqref="X98">
    <cfRule dxfId="1" operator="lessThan" priority="1091" type="cellIs">
      <formula>0</formula>
    </cfRule>
    <cfRule dxfId="0" operator="greaterThanOrEqual" priority="1092" type="cellIs">
      <formula>0</formula>
    </cfRule>
  </conditionalFormatting>
  <conditionalFormatting sqref="AB98">
    <cfRule dxfId="1" operator="lessThan" priority="1089" type="cellIs">
      <formula>0</formula>
    </cfRule>
    <cfRule dxfId="0" operator="greaterThanOrEqual" priority="1090" type="cellIs">
      <formula>0</formula>
    </cfRule>
  </conditionalFormatting>
  <conditionalFormatting sqref="AF98">
    <cfRule dxfId="1" operator="lessThan" priority="1087" type="cellIs">
      <formula>0</formula>
    </cfRule>
    <cfRule dxfId="0" operator="greaterThanOrEqual" priority="1088" type="cellIs">
      <formula>0</formula>
    </cfRule>
  </conditionalFormatting>
  <conditionalFormatting sqref="P98">
    <cfRule dxfId="1" operator="lessThan" priority="1085" type="cellIs">
      <formula>0</formula>
    </cfRule>
    <cfRule dxfId="0" operator="greaterThanOrEqual" priority="1086" type="cellIs">
      <formula>0</formula>
    </cfRule>
  </conditionalFormatting>
  <conditionalFormatting sqref="AJ98">
    <cfRule dxfId="1" operator="lessThan" priority="1083" type="cellIs">
      <formula>0</formula>
    </cfRule>
    <cfRule dxfId="0" operator="greaterThanOrEqual" priority="1084" type="cellIs">
      <formula>0</formula>
    </cfRule>
  </conditionalFormatting>
  <conditionalFormatting sqref="AR98">
    <cfRule dxfId="1" operator="lessThan" priority="1081" type="cellIs">
      <formula>0</formula>
    </cfRule>
    <cfRule dxfId="0" operator="greaterThanOrEqual" priority="1082" type="cellIs">
      <formula>0</formula>
    </cfRule>
  </conditionalFormatting>
  <conditionalFormatting sqref="AA98">
    <cfRule dxfId="1" operator="lessThan" priority="1079" type="cellIs">
      <formula>0</formula>
    </cfRule>
    <cfRule dxfId="0" operator="greaterThanOrEqual" priority="1080" type="cellIs">
      <formula>0</formula>
    </cfRule>
  </conditionalFormatting>
  <conditionalFormatting sqref="AE98">
    <cfRule dxfId="1" operator="lessThan" priority="1077" type="cellIs">
      <formula>0</formula>
    </cfRule>
    <cfRule dxfId="0" operator="greaterThanOrEqual" priority="1078" type="cellIs">
      <formula>0</formula>
    </cfRule>
  </conditionalFormatting>
  <conditionalFormatting sqref="AI98">
    <cfRule dxfId="1" operator="lessThan" priority="1075" type="cellIs">
      <formula>0</formula>
    </cfRule>
    <cfRule dxfId="0" operator="greaterThanOrEqual" priority="1076" type="cellIs">
      <formula>0</formula>
    </cfRule>
  </conditionalFormatting>
  <conditionalFormatting sqref="AN98">
    <cfRule dxfId="1" operator="lessThan" priority="1071" type="cellIs">
      <formula>0</formula>
    </cfRule>
    <cfRule dxfId="0" operator="greaterThanOrEqual" priority="1072" type="cellIs">
      <formula>0</formula>
    </cfRule>
  </conditionalFormatting>
  <conditionalFormatting sqref="H98">
    <cfRule dxfId="1" operator="lessThan" priority="1067" type="cellIs">
      <formula>0</formula>
    </cfRule>
    <cfRule dxfId="0" operator="greaterThanOrEqual" priority="1068" type="cellIs">
      <formula>0</formula>
    </cfRule>
  </conditionalFormatting>
  <conditionalFormatting sqref="G98">
    <cfRule dxfId="1" operator="lessThan" priority="1069" type="cellIs">
      <formula>0</formula>
    </cfRule>
    <cfRule dxfId="0" operator="greaterThanOrEqual" priority="1070" type="cellIs">
      <formula>0</formula>
    </cfRule>
  </conditionalFormatting>
  <conditionalFormatting sqref="S102 W102">
    <cfRule dxfId="1" operator="lessThan" priority="1061" type="cellIs">
      <formula>0</formula>
    </cfRule>
    <cfRule dxfId="0" operator="greaterThanOrEqual" priority="1062" type="cellIs">
      <formula>0</formula>
    </cfRule>
  </conditionalFormatting>
  <conditionalFormatting sqref="K102">
    <cfRule dxfId="0" operator="lessThanOrEqual" priority="1063" type="cellIs">
      <formula>0</formula>
    </cfRule>
    <cfRule dxfId="1" operator="greaterThan" priority="1064" type="cellIs">
      <formula>0</formula>
    </cfRule>
  </conditionalFormatting>
  <conditionalFormatting sqref="O102">
    <cfRule dxfId="1" operator="lessThan" priority="1065" type="cellIs">
      <formula>0</formula>
    </cfRule>
    <cfRule dxfId="0" operator="greaterThanOrEqual" priority="1066" type="cellIs">
      <formula>0</formula>
    </cfRule>
  </conditionalFormatting>
  <conditionalFormatting sqref="AQ102">
    <cfRule dxfId="1" operator="lessThan" priority="1059" type="cellIs">
      <formula>0</formula>
    </cfRule>
    <cfRule dxfId="0" operator="greaterThanOrEqual" priority="1060" type="cellIs">
      <formula>0</formula>
    </cfRule>
  </conditionalFormatting>
  <conditionalFormatting sqref="L102">
    <cfRule dxfId="0" operator="lessThanOrEqual" priority="1057" type="cellIs">
      <formula>0</formula>
    </cfRule>
    <cfRule dxfId="1" operator="greaterThan" priority="1058" type="cellIs">
      <formula>0</formula>
    </cfRule>
  </conditionalFormatting>
  <conditionalFormatting sqref="T102">
    <cfRule dxfId="1" operator="lessThan" priority="1055" type="cellIs">
      <formula>0</formula>
    </cfRule>
    <cfRule dxfId="0" operator="greaterThanOrEqual" priority="1056" type="cellIs">
      <formula>0</formula>
    </cfRule>
  </conditionalFormatting>
  <conditionalFormatting sqref="X102">
    <cfRule dxfId="1" operator="lessThan" priority="1053" type="cellIs">
      <formula>0</formula>
    </cfRule>
    <cfRule dxfId="0" operator="greaterThanOrEqual" priority="1054" type="cellIs">
      <formula>0</formula>
    </cfRule>
  </conditionalFormatting>
  <conditionalFormatting sqref="AB102">
    <cfRule dxfId="1" operator="lessThan" priority="1051" type="cellIs">
      <formula>0</formula>
    </cfRule>
    <cfRule dxfId="0" operator="greaterThanOrEqual" priority="1052" type="cellIs">
      <formula>0</formula>
    </cfRule>
  </conditionalFormatting>
  <conditionalFormatting sqref="AF102">
    <cfRule dxfId="1" operator="lessThan" priority="1049" type="cellIs">
      <formula>0</formula>
    </cfRule>
    <cfRule dxfId="0" operator="greaterThanOrEqual" priority="1050" type="cellIs">
      <formula>0</formula>
    </cfRule>
  </conditionalFormatting>
  <conditionalFormatting sqref="P102">
    <cfRule dxfId="1" operator="lessThan" priority="1047" type="cellIs">
      <formula>0</formula>
    </cfRule>
    <cfRule dxfId="0" operator="greaterThanOrEqual" priority="1048" type="cellIs">
      <formula>0</formula>
    </cfRule>
  </conditionalFormatting>
  <conditionalFormatting sqref="AJ102">
    <cfRule dxfId="1" operator="lessThan" priority="1045" type="cellIs">
      <formula>0</formula>
    </cfRule>
    <cfRule dxfId="0" operator="greaterThanOrEqual" priority="1046" type="cellIs">
      <formula>0</formula>
    </cfRule>
  </conditionalFormatting>
  <conditionalFormatting sqref="AR102">
    <cfRule dxfId="1" operator="lessThan" priority="1043" type="cellIs">
      <formula>0</formula>
    </cfRule>
    <cfRule dxfId="0" operator="greaterThanOrEqual" priority="1044" type="cellIs">
      <formula>0</formula>
    </cfRule>
  </conditionalFormatting>
  <conditionalFormatting sqref="AA102">
    <cfRule dxfId="1" operator="lessThan" priority="1041" type="cellIs">
      <formula>0</formula>
    </cfRule>
    <cfRule dxfId="0" operator="greaterThanOrEqual" priority="1042" type="cellIs">
      <formula>0</formula>
    </cfRule>
  </conditionalFormatting>
  <conditionalFormatting sqref="AE102">
    <cfRule dxfId="1" operator="lessThan" priority="1039" type="cellIs">
      <formula>0</formula>
    </cfRule>
    <cfRule dxfId="0" operator="greaterThanOrEqual" priority="1040" type="cellIs">
      <formula>0</formula>
    </cfRule>
  </conditionalFormatting>
  <conditionalFormatting sqref="AI102">
    <cfRule dxfId="1" operator="lessThan" priority="1037" type="cellIs">
      <formula>0</formula>
    </cfRule>
    <cfRule dxfId="0" operator="greaterThanOrEqual" priority="1038" type="cellIs">
      <formula>0</formula>
    </cfRule>
  </conditionalFormatting>
  <conditionalFormatting sqref="AN102">
    <cfRule dxfId="1" operator="lessThan" priority="1033" type="cellIs">
      <formula>0</formula>
    </cfRule>
    <cfRule dxfId="0" operator="greaterThanOrEqual" priority="1034" type="cellIs">
      <formula>0</formula>
    </cfRule>
  </conditionalFormatting>
  <conditionalFormatting sqref="H102">
    <cfRule dxfId="1" operator="lessThan" priority="1029" type="cellIs">
      <formula>0</formula>
    </cfRule>
    <cfRule dxfId="0" operator="greaterThanOrEqual" priority="1030" type="cellIs">
      <formula>0</formula>
    </cfRule>
  </conditionalFormatting>
  <conditionalFormatting sqref="G102">
    <cfRule dxfId="1" operator="lessThan" priority="1031" type="cellIs">
      <formula>0</formula>
    </cfRule>
    <cfRule dxfId="0" operator="greaterThanOrEqual" priority="1032" type="cellIs">
      <formula>0</formula>
    </cfRule>
  </conditionalFormatting>
  <conditionalFormatting sqref="S106 W106">
    <cfRule dxfId="1" operator="lessThan" priority="1023" type="cellIs">
      <formula>0</formula>
    </cfRule>
    <cfRule dxfId="0" operator="greaterThanOrEqual" priority="1024" type="cellIs">
      <formula>0</formula>
    </cfRule>
  </conditionalFormatting>
  <conditionalFormatting sqref="K106">
    <cfRule dxfId="0" operator="lessThanOrEqual" priority="1025" type="cellIs">
      <formula>0</formula>
    </cfRule>
    <cfRule dxfId="1" operator="greaterThan" priority="1026" type="cellIs">
      <formula>0</formula>
    </cfRule>
  </conditionalFormatting>
  <conditionalFormatting sqref="O106">
    <cfRule dxfId="1" operator="lessThan" priority="1027" type="cellIs">
      <formula>0</formula>
    </cfRule>
    <cfRule dxfId="0" operator="greaterThanOrEqual" priority="1028" type="cellIs">
      <formula>0</formula>
    </cfRule>
  </conditionalFormatting>
  <conditionalFormatting sqref="AQ106">
    <cfRule dxfId="1" operator="lessThan" priority="1021" type="cellIs">
      <formula>0</formula>
    </cfRule>
    <cfRule dxfId="0" operator="greaterThanOrEqual" priority="1022" type="cellIs">
      <formula>0</formula>
    </cfRule>
  </conditionalFormatting>
  <conditionalFormatting sqref="L106">
    <cfRule dxfId="0" operator="lessThanOrEqual" priority="1019" type="cellIs">
      <formula>0</formula>
    </cfRule>
    <cfRule dxfId="1" operator="greaterThan" priority="1020" type="cellIs">
      <formula>0</formula>
    </cfRule>
  </conditionalFormatting>
  <conditionalFormatting sqref="T106">
    <cfRule dxfId="1" operator="lessThan" priority="1017" type="cellIs">
      <formula>0</formula>
    </cfRule>
    <cfRule dxfId="0" operator="greaterThanOrEqual" priority="1018" type="cellIs">
      <formula>0</formula>
    </cfRule>
  </conditionalFormatting>
  <conditionalFormatting sqref="X106">
    <cfRule dxfId="1" operator="lessThan" priority="1015" type="cellIs">
      <formula>0</formula>
    </cfRule>
    <cfRule dxfId="0" operator="greaterThanOrEqual" priority="1016" type="cellIs">
      <formula>0</formula>
    </cfRule>
  </conditionalFormatting>
  <conditionalFormatting sqref="AB106">
    <cfRule dxfId="1" operator="lessThan" priority="1013" type="cellIs">
      <formula>0</formula>
    </cfRule>
    <cfRule dxfId="0" operator="greaterThanOrEqual" priority="1014" type="cellIs">
      <formula>0</formula>
    </cfRule>
  </conditionalFormatting>
  <conditionalFormatting sqref="AF106">
    <cfRule dxfId="1" operator="lessThan" priority="1011" type="cellIs">
      <formula>0</formula>
    </cfRule>
    <cfRule dxfId="0" operator="greaterThanOrEqual" priority="1012" type="cellIs">
      <formula>0</formula>
    </cfRule>
  </conditionalFormatting>
  <conditionalFormatting sqref="P106">
    <cfRule dxfId="1" operator="lessThan" priority="1009" type="cellIs">
      <formula>0</formula>
    </cfRule>
    <cfRule dxfId="0" operator="greaterThanOrEqual" priority="1010" type="cellIs">
      <formula>0</formula>
    </cfRule>
  </conditionalFormatting>
  <conditionalFormatting sqref="AJ106">
    <cfRule dxfId="1" operator="lessThan" priority="1007" type="cellIs">
      <formula>0</formula>
    </cfRule>
    <cfRule dxfId="0" operator="greaterThanOrEqual" priority="1008" type="cellIs">
      <formula>0</formula>
    </cfRule>
  </conditionalFormatting>
  <conditionalFormatting sqref="AR106">
    <cfRule dxfId="1" operator="lessThan" priority="1005" type="cellIs">
      <formula>0</formula>
    </cfRule>
    <cfRule dxfId="0" operator="greaterThanOrEqual" priority="1006" type="cellIs">
      <formula>0</formula>
    </cfRule>
  </conditionalFormatting>
  <conditionalFormatting sqref="AA106">
    <cfRule dxfId="1" operator="lessThan" priority="1003" type="cellIs">
      <formula>0</formula>
    </cfRule>
    <cfRule dxfId="0" operator="greaterThanOrEqual" priority="1004" type="cellIs">
      <formula>0</formula>
    </cfRule>
  </conditionalFormatting>
  <conditionalFormatting sqref="AE106">
    <cfRule dxfId="1" operator="lessThan" priority="1001" type="cellIs">
      <formula>0</formula>
    </cfRule>
    <cfRule dxfId="0" operator="greaterThanOrEqual" priority="1002" type="cellIs">
      <formula>0</formula>
    </cfRule>
  </conditionalFormatting>
  <conditionalFormatting sqref="AI106">
    <cfRule dxfId="1" operator="lessThan" priority="999" type="cellIs">
      <formula>0</formula>
    </cfRule>
    <cfRule dxfId="0" operator="greaterThanOrEqual" priority="1000" type="cellIs">
      <formula>0</formula>
    </cfRule>
  </conditionalFormatting>
  <conditionalFormatting sqref="AN106">
    <cfRule dxfId="1" operator="lessThan" priority="995" type="cellIs">
      <formula>0</formula>
    </cfRule>
    <cfRule dxfId="0" operator="greaterThanOrEqual" priority="996" type="cellIs">
      <formula>0</formula>
    </cfRule>
  </conditionalFormatting>
  <conditionalFormatting sqref="H106">
    <cfRule dxfId="1" operator="lessThan" priority="991" type="cellIs">
      <formula>0</formula>
    </cfRule>
    <cfRule dxfId="0" operator="greaterThanOrEqual" priority="992" type="cellIs">
      <formula>0</formula>
    </cfRule>
  </conditionalFormatting>
  <conditionalFormatting sqref="G106">
    <cfRule dxfId="1" operator="lessThan" priority="993" type="cellIs">
      <formula>0</formula>
    </cfRule>
    <cfRule dxfId="0" operator="greaterThanOrEqual" priority="994" type="cellIs">
      <formula>0</formula>
    </cfRule>
  </conditionalFormatting>
  <conditionalFormatting sqref="S110 W110">
    <cfRule dxfId="1" operator="lessThan" priority="985" type="cellIs">
      <formula>0</formula>
    </cfRule>
    <cfRule dxfId="0" operator="greaterThanOrEqual" priority="986" type="cellIs">
      <formula>0</formula>
    </cfRule>
  </conditionalFormatting>
  <conditionalFormatting sqref="K110">
    <cfRule dxfId="0" operator="lessThanOrEqual" priority="987" type="cellIs">
      <formula>0</formula>
    </cfRule>
    <cfRule dxfId="1" operator="greaterThan" priority="988" type="cellIs">
      <formula>0</formula>
    </cfRule>
  </conditionalFormatting>
  <conditionalFormatting sqref="O110">
    <cfRule dxfId="1" operator="lessThan" priority="989" type="cellIs">
      <formula>0</formula>
    </cfRule>
    <cfRule dxfId="0" operator="greaterThanOrEqual" priority="990" type="cellIs">
      <formula>0</formula>
    </cfRule>
  </conditionalFormatting>
  <conditionalFormatting sqref="AQ110">
    <cfRule dxfId="1" operator="lessThan" priority="983" type="cellIs">
      <formula>0</formula>
    </cfRule>
    <cfRule dxfId="0" operator="greaterThanOrEqual" priority="984" type="cellIs">
      <formula>0</formula>
    </cfRule>
  </conditionalFormatting>
  <conditionalFormatting sqref="L110">
    <cfRule dxfId="0" operator="lessThanOrEqual" priority="981" type="cellIs">
      <formula>0</formula>
    </cfRule>
    <cfRule dxfId="1" operator="greaterThan" priority="982" type="cellIs">
      <formula>0</formula>
    </cfRule>
  </conditionalFormatting>
  <conditionalFormatting sqref="T110">
    <cfRule dxfId="1" operator="lessThan" priority="979" type="cellIs">
      <formula>0</formula>
    </cfRule>
    <cfRule dxfId="0" operator="greaterThanOrEqual" priority="980" type="cellIs">
      <formula>0</formula>
    </cfRule>
  </conditionalFormatting>
  <conditionalFormatting sqref="X110">
    <cfRule dxfId="1" operator="lessThan" priority="977" type="cellIs">
      <formula>0</formula>
    </cfRule>
    <cfRule dxfId="0" operator="greaterThanOrEqual" priority="978" type="cellIs">
      <formula>0</formula>
    </cfRule>
  </conditionalFormatting>
  <conditionalFormatting sqref="AB110">
    <cfRule dxfId="1" operator="lessThan" priority="975" type="cellIs">
      <formula>0</formula>
    </cfRule>
    <cfRule dxfId="0" operator="greaterThanOrEqual" priority="976" type="cellIs">
      <formula>0</formula>
    </cfRule>
  </conditionalFormatting>
  <conditionalFormatting sqref="AF110">
    <cfRule dxfId="1" operator="lessThan" priority="973" type="cellIs">
      <formula>0</formula>
    </cfRule>
    <cfRule dxfId="0" operator="greaterThanOrEqual" priority="974" type="cellIs">
      <formula>0</formula>
    </cfRule>
  </conditionalFormatting>
  <conditionalFormatting sqref="P110">
    <cfRule dxfId="1" operator="lessThan" priority="971" type="cellIs">
      <formula>0</formula>
    </cfRule>
    <cfRule dxfId="0" operator="greaterThanOrEqual" priority="972" type="cellIs">
      <formula>0</formula>
    </cfRule>
  </conditionalFormatting>
  <conditionalFormatting sqref="AJ110">
    <cfRule dxfId="1" operator="lessThan" priority="969" type="cellIs">
      <formula>0</formula>
    </cfRule>
    <cfRule dxfId="0" operator="greaterThanOrEqual" priority="970" type="cellIs">
      <formula>0</formula>
    </cfRule>
  </conditionalFormatting>
  <conditionalFormatting sqref="AR110">
    <cfRule dxfId="1" operator="lessThan" priority="967" type="cellIs">
      <formula>0</formula>
    </cfRule>
    <cfRule dxfId="0" operator="greaterThanOrEqual" priority="968" type="cellIs">
      <formula>0</formula>
    </cfRule>
  </conditionalFormatting>
  <conditionalFormatting sqref="AA110">
    <cfRule dxfId="1" operator="lessThan" priority="965" type="cellIs">
      <formula>0</formula>
    </cfRule>
    <cfRule dxfId="0" operator="greaterThanOrEqual" priority="966" type="cellIs">
      <formula>0</formula>
    </cfRule>
  </conditionalFormatting>
  <conditionalFormatting sqref="AE110">
    <cfRule dxfId="1" operator="lessThan" priority="963" type="cellIs">
      <formula>0</formula>
    </cfRule>
    <cfRule dxfId="0" operator="greaterThanOrEqual" priority="964" type="cellIs">
      <formula>0</formula>
    </cfRule>
  </conditionalFormatting>
  <conditionalFormatting sqref="AI110">
    <cfRule dxfId="1" operator="lessThan" priority="961" type="cellIs">
      <formula>0</formula>
    </cfRule>
    <cfRule dxfId="0" operator="greaterThanOrEqual" priority="962" type="cellIs">
      <formula>0</formula>
    </cfRule>
  </conditionalFormatting>
  <conditionalFormatting sqref="AN110">
    <cfRule dxfId="1" operator="lessThan" priority="957" type="cellIs">
      <formula>0</formula>
    </cfRule>
    <cfRule dxfId="0" operator="greaterThanOrEqual" priority="958" type="cellIs">
      <formula>0</formula>
    </cfRule>
  </conditionalFormatting>
  <conditionalFormatting sqref="H110">
    <cfRule dxfId="1" operator="lessThan" priority="953" type="cellIs">
      <formula>0</formula>
    </cfRule>
    <cfRule dxfId="0" operator="greaterThanOrEqual" priority="954" type="cellIs">
      <formula>0</formula>
    </cfRule>
  </conditionalFormatting>
  <conditionalFormatting sqref="G110">
    <cfRule dxfId="1" operator="lessThan" priority="955" type="cellIs">
      <formula>0</formula>
    </cfRule>
    <cfRule dxfId="0" operator="greaterThanOrEqual" priority="956" type="cellIs">
      <formula>0</formula>
    </cfRule>
  </conditionalFormatting>
  <conditionalFormatting sqref="S114 W114">
    <cfRule dxfId="1" operator="lessThan" priority="947" type="cellIs">
      <formula>0</formula>
    </cfRule>
    <cfRule dxfId="0" operator="greaterThanOrEqual" priority="948" type="cellIs">
      <formula>0</formula>
    </cfRule>
  </conditionalFormatting>
  <conditionalFormatting sqref="K114">
    <cfRule dxfId="0" operator="lessThanOrEqual" priority="949" type="cellIs">
      <formula>0</formula>
    </cfRule>
    <cfRule dxfId="1" operator="greaterThan" priority="950" type="cellIs">
      <formula>0</formula>
    </cfRule>
  </conditionalFormatting>
  <conditionalFormatting sqref="O114">
    <cfRule dxfId="1" operator="lessThan" priority="951" type="cellIs">
      <formula>0</formula>
    </cfRule>
    <cfRule dxfId="0" operator="greaterThanOrEqual" priority="952" type="cellIs">
      <formula>0</formula>
    </cfRule>
  </conditionalFormatting>
  <conditionalFormatting sqref="AQ114">
    <cfRule dxfId="1" operator="lessThan" priority="945" type="cellIs">
      <formula>0</formula>
    </cfRule>
    <cfRule dxfId="0" operator="greaterThanOrEqual" priority="946" type="cellIs">
      <formula>0</formula>
    </cfRule>
  </conditionalFormatting>
  <conditionalFormatting sqref="L114">
    <cfRule dxfId="0" operator="lessThanOrEqual" priority="943" type="cellIs">
      <formula>0</formula>
    </cfRule>
    <cfRule dxfId="1" operator="greaterThan" priority="944" type="cellIs">
      <formula>0</formula>
    </cfRule>
  </conditionalFormatting>
  <conditionalFormatting sqref="T114">
    <cfRule dxfId="1" operator="lessThan" priority="941" type="cellIs">
      <formula>0</formula>
    </cfRule>
    <cfRule dxfId="0" operator="greaterThanOrEqual" priority="942" type="cellIs">
      <formula>0</formula>
    </cfRule>
  </conditionalFormatting>
  <conditionalFormatting sqref="X114">
    <cfRule dxfId="1" operator="lessThan" priority="939" type="cellIs">
      <formula>0</formula>
    </cfRule>
    <cfRule dxfId="0" operator="greaterThanOrEqual" priority="940" type="cellIs">
      <formula>0</formula>
    </cfRule>
  </conditionalFormatting>
  <conditionalFormatting sqref="AB114">
    <cfRule dxfId="1" operator="lessThan" priority="937" type="cellIs">
      <formula>0</formula>
    </cfRule>
    <cfRule dxfId="0" operator="greaterThanOrEqual" priority="938" type="cellIs">
      <formula>0</formula>
    </cfRule>
  </conditionalFormatting>
  <conditionalFormatting sqref="AF114">
    <cfRule dxfId="1" operator="lessThan" priority="935" type="cellIs">
      <formula>0</formula>
    </cfRule>
    <cfRule dxfId="0" operator="greaterThanOrEqual" priority="936" type="cellIs">
      <formula>0</formula>
    </cfRule>
  </conditionalFormatting>
  <conditionalFormatting sqref="P114">
    <cfRule dxfId="1" operator="lessThan" priority="933" type="cellIs">
      <formula>0</formula>
    </cfRule>
    <cfRule dxfId="0" operator="greaterThanOrEqual" priority="934" type="cellIs">
      <formula>0</formula>
    </cfRule>
  </conditionalFormatting>
  <conditionalFormatting sqref="AJ114">
    <cfRule dxfId="1" operator="lessThan" priority="931" type="cellIs">
      <formula>0</formula>
    </cfRule>
    <cfRule dxfId="0" operator="greaterThanOrEqual" priority="932" type="cellIs">
      <formula>0</formula>
    </cfRule>
  </conditionalFormatting>
  <conditionalFormatting sqref="AR114">
    <cfRule dxfId="1" operator="lessThan" priority="929" type="cellIs">
      <formula>0</formula>
    </cfRule>
    <cfRule dxfId="0" operator="greaterThanOrEqual" priority="930" type="cellIs">
      <formula>0</formula>
    </cfRule>
  </conditionalFormatting>
  <conditionalFormatting sqref="AA114">
    <cfRule dxfId="1" operator="lessThan" priority="927" type="cellIs">
      <formula>0</formula>
    </cfRule>
    <cfRule dxfId="0" operator="greaterThanOrEqual" priority="928" type="cellIs">
      <formula>0</formula>
    </cfRule>
  </conditionalFormatting>
  <conditionalFormatting sqref="AE114">
    <cfRule dxfId="1" operator="lessThan" priority="925" type="cellIs">
      <formula>0</formula>
    </cfRule>
    <cfRule dxfId="0" operator="greaterThanOrEqual" priority="926" type="cellIs">
      <formula>0</formula>
    </cfRule>
  </conditionalFormatting>
  <conditionalFormatting sqref="AI114">
    <cfRule dxfId="1" operator="lessThan" priority="923" type="cellIs">
      <formula>0</formula>
    </cfRule>
    <cfRule dxfId="0" operator="greaterThanOrEqual" priority="924" type="cellIs">
      <formula>0</formula>
    </cfRule>
  </conditionalFormatting>
  <conditionalFormatting sqref="AN114">
    <cfRule dxfId="1" operator="lessThan" priority="919" type="cellIs">
      <formula>0</formula>
    </cfRule>
    <cfRule dxfId="0" operator="greaterThanOrEqual" priority="920" type="cellIs">
      <formula>0</formula>
    </cfRule>
  </conditionalFormatting>
  <conditionalFormatting sqref="H114">
    <cfRule dxfId="1" operator="lessThan" priority="915" type="cellIs">
      <formula>0</formula>
    </cfRule>
    <cfRule dxfId="0" operator="greaterThanOrEqual" priority="916" type="cellIs">
      <formula>0</formula>
    </cfRule>
  </conditionalFormatting>
  <conditionalFormatting sqref="G114">
    <cfRule dxfId="1" operator="lessThan" priority="917" type="cellIs">
      <formula>0</formula>
    </cfRule>
    <cfRule dxfId="0" operator="greaterThanOrEqual" priority="918" type="cellIs">
      <formula>0</formula>
    </cfRule>
  </conditionalFormatting>
  <conditionalFormatting sqref="S118 W118">
    <cfRule dxfId="1" operator="lessThan" priority="909" type="cellIs">
      <formula>0</formula>
    </cfRule>
    <cfRule dxfId="0" operator="greaterThanOrEqual" priority="910" type="cellIs">
      <formula>0</formula>
    </cfRule>
  </conditionalFormatting>
  <conditionalFormatting sqref="K118">
    <cfRule dxfId="0" operator="lessThanOrEqual" priority="911" type="cellIs">
      <formula>0</formula>
    </cfRule>
    <cfRule dxfId="1" operator="greaterThan" priority="912" type="cellIs">
      <formula>0</formula>
    </cfRule>
  </conditionalFormatting>
  <conditionalFormatting sqref="O118">
    <cfRule dxfId="1" operator="lessThan" priority="913" type="cellIs">
      <formula>0</formula>
    </cfRule>
    <cfRule dxfId="0" operator="greaterThanOrEqual" priority="914" type="cellIs">
      <formula>0</formula>
    </cfRule>
  </conditionalFormatting>
  <conditionalFormatting sqref="AQ118">
    <cfRule dxfId="1" operator="lessThan" priority="907" type="cellIs">
      <formula>0</formula>
    </cfRule>
    <cfRule dxfId="0" operator="greaterThanOrEqual" priority="908" type="cellIs">
      <formula>0</formula>
    </cfRule>
  </conditionalFormatting>
  <conditionalFormatting sqref="L118">
    <cfRule dxfId="0" operator="lessThanOrEqual" priority="905" type="cellIs">
      <formula>0</formula>
    </cfRule>
    <cfRule dxfId="1" operator="greaterThan" priority="906" type="cellIs">
      <formula>0</formula>
    </cfRule>
  </conditionalFormatting>
  <conditionalFormatting sqref="T118">
    <cfRule dxfId="1" operator="lessThan" priority="903" type="cellIs">
      <formula>0</formula>
    </cfRule>
    <cfRule dxfId="0" operator="greaterThanOrEqual" priority="904" type="cellIs">
      <formula>0</formula>
    </cfRule>
  </conditionalFormatting>
  <conditionalFormatting sqref="X118">
    <cfRule dxfId="1" operator="lessThan" priority="901" type="cellIs">
      <formula>0</formula>
    </cfRule>
    <cfRule dxfId="0" operator="greaterThanOrEqual" priority="902" type="cellIs">
      <formula>0</formula>
    </cfRule>
  </conditionalFormatting>
  <conditionalFormatting sqref="AB118">
    <cfRule dxfId="1" operator="lessThan" priority="899" type="cellIs">
      <formula>0</formula>
    </cfRule>
    <cfRule dxfId="0" operator="greaterThanOrEqual" priority="900" type="cellIs">
      <formula>0</formula>
    </cfRule>
  </conditionalFormatting>
  <conditionalFormatting sqref="AF118">
    <cfRule dxfId="1" operator="lessThan" priority="897" type="cellIs">
      <formula>0</formula>
    </cfRule>
    <cfRule dxfId="0" operator="greaterThanOrEqual" priority="898" type="cellIs">
      <formula>0</formula>
    </cfRule>
  </conditionalFormatting>
  <conditionalFormatting sqref="P118">
    <cfRule dxfId="1" operator="lessThan" priority="895" type="cellIs">
      <formula>0</formula>
    </cfRule>
    <cfRule dxfId="0" operator="greaterThanOrEqual" priority="896" type="cellIs">
      <formula>0</formula>
    </cfRule>
  </conditionalFormatting>
  <conditionalFormatting sqref="AJ118">
    <cfRule dxfId="1" operator="lessThan" priority="893" type="cellIs">
      <formula>0</formula>
    </cfRule>
    <cfRule dxfId="0" operator="greaterThanOrEqual" priority="894" type="cellIs">
      <formula>0</formula>
    </cfRule>
  </conditionalFormatting>
  <conditionalFormatting sqref="AR118">
    <cfRule dxfId="1" operator="lessThan" priority="891" type="cellIs">
      <formula>0</formula>
    </cfRule>
    <cfRule dxfId="0" operator="greaterThanOrEqual" priority="892" type="cellIs">
      <formula>0</formula>
    </cfRule>
  </conditionalFormatting>
  <conditionalFormatting sqref="AA118">
    <cfRule dxfId="1" operator="lessThan" priority="889" type="cellIs">
      <formula>0</formula>
    </cfRule>
    <cfRule dxfId="0" operator="greaterThanOrEqual" priority="890" type="cellIs">
      <formula>0</formula>
    </cfRule>
  </conditionalFormatting>
  <conditionalFormatting sqref="AE118">
    <cfRule dxfId="1" operator="lessThan" priority="887" type="cellIs">
      <formula>0</formula>
    </cfRule>
    <cfRule dxfId="0" operator="greaterThanOrEqual" priority="888" type="cellIs">
      <formula>0</formula>
    </cfRule>
  </conditionalFormatting>
  <conditionalFormatting sqref="AI118">
    <cfRule dxfId="1" operator="lessThan" priority="885" type="cellIs">
      <formula>0</formula>
    </cfRule>
    <cfRule dxfId="0" operator="greaterThanOrEqual" priority="886" type="cellIs">
      <formula>0</formula>
    </cfRule>
  </conditionalFormatting>
  <conditionalFormatting sqref="AN118">
    <cfRule dxfId="1" operator="lessThan" priority="881" type="cellIs">
      <formula>0</formula>
    </cfRule>
    <cfRule dxfId="0" operator="greaterThanOrEqual" priority="882" type="cellIs">
      <formula>0</formula>
    </cfRule>
  </conditionalFormatting>
  <conditionalFormatting sqref="H118">
    <cfRule dxfId="1" operator="lessThan" priority="877" type="cellIs">
      <formula>0</formula>
    </cfRule>
    <cfRule dxfId="0" operator="greaterThanOrEqual" priority="878" type="cellIs">
      <formula>0</formula>
    </cfRule>
  </conditionalFormatting>
  <conditionalFormatting sqref="G118">
    <cfRule dxfId="1" operator="lessThan" priority="879" type="cellIs">
      <formula>0</formula>
    </cfRule>
    <cfRule dxfId="0" operator="greaterThanOrEqual" priority="880" type="cellIs">
      <formula>0</formula>
    </cfRule>
  </conditionalFormatting>
  <conditionalFormatting sqref="S122 W122">
    <cfRule dxfId="1" operator="lessThan" priority="871" type="cellIs">
      <formula>0</formula>
    </cfRule>
    <cfRule dxfId="0" operator="greaterThanOrEqual" priority="872" type="cellIs">
      <formula>0</formula>
    </cfRule>
  </conditionalFormatting>
  <conditionalFormatting sqref="K122">
    <cfRule dxfId="0" operator="lessThanOrEqual" priority="873" type="cellIs">
      <formula>0</formula>
    </cfRule>
    <cfRule dxfId="1" operator="greaterThan" priority="874" type="cellIs">
      <formula>0</formula>
    </cfRule>
  </conditionalFormatting>
  <conditionalFormatting sqref="O122">
    <cfRule dxfId="1" operator="lessThan" priority="875" type="cellIs">
      <formula>0</formula>
    </cfRule>
    <cfRule dxfId="0" operator="greaterThanOrEqual" priority="876" type="cellIs">
      <formula>0</formula>
    </cfRule>
  </conditionalFormatting>
  <conditionalFormatting sqref="AQ122">
    <cfRule dxfId="1" operator="lessThan" priority="869" type="cellIs">
      <formula>0</formula>
    </cfRule>
    <cfRule dxfId="0" operator="greaterThanOrEqual" priority="870" type="cellIs">
      <formula>0</formula>
    </cfRule>
  </conditionalFormatting>
  <conditionalFormatting sqref="L122">
    <cfRule dxfId="0" operator="lessThanOrEqual" priority="867" type="cellIs">
      <formula>0</formula>
    </cfRule>
    <cfRule dxfId="1" operator="greaterThan" priority="868" type="cellIs">
      <formula>0</formula>
    </cfRule>
  </conditionalFormatting>
  <conditionalFormatting sqref="T122">
    <cfRule dxfId="1" operator="lessThan" priority="865" type="cellIs">
      <formula>0</formula>
    </cfRule>
    <cfRule dxfId="0" operator="greaterThanOrEqual" priority="866" type="cellIs">
      <formula>0</formula>
    </cfRule>
  </conditionalFormatting>
  <conditionalFormatting sqref="X122">
    <cfRule dxfId="1" operator="lessThan" priority="863" type="cellIs">
      <formula>0</formula>
    </cfRule>
    <cfRule dxfId="0" operator="greaterThanOrEqual" priority="864" type="cellIs">
      <formula>0</formula>
    </cfRule>
  </conditionalFormatting>
  <conditionalFormatting sqref="AB122">
    <cfRule dxfId="1" operator="lessThan" priority="861" type="cellIs">
      <formula>0</formula>
    </cfRule>
    <cfRule dxfId="0" operator="greaterThanOrEqual" priority="862" type="cellIs">
      <formula>0</formula>
    </cfRule>
  </conditionalFormatting>
  <conditionalFormatting sqref="AF122">
    <cfRule dxfId="1" operator="lessThan" priority="859" type="cellIs">
      <formula>0</formula>
    </cfRule>
    <cfRule dxfId="0" operator="greaterThanOrEqual" priority="860" type="cellIs">
      <formula>0</formula>
    </cfRule>
  </conditionalFormatting>
  <conditionalFormatting sqref="P122">
    <cfRule dxfId="1" operator="lessThan" priority="857" type="cellIs">
      <formula>0</formula>
    </cfRule>
    <cfRule dxfId="0" operator="greaterThanOrEqual" priority="858" type="cellIs">
      <formula>0</formula>
    </cfRule>
  </conditionalFormatting>
  <conditionalFormatting sqref="AJ122">
    <cfRule dxfId="1" operator="lessThan" priority="855" type="cellIs">
      <formula>0</formula>
    </cfRule>
    <cfRule dxfId="0" operator="greaterThanOrEqual" priority="856" type="cellIs">
      <formula>0</formula>
    </cfRule>
  </conditionalFormatting>
  <conditionalFormatting sqref="AR122">
    <cfRule dxfId="1" operator="lessThan" priority="853" type="cellIs">
      <formula>0</formula>
    </cfRule>
    <cfRule dxfId="0" operator="greaterThanOrEqual" priority="854" type="cellIs">
      <formula>0</formula>
    </cfRule>
  </conditionalFormatting>
  <conditionalFormatting sqref="AA122">
    <cfRule dxfId="1" operator="lessThan" priority="851" type="cellIs">
      <formula>0</formula>
    </cfRule>
    <cfRule dxfId="0" operator="greaterThanOrEqual" priority="852" type="cellIs">
      <formula>0</formula>
    </cfRule>
  </conditionalFormatting>
  <conditionalFormatting sqref="AE122">
    <cfRule dxfId="1" operator="lessThan" priority="849" type="cellIs">
      <formula>0</formula>
    </cfRule>
    <cfRule dxfId="0" operator="greaterThanOrEqual" priority="850" type="cellIs">
      <formula>0</formula>
    </cfRule>
  </conditionalFormatting>
  <conditionalFormatting sqref="AI122">
    <cfRule dxfId="1" operator="lessThan" priority="847" type="cellIs">
      <formula>0</formula>
    </cfRule>
    <cfRule dxfId="0" operator="greaterThanOrEqual" priority="848" type="cellIs">
      <formula>0</formula>
    </cfRule>
  </conditionalFormatting>
  <conditionalFormatting sqref="AN122">
    <cfRule dxfId="1" operator="lessThan" priority="843" type="cellIs">
      <formula>0</formula>
    </cfRule>
    <cfRule dxfId="0" operator="greaterThanOrEqual" priority="844" type="cellIs">
      <formula>0</formula>
    </cfRule>
  </conditionalFormatting>
  <conditionalFormatting sqref="H122">
    <cfRule dxfId="1" operator="lessThan" priority="839" type="cellIs">
      <formula>0</formula>
    </cfRule>
    <cfRule dxfId="0" operator="greaterThanOrEqual" priority="840" type="cellIs">
      <formula>0</formula>
    </cfRule>
  </conditionalFormatting>
  <conditionalFormatting sqref="G122">
    <cfRule dxfId="1" operator="lessThan" priority="841" type="cellIs">
      <formula>0</formula>
    </cfRule>
    <cfRule dxfId="0" operator="greaterThanOrEqual" priority="842" type="cellIs">
      <formula>0</formula>
    </cfRule>
  </conditionalFormatting>
  <conditionalFormatting sqref="S126 W126">
    <cfRule dxfId="1" operator="lessThan" priority="833" type="cellIs">
      <formula>0</formula>
    </cfRule>
    <cfRule dxfId="0" operator="greaterThanOrEqual" priority="834" type="cellIs">
      <formula>0</formula>
    </cfRule>
  </conditionalFormatting>
  <conditionalFormatting sqref="K126">
    <cfRule dxfId="0" operator="lessThanOrEqual" priority="835" type="cellIs">
      <formula>0</formula>
    </cfRule>
    <cfRule dxfId="1" operator="greaterThan" priority="836" type="cellIs">
      <formula>0</formula>
    </cfRule>
  </conditionalFormatting>
  <conditionalFormatting sqref="O126">
    <cfRule dxfId="1" operator="lessThan" priority="837" type="cellIs">
      <formula>0</formula>
    </cfRule>
    <cfRule dxfId="0" operator="greaterThanOrEqual" priority="838" type="cellIs">
      <formula>0</formula>
    </cfRule>
  </conditionalFormatting>
  <conditionalFormatting sqref="AQ126">
    <cfRule dxfId="1" operator="lessThan" priority="831" type="cellIs">
      <formula>0</formula>
    </cfRule>
    <cfRule dxfId="0" operator="greaterThanOrEqual" priority="832" type="cellIs">
      <formula>0</formula>
    </cfRule>
  </conditionalFormatting>
  <conditionalFormatting sqref="L126">
    <cfRule dxfId="0" operator="lessThanOrEqual" priority="829" type="cellIs">
      <formula>0</formula>
    </cfRule>
    <cfRule dxfId="1" operator="greaterThan" priority="830" type="cellIs">
      <formula>0</formula>
    </cfRule>
  </conditionalFormatting>
  <conditionalFormatting sqref="T126">
    <cfRule dxfId="1" operator="lessThan" priority="827" type="cellIs">
      <formula>0</formula>
    </cfRule>
    <cfRule dxfId="0" operator="greaterThanOrEqual" priority="828" type="cellIs">
      <formula>0</formula>
    </cfRule>
  </conditionalFormatting>
  <conditionalFormatting sqref="X126">
    <cfRule dxfId="1" operator="lessThan" priority="825" type="cellIs">
      <formula>0</formula>
    </cfRule>
    <cfRule dxfId="0" operator="greaterThanOrEqual" priority="826" type="cellIs">
      <formula>0</formula>
    </cfRule>
  </conditionalFormatting>
  <conditionalFormatting sqref="AB126">
    <cfRule dxfId="1" operator="lessThan" priority="823" type="cellIs">
      <formula>0</formula>
    </cfRule>
    <cfRule dxfId="0" operator="greaterThanOrEqual" priority="824" type="cellIs">
      <formula>0</formula>
    </cfRule>
  </conditionalFormatting>
  <conditionalFormatting sqref="AF126">
    <cfRule dxfId="1" operator="lessThan" priority="821" type="cellIs">
      <formula>0</formula>
    </cfRule>
    <cfRule dxfId="0" operator="greaterThanOrEqual" priority="822" type="cellIs">
      <formula>0</formula>
    </cfRule>
  </conditionalFormatting>
  <conditionalFormatting sqref="P126">
    <cfRule dxfId="1" operator="lessThan" priority="819" type="cellIs">
      <formula>0</formula>
    </cfRule>
    <cfRule dxfId="0" operator="greaterThanOrEqual" priority="820" type="cellIs">
      <formula>0</formula>
    </cfRule>
  </conditionalFormatting>
  <conditionalFormatting sqref="AJ126">
    <cfRule dxfId="1" operator="lessThan" priority="817" type="cellIs">
      <formula>0</formula>
    </cfRule>
    <cfRule dxfId="0" operator="greaterThanOrEqual" priority="818" type="cellIs">
      <formula>0</formula>
    </cfRule>
  </conditionalFormatting>
  <conditionalFormatting sqref="AR126">
    <cfRule dxfId="1" operator="lessThan" priority="815" type="cellIs">
      <formula>0</formula>
    </cfRule>
    <cfRule dxfId="0" operator="greaterThanOrEqual" priority="816" type="cellIs">
      <formula>0</formula>
    </cfRule>
  </conditionalFormatting>
  <conditionalFormatting sqref="AA126">
    <cfRule dxfId="1" operator="lessThan" priority="813" type="cellIs">
      <formula>0</formula>
    </cfRule>
    <cfRule dxfId="0" operator="greaterThanOrEqual" priority="814" type="cellIs">
      <formula>0</formula>
    </cfRule>
  </conditionalFormatting>
  <conditionalFormatting sqref="AE126">
    <cfRule dxfId="1" operator="lessThan" priority="811" type="cellIs">
      <formula>0</formula>
    </cfRule>
    <cfRule dxfId="0" operator="greaterThanOrEqual" priority="812" type="cellIs">
      <formula>0</formula>
    </cfRule>
  </conditionalFormatting>
  <conditionalFormatting sqref="AI126">
    <cfRule dxfId="1" operator="lessThan" priority="809" type="cellIs">
      <formula>0</formula>
    </cfRule>
    <cfRule dxfId="0" operator="greaterThanOrEqual" priority="810" type="cellIs">
      <formula>0</formula>
    </cfRule>
  </conditionalFormatting>
  <conditionalFormatting sqref="AN126">
    <cfRule dxfId="1" operator="lessThan" priority="805" type="cellIs">
      <formula>0</formula>
    </cfRule>
    <cfRule dxfId="0" operator="greaterThanOrEqual" priority="806" type="cellIs">
      <formula>0</formula>
    </cfRule>
  </conditionalFormatting>
  <conditionalFormatting sqref="H126">
    <cfRule dxfId="1" operator="lessThan" priority="801" type="cellIs">
      <formula>0</formula>
    </cfRule>
    <cfRule dxfId="0" operator="greaterThanOrEqual" priority="802" type="cellIs">
      <formula>0</formula>
    </cfRule>
  </conditionalFormatting>
  <conditionalFormatting sqref="G126">
    <cfRule dxfId="1" operator="lessThan" priority="803" type="cellIs">
      <formula>0</formula>
    </cfRule>
    <cfRule dxfId="0" operator="greaterThanOrEqual" priority="804" type="cellIs">
      <formula>0</formula>
    </cfRule>
  </conditionalFormatting>
  <conditionalFormatting sqref="S130 W130">
    <cfRule dxfId="1" operator="lessThan" priority="795" type="cellIs">
      <formula>0</formula>
    </cfRule>
    <cfRule dxfId="0" operator="greaterThanOrEqual" priority="796" type="cellIs">
      <formula>0</formula>
    </cfRule>
  </conditionalFormatting>
  <conditionalFormatting sqref="K130">
    <cfRule dxfId="0" operator="lessThanOrEqual" priority="797" type="cellIs">
      <formula>0</formula>
    </cfRule>
    <cfRule dxfId="1" operator="greaterThan" priority="798" type="cellIs">
      <formula>0</formula>
    </cfRule>
  </conditionalFormatting>
  <conditionalFormatting sqref="O130">
    <cfRule dxfId="1" operator="lessThan" priority="799" type="cellIs">
      <formula>0</formula>
    </cfRule>
    <cfRule dxfId="0" operator="greaterThanOrEqual" priority="800" type="cellIs">
      <formula>0</formula>
    </cfRule>
  </conditionalFormatting>
  <conditionalFormatting sqref="AQ130">
    <cfRule dxfId="1" operator="lessThan" priority="793" type="cellIs">
      <formula>0</formula>
    </cfRule>
    <cfRule dxfId="0" operator="greaterThanOrEqual" priority="794" type="cellIs">
      <formula>0</formula>
    </cfRule>
  </conditionalFormatting>
  <conditionalFormatting sqref="L130">
    <cfRule dxfId="0" operator="lessThanOrEqual" priority="791" type="cellIs">
      <formula>0</formula>
    </cfRule>
    <cfRule dxfId="1" operator="greaterThan" priority="792" type="cellIs">
      <formula>0</formula>
    </cfRule>
  </conditionalFormatting>
  <conditionalFormatting sqref="T130">
    <cfRule dxfId="1" operator="lessThan" priority="789" type="cellIs">
      <formula>0</formula>
    </cfRule>
    <cfRule dxfId="0" operator="greaterThanOrEqual" priority="790" type="cellIs">
      <formula>0</formula>
    </cfRule>
  </conditionalFormatting>
  <conditionalFormatting sqref="X130">
    <cfRule dxfId="1" operator="lessThan" priority="787" type="cellIs">
      <formula>0</formula>
    </cfRule>
    <cfRule dxfId="0" operator="greaterThanOrEqual" priority="788" type="cellIs">
      <formula>0</formula>
    </cfRule>
  </conditionalFormatting>
  <conditionalFormatting sqref="AB130">
    <cfRule dxfId="1" operator="lessThan" priority="785" type="cellIs">
      <formula>0</formula>
    </cfRule>
    <cfRule dxfId="0" operator="greaterThanOrEqual" priority="786" type="cellIs">
      <formula>0</formula>
    </cfRule>
  </conditionalFormatting>
  <conditionalFormatting sqref="AF130">
    <cfRule dxfId="1" operator="lessThan" priority="783" type="cellIs">
      <formula>0</formula>
    </cfRule>
    <cfRule dxfId="0" operator="greaterThanOrEqual" priority="784" type="cellIs">
      <formula>0</formula>
    </cfRule>
  </conditionalFormatting>
  <conditionalFormatting sqref="P130">
    <cfRule dxfId="1" operator="lessThan" priority="781" type="cellIs">
      <formula>0</formula>
    </cfRule>
    <cfRule dxfId="0" operator="greaterThanOrEqual" priority="782" type="cellIs">
      <formula>0</formula>
    </cfRule>
  </conditionalFormatting>
  <conditionalFormatting sqref="AJ130">
    <cfRule dxfId="1" operator="lessThan" priority="779" type="cellIs">
      <formula>0</formula>
    </cfRule>
    <cfRule dxfId="0" operator="greaterThanOrEqual" priority="780" type="cellIs">
      <formula>0</formula>
    </cfRule>
  </conditionalFormatting>
  <conditionalFormatting sqref="AR130">
    <cfRule dxfId="1" operator="lessThan" priority="777" type="cellIs">
      <formula>0</formula>
    </cfRule>
    <cfRule dxfId="0" operator="greaterThanOrEqual" priority="778" type="cellIs">
      <formula>0</formula>
    </cfRule>
  </conditionalFormatting>
  <conditionalFormatting sqref="AA130">
    <cfRule dxfId="1" operator="lessThan" priority="775" type="cellIs">
      <formula>0</formula>
    </cfRule>
    <cfRule dxfId="0" operator="greaterThanOrEqual" priority="776" type="cellIs">
      <formula>0</formula>
    </cfRule>
  </conditionalFormatting>
  <conditionalFormatting sqref="AE130">
    <cfRule dxfId="1" operator="lessThan" priority="773" type="cellIs">
      <formula>0</formula>
    </cfRule>
    <cfRule dxfId="0" operator="greaterThanOrEqual" priority="774" type="cellIs">
      <formula>0</formula>
    </cfRule>
  </conditionalFormatting>
  <conditionalFormatting sqref="AI130">
    <cfRule dxfId="1" operator="lessThan" priority="771" type="cellIs">
      <formula>0</formula>
    </cfRule>
    <cfRule dxfId="0" operator="greaterThanOrEqual" priority="772" type="cellIs">
      <formula>0</formula>
    </cfRule>
  </conditionalFormatting>
  <conditionalFormatting sqref="AN130">
    <cfRule dxfId="1" operator="lessThan" priority="767" type="cellIs">
      <formula>0</formula>
    </cfRule>
    <cfRule dxfId="0" operator="greaterThanOrEqual" priority="768" type="cellIs">
      <formula>0</formula>
    </cfRule>
  </conditionalFormatting>
  <conditionalFormatting sqref="H130">
    <cfRule dxfId="1" operator="lessThan" priority="763" type="cellIs">
      <formula>0</formula>
    </cfRule>
    <cfRule dxfId="0" operator="greaterThanOrEqual" priority="764" type="cellIs">
      <formula>0</formula>
    </cfRule>
  </conditionalFormatting>
  <conditionalFormatting sqref="G130">
    <cfRule dxfId="1" operator="lessThan" priority="765" type="cellIs">
      <formula>0</formula>
    </cfRule>
    <cfRule dxfId="0" operator="greaterThanOrEqual" priority="766" type="cellIs">
      <formula>0</formula>
    </cfRule>
  </conditionalFormatting>
  <conditionalFormatting sqref="S134 W134">
    <cfRule dxfId="1" operator="lessThan" priority="757" type="cellIs">
      <formula>0</formula>
    </cfRule>
    <cfRule dxfId="0" operator="greaterThanOrEqual" priority="758" type="cellIs">
      <formula>0</formula>
    </cfRule>
  </conditionalFormatting>
  <conditionalFormatting sqref="K134">
    <cfRule dxfId="0" operator="lessThanOrEqual" priority="759" type="cellIs">
      <formula>0</formula>
    </cfRule>
    <cfRule dxfId="1" operator="greaterThan" priority="760" type="cellIs">
      <formula>0</formula>
    </cfRule>
  </conditionalFormatting>
  <conditionalFormatting sqref="O134">
    <cfRule dxfId="1" operator="lessThan" priority="761" type="cellIs">
      <formula>0</formula>
    </cfRule>
    <cfRule dxfId="0" operator="greaterThanOrEqual" priority="762" type="cellIs">
      <formula>0</formula>
    </cfRule>
  </conditionalFormatting>
  <conditionalFormatting sqref="AQ134">
    <cfRule dxfId="1" operator="lessThan" priority="755" type="cellIs">
      <formula>0</formula>
    </cfRule>
    <cfRule dxfId="0" operator="greaterThanOrEqual" priority="756" type="cellIs">
      <formula>0</formula>
    </cfRule>
  </conditionalFormatting>
  <conditionalFormatting sqref="L134">
    <cfRule dxfId="0" operator="lessThanOrEqual" priority="753" type="cellIs">
      <formula>0</formula>
    </cfRule>
    <cfRule dxfId="1" operator="greaterThan" priority="754" type="cellIs">
      <formula>0</formula>
    </cfRule>
  </conditionalFormatting>
  <conditionalFormatting sqref="T134">
    <cfRule dxfId="1" operator="lessThan" priority="751" type="cellIs">
      <formula>0</formula>
    </cfRule>
    <cfRule dxfId="0" operator="greaterThanOrEqual" priority="752" type="cellIs">
      <formula>0</formula>
    </cfRule>
  </conditionalFormatting>
  <conditionalFormatting sqref="X134">
    <cfRule dxfId="1" operator="lessThan" priority="749" type="cellIs">
      <formula>0</formula>
    </cfRule>
    <cfRule dxfId="0" operator="greaterThanOrEqual" priority="750" type="cellIs">
      <formula>0</formula>
    </cfRule>
  </conditionalFormatting>
  <conditionalFormatting sqref="AB134">
    <cfRule dxfId="1" operator="lessThan" priority="747" type="cellIs">
      <formula>0</formula>
    </cfRule>
    <cfRule dxfId="0" operator="greaterThanOrEqual" priority="748" type="cellIs">
      <formula>0</formula>
    </cfRule>
  </conditionalFormatting>
  <conditionalFormatting sqref="AF134">
    <cfRule dxfId="1" operator="lessThan" priority="745" type="cellIs">
      <formula>0</formula>
    </cfRule>
    <cfRule dxfId="0" operator="greaterThanOrEqual" priority="746" type="cellIs">
      <formula>0</formula>
    </cfRule>
  </conditionalFormatting>
  <conditionalFormatting sqref="P134">
    <cfRule dxfId="1" operator="lessThan" priority="743" type="cellIs">
      <formula>0</formula>
    </cfRule>
    <cfRule dxfId="0" operator="greaterThanOrEqual" priority="744" type="cellIs">
      <formula>0</formula>
    </cfRule>
  </conditionalFormatting>
  <conditionalFormatting sqref="AJ134">
    <cfRule dxfId="1" operator="lessThan" priority="741" type="cellIs">
      <formula>0</formula>
    </cfRule>
    <cfRule dxfId="0" operator="greaterThanOrEqual" priority="742" type="cellIs">
      <formula>0</formula>
    </cfRule>
  </conditionalFormatting>
  <conditionalFormatting sqref="AR134">
    <cfRule dxfId="1" operator="lessThan" priority="739" type="cellIs">
      <formula>0</formula>
    </cfRule>
    <cfRule dxfId="0" operator="greaterThanOrEqual" priority="740" type="cellIs">
      <formula>0</formula>
    </cfRule>
  </conditionalFormatting>
  <conditionalFormatting sqref="AA134">
    <cfRule dxfId="1" operator="lessThan" priority="737" type="cellIs">
      <formula>0</formula>
    </cfRule>
    <cfRule dxfId="0" operator="greaterThanOrEqual" priority="738" type="cellIs">
      <formula>0</formula>
    </cfRule>
  </conditionalFormatting>
  <conditionalFormatting sqref="AE134">
    <cfRule dxfId="1" operator="lessThan" priority="735" type="cellIs">
      <formula>0</formula>
    </cfRule>
    <cfRule dxfId="0" operator="greaterThanOrEqual" priority="736" type="cellIs">
      <formula>0</formula>
    </cfRule>
  </conditionalFormatting>
  <conditionalFormatting sqref="AI134">
    <cfRule dxfId="1" operator="lessThan" priority="733" type="cellIs">
      <formula>0</formula>
    </cfRule>
    <cfRule dxfId="0" operator="greaterThanOrEqual" priority="734" type="cellIs">
      <formula>0</formula>
    </cfRule>
  </conditionalFormatting>
  <conditionalFormatting sqref="AN134">
    <cfRule dxfId="1" operator="lessThan" priority="729" type="cellIs">
      <formula>0</formula>
    </cfRule>
    <cfRule dxfId="0" operator="greaterThanOrEqual" priority="730" type="cellIs">
      <formula>0</formula>
    </cfRule>
  </conditionalFormatting>
  <conditionalFormatting sqref="H134">
    <cfRule dxfId="1" operator="lessThan" priority="725" type="cellIs">
      <formula>0</formula>
    </cfRule>
    <cfRule dxfId="0" operator="greaterThanOrEqual" priority="726" type="cellIs">
      <formula>0</formula>
    </cfRule>
  </conditionalFormatting>
  <conditionalFormatting sqref="G134">
    <cfRule dxfId="1" operator="lessThan" priority="727" type="cellIs">
      <formula>0</formula>
    </cfRule>
    <cfRule dxfId="0" operator="greaterThanOrEqual" priority="728" type="cellIs">
      <formula>0</formula>
    </cfRule>
  </conditionalFormatting>
  <conditionalFormatting sqref="S138 W138">
    <cfRule dxfId="1" operator="lessThan" priority="719" type="cellIs">
      <formula>0</formula>
    </cfRule>
    <cfRule dxfId="0" operator="greaterThanOrEqual" priority="720" type="cellIs">
      <formula>0</formula>
    </cfRule>
  </conditionalFormatting>
  <conditionalFormatting sqref="K138">
    <cfRule dxfId="0" operator="lessThanOrEqual" priority="721" type="cellIs">
      <formula>0</formula>
    </cfRule>
    <cfRule dxfId="1" operator="greaterThan" priority="722" type="cellIs">
      <formula>0</formula>
    </cfRule>
  </conditionalFormatting>
  <conditionalFormatting sqref="O138">
    <cfRule dxfId="1" operator="lessThan" priority="723" type="cellIs">
      <formula>0</formula>
    </cfRule>
    <cfRule dxfId="0" operator="greaterThanOrEqual" priority="724" type="cellIs">
      <formula>0</formula>
    </cfRule>
  </conditionalFormatting>
  <conditionalFormatting sqref="AQ138">
    <cfRule dxfId="1" operator="lessThan" priority="717" type="cellIs">
      <formula>0</formula>
    </cfRule>
    <cfRule dxfId="0" operator="greaterThanOrEqual" priority="718" type="cellIs">
      <formula>0</formula>
    </cfRule>
  </conditionalFormatting>
  <conditionalFormatting sqref="L138">
    <cfRule dxfId="0" operator="lessThanOrEqual" priority="715" type="cellIs">
      <formula>0</formula>
    </cfRule>
    <cfRule dxfId="1" operator="greaterThan" priority="716" type="cellIs">
      <formula>0</formula>
    </cfRule>
  </conditionalFormatting>
  <conditionalFormatting sqref="T138">
    <cfRule dxfId="1" operator="lessThan" priority="713" type="cellIs">
      <formula>0</formula>
    </cfRule>
    <cfRule dxfId="0" operator="greaterThanOrEqual" priority="714" type="cellIs">
      <formula>0</formula>
    </cfRule>
  </conditionalFormatting>
  <conditionalFormatting sqref="X138">
    <cfRule dxfId="1" operator="lessThan" priority="711" type="cellIs">
      <formula>0</formula>
    </cfRule>
    <cfRule dxfId="0" operator="greaterThanOrEqual" priority="712" type="cellIs">
      <formula>0</formula>
    </cfRule>
  </conditionalFormatting>
  <conditionalFormatting sqref="AB138">
    <cfRule dxfId="1" operator="lessThan" priority="709" type="cellIs">
      <formula>0</formula>
    </cfRule>
    <cfRule dxfId="0" operator="greaterThanOrEqual" priority="710" type="cellIs">
      <formula>0</formula>
    </cfRule>
  </conditionalFormatting>
  <conditionalFormatting sqref="AF138">
    <cfRule dxfId="1" operator="lessThan" priority="707" type="cellIs">
      <formula>0</formula>
    </cfRule>
    <cfRule dxfId="0" operator="greaterThanOrEqual" priority="708" type="cellIs">
      <formula>0</formula>
    </cfRule>
  </conditionalFormatting>
  <conditionalFormatting sqref="P138">
    <cfRule dxfId="1" operator="lessThan" priority="705" type="cellIs">
      <formula>0</formula>
    </cfRule>
    <cfRule dxfId="0" operator="greaterThanOrEqual" priority="706" type="cellIs">
      <formula>0</formula>
    </cfRule>
  </conditionalFormatting>
  <conditionalFormatting sqref="AJ138">
    <cfRule dxfId="1" operator="lessThan" priority="703" type="cellIs">
      <formula>0</formula>
    </cfRule>
    <cfRule dxfId="0" operator="greaterThanOrEqual" priority="704" type="cellIs">
      <formula>0</formula>
    </cfRule>
  </conditionalFormatting>
  <conditionalFormatting sqref="AR138">
    <cfRule dxfId="1" operator="lessThan" priority="701" type="cellIs">
      <formula>0</formula>
    </cfRule>
    <cfRule dxfId="0" operator="greaterThanOrEqual" priority="702" type="cellIs">
      <formula>0</formula>
    </cfRule>
  </conditionalFormatting>
  <conditionalFormatting sqref="AA138">
    <cfRule dxfId="1" operator="lessThan" priority="699" type="cellIs">
      <formula>0</formula>
    </cfRule>
    <cfRule dxfId="0" operator="greaterThanOrEqual" priority="700" type="cellIs">
      <formula>0</formula>
    </cfRule>
  </conditionalFormatting>
  <conditionalFormatting sqref="AE138">
    <cfRule dxfId="1" operator="lessThan" priority="697" type="cellIs">
      <formula>0</formula>
    </cfRule>
    <cfRule dxfId="0" operator="greaterThanOrEqual" priority="698" type="cellIs">
      <formula>0</formula>
    </cfRule>
  </conditionalFormatting>
  <conditionalFormatting sqref="AI138">
    <cfRule dxfId="1" operator="lessThan" priority="695" type="cellIs">
      <formula>0</formula>
    </cfRule>
    <cfRule dxfId="0" operator="greaterThanOrEqual" priority="696" type="cellIs">
      <formula>0</formula>
    </cfRule>
  </conditionalFormatting>
  <conditionalFormatting sqref="AN138">
    <cfRule dxfId="1" operator="lessThan" priority="691" type="cellIs">
      <formula>0</formula>
    </cfRule>
    <cfRule dxfId="0" operator="greaterThanOrEqual" priority="692" type="cellIs">
      <formula>0</formula>
    </cfRule>
  </conditionalFormatting>
  <conditionalFormatting sqref="H138">
    <cfRule dxfId="1" operator="lessThan" priority="687" type="cellIs">
      <formula>0</formula>
    </cfRule>
    <cfRule dxfId="0" operator="greaterThanOrEqual" priority="688" type="cellIs">
      <formula>0</formula>
    </cfRule>
  </conditionalFormatting>
  <conditionalFormatting sqref="G138">
    <cfRule dxfId="1" operator="lessThan" priority="689" type="cellIs">
      <formula>0</formula>
    </cfRule>
    <cfRule dxfId="0" operator="greaterThanOrEqual" priority="690" type="cellIs">
      <formula>0</formula>
    </cfRule>
  </conditionalFormatting>
  <conditionalFormatting sqref="S142 W142">
    <cfRule dxfId="1" operator="lessThan" priority="681" type="cellIs">
      <formula>0</formula>
    </cfRule>
    <cfRule dxfId="0" operator="greaterThanOrEqual" priority="682" type="cellIs">
      <formula>0</formula>
    </cfRule>
  </conditionalFormatting>
  <conditionalFormatting sqref="K142">
    <cfRule dxfId="0" operator="lessThanOrEqual" priority="683" type="cellIs">
      <formula>0</formula>
    </cfRule>
    <cfRule dxfId="1" operator="greaterThan" priority="684" type="cellIs">
      <formula>0</formula>
    </cfRule>
  </conditionalFormatting>
  <conditionalFormatting sqref="O142">
    <cfRule dxfId="1" operator="lessThan" priority="685" type="cellIs">
      <formula>0</formula>
    </cfRule>
    <cfRule dxfId="0" operator="greaterThanOrEqual" priority="686" type="cellIs">
      <formula>0</formula>
    </cfRule>
  </conditionalFormatting>
  <conditionalFormatting sqref="AQ142">
    <cfRule dxfId="1" operator="lessThan" priority="679" type="cellIs">
      <formula>0</formula>
    </cfRule>
    <cfRule dxfId="0" operator="greaterThanOrEqual" priority="680" type="cellIs">
      <formula>0</formula>
    </cfRule>
  </conditionalFormatting>
  <conditionalFormatting sqref="L142">
    <cfRule dxfId="0" operator="lessThanOrEqual" priority="677" type="cellIs">
      <formula>0</formula>
    </cfRule>
    <cfRule dxfId="1" operator="greaterThan" priority="678" type="cellIs">
      <formula>0</formula>
    </cfRule>
  </conditionalFormatting>
  <conditionalFormatting sqref="T142">
    <cfRule dxfId="1" operator="lessThan" priority="675" type="cellIs">
      <formula>0</formula>
    </cfRule>
    <cfRule dxfId="0" operator="greaterThanOrEqual" priority="676" type="cellIs">
      <formula>0</formula>
    </cfRule>
  </conditionalFormatting>
  <conditionalFormatting sqref="X142">
    <cfRule dxfId="1" operator="lessThan" priority="673" type="cellIs">
      <formula>0</formula>
    </cfRule>
    <cfRule dxfId="0" operator="greaterThanOrEqual" priority="674" type="cellIs">
      <formula>0</formula>
    </cfRule>
  </conditionalFormatting>
  <conditionalFormatting sqref="AB142">
    <cfRule dxfId="1" operator="lessThan" priority="671" type="cellIs">
      <formula>0</formula>
    </cfRule>
    <cfRule dxfId="0" operator="greaterThanOrEqual" priority="672" type="cellIs">
      <formula>0</formula>
    </cfRule>
  </conditionalFormatting>
  <conditionalFormatting sqref="AF142">
    <cfRule dxfId="1" operator="lessThan" priority="669" type="cellIs">
      <formula>0</formula>
    </cfRule>
    <cfRule dxfId="0" operator="greaterThanOrEqual" priority="670" type="cellIs">
      <formula>0</formula>
    </cfRule>
  </conditionalFormatting>
  <conditionalFormatting sqref="P142">
    <cfRule dxfId="1" operator="lessThan" priority="667" type="cellIs">
      <formula>0</formula>
    </cfRule>
    <cfRule dxfId="0" operator="greaterThanOrEqual" priority="668" type="cellIs">
      <formula>0</formula>
    </cfRule>
  </conditionalFormatting>
  <conditionalFormatting sqref="AJ142">
    <cfRule dxfId="1" operator="lessThan" priority="665" type="cellIs">
      <formula>0</formula>
    </cfRule>
    <cfRule dxfId="0" operator="greaterThanOrEqual" priority="666" type="cellIs">
      <formula>0</formula>
    </cfRule>
  </conditionalFormatting>
  <conditionalFormatting sqref="AR142">
    <cfRule dxfId="1" operator="lessThan" priority="663" type="cellIs">
      <formula>0</formula>
    </cfRule>
    <cfRule dxfId="0" operator="greaterThanOrEqual" priority="664" type="cellIs">
      <formula>0</formula>
    </cfRule>
  </conditionalFormatting>
  <conditionalFormatting sqref="AA142">
    <cfRule dxfId="1" operator="lessThan" priority="661" type="cellIs">
      <formula>0</formula>
    </cfRule>
    <cfRule dxfId="0" operator="greaterThanOrEqual" priority="662" type="cellIs">
      <formula>0</formula>
    </cfRule>
  </conditionalFormatting>
  <conditionalFormatting sqref="AE142">
    <cfRule dxfId="1" operator="lessThan" priority="659" type="cellIs">
      <formula>0</formula>
    </cfRule>
    <cfRule dxfId="0" operator="greaterThanOrEqual" priority="660" type="cellIs">
      <formula>0</formula>
    </cfRule>
  </conditionalFormatting>
  <conditionalFormatting sqref="AI142">
    <cfRule dxfId="1" operator="lessThan" priority="657" type="cellIs">
      <formula>0</formula>
    </cfRule>
    <cfRule dxfId="0" operator="greaterThanOrEqual" priority="658" type="cellIs">
      <formula>0</formula>
    </cfRule>
  </conditionalFormatting>
  <conditionalFormatting sqref="AN142">
    <cfRule dxfId="1" operator="lessThan" priority="653" type="cellIs">
      <formula>0</formula>
    </cfRule>
    <cfRule dxfId="0" operator="greaterThanOrEqual" priority="654" type="cellIs">
      <formula>0</formula>
    </cfRule>
  </conditionalFormatting>
  <conditionalFormatting sqref="H142">
    <cfRule dxfId="1" operator="lessThan" priority="649" type="cellIs">
      <formula>0</formula>
    </cfRule>
    <cfRule dxfId="0" operator="greaterThanOrEqual" priority="650" type="cellIs">
      <formula>0</formula>
    </cfRule>
  </conditionalFormatting>
  <conditionalFormatting sqref="G142">
    <cfRule dxfId="1" operator="lessThan" priority="651" type="cellIs">
      <formula>0</formula>
    </cfRule>
    <cfRule dxfId="0" operator="greaterThanOrEqual" priority="652" type="cellIs">
      <formula>0</formula>
    </cfRule>
  </conditionalFormatting>
  <conditionalFormatting sqref="S146 W146">
    <cfRule dxfId="1" operator="lessThan" priority="643" type="cellIs">
      <formula>0</formula>
    </cfRule>
    <cfRule dxfId="0" operator="greaterThanOrEqual" priority="644" type="cellIs">
      <formula>0</formula>
    </cfRule>
  </conditionalFormatting>
  <conditionalFormatting sqref="K146">
    <cfRule dxfId="0" operator="lessThanOrEqual" priority="645" type="cellIs">
      <formula>0</formula>
    </cfRule>
    <cfRule dxfId="1" operator="greaterThan" priority="646" type="cellIs">
      <formula>0</formula>
    </cfRule>
  </conditionalFormatting>
  <conditionalFormatting sqref="O146">
    <cfRule dxfId="1" operator="lessThan" priority="647" type="cellIs">
      <formula>0</formula>
    </cfRule>
    <cfRule dxfId="0" operator="greaterThanOrEqual" priority="648" type="cellIs">
      <formula>0</formula>
    </cfRule>
  </conditionalFormatting>
  <conditionalFormatting sqref="AQ146">
    <cfRule dxfId="1" operator="lessThan" priority="641" type="cellIs">
      <formula>0</formula>
    </cfRule>
    <cfRule dxfId="0" operator="greaterThanOrEqual" priority="642" type="cellIs">
      <formula>0</formula>
    </cfRule>
  </conditionalFormatting>
  <conditionalFormatting sqref="L146">
    <cfRule dxfId="0" operator="lessThanOrEqual" priority="639" type="cellIs">
      <formula>0</formula>
    </cfRule>
    <cfRule dxfId="1" operator="greaterThan" priority="640" type="cellIs">
      <formula>0</formula>
    </cfRule>
  </conditionalFormatting>
  <conditionalFormatting sqref="T146">
    <cfRule dxfId="1" operator="lessThan" priority="637" type="cellIs">
      <formula>0</formula>
    </cfRule>
    <cfRule dxfId="0" operator="greaterThanOrEqual" priority="638" type="cellIs">
      <formula>0</formula>
    </cfRule>
  </conditionalFormatting>
  <conditionalFormatting sqref="X146">
    <cfRule dxfId="1" operator="lessThan" priority="635" type="cellIs">
      <formula>0</formula>
    </cfRule>
    <cfRule dxfId="0" operator="greaterThanOrEqual" priority="636" type="cellIs">
      <formula>0</formula>
    </cfRule>
  </conditionalFormatting>
  <conditionalFormatting sqref="AB146">
    <cfRule dxfId="1" operator="lessThan" priority="633" type="cellIs">
      <formula>0</formula>
    </cfRule>
    <cfRule dxfId="0" operator="greaterThanOrEqual" priority="634" type="cellIs">
      <formula>0</formula>
    </cfRule>
  </conditionalFormatting>
  <conditionalFormatting sqref="AF146">
    <cfRule dxfId="1" operator="lessThan" priority="631" type="cellIs">
      <formula>0</formula>
    </cfRule>
    <cfRule dxfId="0" operator="greaterThanOrEqual" priority="632" type="cellIs">
      <formula>0</formula>
    </cfRule>
  </conditionalFormatting>
  <conditionalFormatting sqref="P146">
    <cfRule dxfId="1" operator="lessThan" priority="629" type="cellIs">
      <formula>0</formula>
    </cfRule>
    <cfRule dxfId="0" operator="greaterThanOrEqual" priority="630" type="cellIs">
      <formula>0</formula>
    </cfRule>
  </conditionalFormatting>
  <conditionalFormatting sqref="AJ146">
    <cfRule dxfId="1" operator="lessThan" priority="627" type="cellIs">
      <formula>0</formula>
    </cfRule>
    <cfRule dxfId="0" operator="greaterThanOrEqual" priority="628" type="cellIs">
      <formula>0</formula>
    </cfRule>
  </conditionalFormatting>
  <conditionalFormatting sqref="AR146">
    <cfRule dxfId="1" operator="lessThan" priority="625" type="cellIs">
      <formula>0</formula>
    </cfRule>
    <cfRule dxfId="0" operator="greaterThanOrEqual" priority="626" type="cellIs">
      <formula>0</formula>
    </cfRule>
  </conditionalFormatting>
  <conditionalFormatting sqref="AA146">
    <cfRule dxfId="1" operator="lessThan" priority="623" type="cellIs">
      <formula>0</formula>
    </cfRule>
    <cfRule dxfId="0" operator="greaterThanOrEqual" priority="624" type="cellIs">
      <formula>0</formula>
    </cfRule>
  </conditionalFormatting>
  <conditionalFormatting sqref="AE146">
    <cfRule dxfId="1" operator="lessThan" priority="621" type="cellIs">
      <formula>0</formula>
    </cfRule>
    <cfRule dxfId="0" operator="greaterThanOrEqual" priority="622" type="cellIs">
      <formula>0</formula>
    </cfRule>
  </conditionalFormatting>
  <conditionalFormatting sqref="AI146">
    <cfRule dxfId="1" operator="lessThan" priority="619" type="cellIs">
      <formula>0</formula>
    </cfRule>
    <cfRule dxfId="0" operator="greaterThanOrEqual" priority="620" type="cellIs">
      <formula>0</formula>
    </cfRule>
  </conditionalFormatting>
  <conditionalFormatting sqref="AN146">
    <cfRule dxfId="1" operator="lessThan" priority="615" type="cellIs">
      <formula>0</formula>
    </cfRule>
    <cfRule dxfId="0" operator="greaterThanOrEqual" priority="616" type="cellIs">
      <formula>0</formula>
    </cfRule>
  </conditionalFormatting>
  <conditionalFormatting sqref="H146">
    <cfRule dxfId="1" operator="lessThan" priority="611" type="cellIs">
      <formula>0</formula>
    </cfRule>
    <cfRule dxfId="0" operator="greaterThanOrEqual" priority="612" type="cellIs">
      <formula>0</formula>
    </cfRule>
  </conditionalFormatting>
  <conditionalFormatting sqref="G146">
    <cfRule dxfId="1" operator="lessThan" priority="613" type="cellIs">
      <formula>0</formula>
    </cfRule>
    <cfRule dxfId="0" operator="greaterThanOrEqual" priority="614" type="cellIs">
      <formula>0</formula>
    </cfRule>
  </conditionalFormatting>
  <conditionalFormatting sqref="S150 W150">
    <cfRule dxfId="1" operator="lessThan" priority="605" type="cellIs">
      <formula>0</formula>
    </cfRule>
    <cfRule dxfId="0" operator="greaterThanOrEqual" priority="606" type="cellIs">
      <formula>0</formula>
    </cfRule>
  </conditionalFormatting>
  <conditionalFormatting sqref="K150">
    <cfRule dxfId="0" operator="lessThanOrEqual" priority="607" type="cellIs">
      <formula>0</formula>
    </cfRule>
    <cfRule dxfId="1" operator="greaterThan" priority="608" type="cellIs">
      <formula>0</formula>
    </cfRule>
  </conditionalFormatting>
  <conditionalFormatting sqref="O150">
    <cfRule dxfId="1" operator="lessThan" priority="609" type="cellIs">
      <formula>0</formula>
    </cfRule>
    <cfRule dxfId="0" operator="greaterThanOrEqual" priority="610" type="cellIs">
      <formula>0</formula>
    </cfRule>
  </conditionalFormatting>
  <conditionalFormatting sqref="AQ150">
    <cfRule dxfId="1" operator="lessThan" priority="603" type="cellIs">
      <formula>0</formula>
    </cfRule>
    <cfRule dxfId="0" operator="greaterThanOrEqual" priority="604" type="cellIs">
      <formula>0</formula>
    </cfRule>
  </conditionalFormatting>
  <conditionalFormatting sqref="L150">
    <cfRule dxfId="0" operator="lessThanOrEqual" priority="601" type="cellIs">
      <formula>0</formula>
    </cfRule>
    <cfRule dxfId="1" operator="greaterThan" priority="602" type="cellIs">
      <formula>0</formula>
    </cfRule>
  </conditionalFormatting>
  <conditionalFormatting sqref="T150">
    <cfRule dxfId="1" operator="lessThan" priority="599" type="cellIs">
      <formula>0</formula>
    </cfRule>
    <cfRule dxfId="0" operator="greaterThanOrEqual" priority="600" type="cellIs">
      <formula>0</formula>
    </cfRule>
  </conditionalFormatting>
  <conditionalFormatting sqref="X150">
    <cfRule dxfId="1" operator="lessThan" priority="597" type="cellIs">
      <formula>0</formula>
    </cfRule>
    <cfRule dxfId="0" operator="greaterThanOrEqual" priority="598" type="cellIs">
      <formula>0</formula>
    </cfRule>
  </conditionalFormatting>
  <conditionalFormatting sqref="AB150">
    <cfRule dxfId="1" operator="lessThan" priority="595" type="cellIs">
      <formula>0</formula>
    </cfRule>
    <cfRule dxfId="0" operator="greaterThanOrEqual" priority="596" type="cellIs">
      <formula>0</formula>
    </cfRule>
  </conditionalFormatting>
  <conditionalFormatting sqref="AF150">
    <cfRule dxfId="1" operator="lessThan" priority="593" type="cellIs">
      <formula>0</formula>
    </cfRule>
    <cfRule dxfId="0" operator="greaterThanOrEqual" priority="594" type="cellIs">
      <formula>0</formula>
    </cfRule>
  </conditionalFormatting>
  <conditionalFormatting sqref="P150">
    <cfRule dxfId="1" operator="lessThan" priority="591" type="cellIs">
      <formula>0</formula>
    </cfRule>
    <cfRule dxfId="0" operator="greaterThanOrEqual" priority="592" type="cellIs">
      <formula>0</formula>
    </cfRule>
  </conditionalFormatting>
  <conditionalFormatting sqref="AJ150">
    <cfRule dxfId="1" operator="lessThan" priority="589" type="cellIs">
      <formula>0</formula>
    </cfRule>
    <cfRule dxfId="0" operator="greaterThanOrEqual" priority="590" type="cellIs">
      <formula>0</formula>
    </cfRule>
  </conditionalFormatting>
  <conditionalFormatting sqref="AR150">
    <cfRule dxfId="1" operator="lessThan" priority="587" type="cellIs">
      <formula>0</formula>
    </cfRule>
    <cfRule dxfId="0" operator="greaterThanOrEqual" priority="588" type="cellIs">
      <formula>0</formula>
    </cfRule>
  </conditionalFormatting>
  <conditionalFormatting sqref="AA150">
    <cfRule dxfId="1" operator="lessThan" priority="585" type="cellIs">
      <formula>0</formula>
    </cfRule>
    <cfRule dxfId="0" operator="greaterThanOrEqual" priority="586" type="cellIs">
      <formula>0</formula>
    </cfRule>
  </conditionalFormatting>
  <conditionalFormatting sqref="AE150">
    <cfRule dxfId="1" operator="lessThan" priority="583" type="cellIs">
      <formula>0</formula>
    </cfRule>
    <cfRule dxfId="0" operator="greaterThanOrEqual" priority="584" type="cellIs">
      <formula>0</formula>
    </cfRule>
  </conditionalFormatting>
  <conditionalFormatting sqref="AI150">
    <cfRule dxfId="1" operator="lessThan" priority="581" type="cellIs">
      <formula>0</formula>
    </cfRule>
    <cfRule dxfId="0" operator="greaterThanOrEqual" priority="582" type="cellIs">
      <formula>0</formula>
    </cfRule>
  </conditionalFormatting>
  <conditionalFormatting sqref="AN150">
    <cfRule dxfId="1" operator="lessThan" priority="577" type="cellIs">
      <formula>0</formula>
    </cfRule>
    <cfRule dxfId="0" operator="greaterThanOrEqual" priority="578" type="cellIs">
      <formula>0</formula>
    </cfRule>
  </conditionalFormatting>
  <conditionalFormatting sqref="H150">
    <cfRule dxfId="1" operator="lessThan" priority="573" type="cellIs">
      <formula>0</formula>
    </cfRule>
    <cfRule dxfId="0" operator="greaterThanOrEqual" priority="574" type="cellIs">
      <formula>0</formula>
    </cfRule>
  </conditionalFormatting>
  <conditionalFormatting sqref="G150">
    <cfRule dxfId="1" operator="lessThan" priority="575" type="cellIs">
      <formula>0</formula>
    </cfRule>
    <cfRule dxfId="0" operator="greaterThanOrEqual" priority="576" type="cellIs">
      <formula>0</formula>
    </cfRule>
  </conditionalFormatting>
  <conditionalFormatting sqref="S154 W154">
    <cfRule dxfId="1" operator="lessThan" priority="567" type="cellIs">
      <formula>0</formula>
    </cfRule>
    <cfRule dxfId="0" operator="greaterThanOrEqual" priority="568" type="cellIs">
      <formula>0</formula>
    </cfRule>
  </conditionalFormatting>
  <conditionalFormatting sqref="K154">
    <cfRule dxfId="0" operator="lessThanOrEqual" priority="569" type="cellIs">
      <formula>0</formula>
    </cfRule>
    <cfRule dxfId="1" operator="greaterThan" priority="570" type="cellIs">
      <formula>0</formula>
    </cfRule>
  </conditionalFormatting>
  <conditionalFormatting sqref="O154">
    <cfRule dxfId="1" operator="lessThan" priority="571" type="cellIs">
      <formula>0</formula>
    </cfRule>
    <cfRule dxfId="0" operator="greaterThanOrEqual" priority="572" type="cellIs">
      <formula>0</formula>
    </cfRule>
  </conditionalFormatting>
  <conditionalFormatting sqref="AQ154">
    <cfRule dxfId="1" operator="lessThan" priority="565" type="cellIs">
      <formula>0</formula>
    </cfRule>
    <cfRule dxfId="0" operator="greaterThanOrEqual" priority="566" type="cellIs">
      <formula>0</formula>
    </cfRule>
  </conditionalFormatting>
  <conditionalFormatting sqref="L154">
    <cfRule dxfId="0" operator="lessThanOrEqual" priority="563" type="cellIs">
      <formula>0</formula>
    </cfRule>
    <cfRule dxfId="1" operator="greaterThan" priority="564" type="cellIs">
      <formula>0</formula>
    </cfRule>
  </conditionalFormatting>
  <conditionalFormatting sqref="T154">
    <cfRule dxfId="1" operator="lessThan" priority="561" type="cellIs">
      <formula>0</formula>
    </cfRule>
    <cfRule dxfId="0" operator="greaterThanOrEqual" priority="562" type="cellIs">
      <formula>0</formula>
    </cfRule>
  </conditionalFormatting>
  <conditionalFormatting sqref="X154">
    <cfRule dxfId="1" operator="lessThan" priority="559" type="cellIs">
      <formula>0</formula>
    </cfRule>
    <cfRule dxfId="0" operator="greaterThanOrEqual" priority="560" type="cellIs">
      <formula>0</formula>
    </cfRule>
  </conditionalFormatting>
  <conditionalFormatting sqref="AB154">
    <cfRule dxfId="1" operator="lessThan" priority="557" type="cellIs">
      <formula>0</formula>
    </cfRule>
    <cfRule dxfId="0" operator="greaterThanOrEqual" priority="558" type="cellIs">
      <formula>0</formula>
    </cfRule>
  </conditionalFormatting>
  <conditionalFormatting sqref="AF154">
    <cfRule dxfId="1" operator="lessThan" priority="555" type="cellIs">
      <formula>0</formula>
    </cfRule>
    <cfRule dxfId="0" operator="greaterThanOrEqual" priority="556" type="cellIs">
      <formula>0</formula>
    </cfRule>
  </conditionalFormatting>
  <conditionalFormatting sqref="P154">
    <cfRule dxfId="1" operator="lessThan" priority="553" type="cellIs">
      <formula>0</formula>
    </cfRule>
    <cfRule dxfId="0" operator="greaterThanOrEqual" priority="554" type="cellIs">
      <formula>0</formula>
    </cfRule>
  </conditionalFormatting>
  <conditionalFormatting sqref="AJ154">
    <cfRule dxfId="1" operator="lessThan" priority="551" type="cellIs">
      <formula>0</formula>
    </cfRule>
    <cfRule dxfId="0" operator="greaterThanOrEqual" priority="552" type="cellIs">
      <formula>0</formula>
    </cfRule>
  </conditionalFormatting>
  <conditionalFormatting sqref="AR154">
    <cfRule dxfId="1" operator="lessThan" priority="549" type="cellIs">
      <formula>0</formula>
    </cfRule>
    <cfRule dxfId="0" operator="greaterThanOrEqual" priority="550" type="cellIs">
      <formula>0</formula>
    </cfRule>
  </conditionalFormatting>
  <conditionalFormatting sqref="AA154">
    <cfRule dxfId="1" operator="lessThan" priority="547" type="cellIs">
      <formula>0</formula>
    </cfRule>
    <cfRule dxfId="0" operator="greaterThanOrEqual" priority="548" type="cellIs">
      <formula>0</formula>
    </cfRule>
  </conditionalFormatting>
  <conditionalFormatting sqref="AE154">
    <cfRule dxfId="1" operator="lessThan" priority="545" type="cellIs">
      <formula>0</formula>
    </cfRule>
    <cfRule dxfId="0" operator="greaterThanOrEqual" priority="546" type="cellIs">
      <formula>0</formula>
    </cfRule>
  </conditionalFormatting>
  <conditionalFormatting sqref="AI154">
    <cfRule dxfId="1" operator="lessThan" priority="543" type="cellIs">
      <formula>0</formula>
    </cfRule>
    <cfRule dxfId="0" operator="greaterThanOrEqual" priority="544" type="cellIs">
      <formula>0</formula>
    </cfRule>
  </conditionalFormatting>
  <conditionalFormatting sqref="AN154">
    <cfRule dxfId="1" operator="lessThan" priority="539" type="cellIs">
      <formula>0</formula>
    </cfRule>
    <cfRule dxfId="0" operator="greaterThanOrEqual" priority="540" type="cellIs">
      <formula>0</formula>
    </cfRule>
  </conditionalFormatting>
  <conditionalFormatting sqref="H154">
    <cfRule dxfId="1" operator="lessThan" priority="535" type="cellIs">
      <formula>0</formula>
    </cfRule>
    <cfRule dxfId="0" operator="greaterThanOrEqual" priority="536" type="cellIs">
      <formula>0</formula>
    </cfRule>
  </conditionalFormatting>
  <conditionalFormatting sqref="G154">
    <cfRule dxfId="1" operator="lessThan" priority="537" type="cellIs">
      <formula>0</formula>
    </cfRule>
    <cfRule dxfId="0" operator="greaterThanOrEqual" priority="538" type="cellIs">
      <formula>0</formula>
    </cfRule>
  </conditionalFormatting>
  <conditionalFormatting sqref="S158 W158">
    <cfRule dxfId="1" operator="lessThan" priority="529" type="cellIs">
      <formula>0</formula>
    </cfRule>
    <cfRule dxfId="0" operator="greaterThanOrEqual" priority="530" type="cellIs">
      <formula>0</formula>
    </cfRule>
  </conditionalFormatting>
  <conditionalFormatting sqref="K158">
    <cfRule dxfId="0" operator="lessThanOrEqual" priority="531" type="cellIs">
      <formula>0</formula>
    </cfRule>
    <cfRule dxfId="1" operator="greaterThan" priority="532" type="cellIs">
      <formula>0</formula>
    </cfRule>
  </conditionalFormatting>
  <conditionalFormatting sqref="O158">
    <cfRule dxfId="1" operator="lessThan" priority="533" type="cellIs">
      <formula>0</formula>
    </cfRule>
    <cfRule dxfId="0" operator="greaterThanOrEqual" priority="534" type="cellIs">
      <formula>0</formula>
    </cfRule>
  </conditionalFormatting>
  <conditionalFormatting sqref="AQ158">
    <cfRule dxfId="1" operator="lessThan" priority="527" type="cellIs">
      <formula>0</formula>
    </cfRule>
    <cfRule dxfId="0" operator="greaterThanOrEqual" priority="528" type="cellIs">
      <formula>0</formula>
    </cfRule>
  </conditionalFormatting>
  <conditionalFormatting sqref="L158">
    <cfRule dxfId="0" operator="lessThanOrEqual" priority="525" type="cellIs">
      <formula>0</formula>
    </cfRule>
    <cfRule dxfId="1" operator="greaterThan" priority="526" type="cellIs">
      <formula>0</formula>
    </cfRule>
  </conditionalFormatting>
  <conditionalFormatting sqref="T158">
    <cfRule dxfId="1" operator="lessThan" priority="523" type="cellIs">
      <formula>0</formula>
    </cfRule>
    <cfRule dxfId="0" operator="greaterThanOrEqual" priority="524" type="cellIs">
      <formula>0</formula>
    </cfRule>
  </conditionalFormatting>
  <conditionalFormatting sqref="X158">
    <cfRule dxfId="1" operator="lessThan" priority="521" type="cellIs">
      <formula>0</formula>
    </cfRule>
    <cfRule dxfId="0" operator="greaterThanOrEqual" priority="522" type="cellIs">
      <formula>0</formula>
    </cfRule>
  </conditionalFormatting>
  <conditionalFormatting sqref="AB158">
    <cfRule dxfId="1" operator="lessThan" priority="519" type="cellIs">
      <formula>0</formula>
    </cfRule>
    <cfRule dxfId="0" operator="greaterThanOrEqual" priority="520" type="cellIs">
      <formula>0</formula>
    </cfRule>
  </conditionalFormatting>
  <conditionalFormatting sqref="AF158">
    <cfRule dxfId="1" operator="lessThan" priority="517" type="cellIs">
      <formula>0</formula>
    </cfRule>
    <cfRule dxfId="0" operator="greaterThanOrEqual" priority="518" type="cellIs">
      <formula>0</formula>
    </cfRule>
  </conditionalFormatting>
  <conditionalFormatting sqref="P158">
    <cfRule dxfId="1" operator="lessThan" priority="515" type="cellIs">
      <formula>0</formula>
    </cfRule>
    <cfRule dxfId="0" operator="greaterThanOrEqual" priority="516" type="cellIs">
      <formula>0</formula>
    </cfRule>
  </conditionalFormatting>
  <conditionalFormatting sqref="AJ158">
    <cfRule dxfId="1" operator="lessThan" priority="513" type="cellIs">
      <formula>0</formula>
    </cfRule>
    <cfRule dxfId="0" operator="greaterThanOrEqual" priority="514" type="cellIs">
      <formula>0</formula>
    </cfRule>
  </conditionalFormatting>
  <conditionalFormatting sqref="AR158">
    <cfRule dxfId="1" operator="lessThan" priority="511" type="cellIs">
      <formula>0</formula>
    </cfRule>
    <cfRule dxfId="0" operator="greaterThanOrEqual" priority="512" type="cellIs">
      <formula>0</formula>
    </cfRule>
  </conditionalFormatting>
  <conditionalFormatting sqref="AA158">
    <cfRule dxfId="1" operator="lessThan" priority="509" type="cellIs">
      <formula>0</formula>
    </cfRule>
    <cfRule dxfId="0" operator="greaterThanOrEqual" priority="510" type="cellIs">
      <formula>0</formula>
    </cfRule>
  </conditionalFormatting>
  <conditionalFormatting sqref="AE158">
    <cfRule dxfId="1" operator="lessThan" priority="507" type="cellIs">
      <formula>0</formula>
    </cfRule>
    <cfRule dxfId="0" operator="greaterThanOrEqual" priority="508" type="cellIs">
      <formula>0</formula>
    </cfRule>
  </conditionalFormatting>
  <conditionalFormatting sqref="AI158">
    <cfRule dxfId="1" operator="lessThan" priority="505" type="cellIs">
      <formula>0</formula>
    </cfRule>
    <cfRule dxfId="0" operator="greaterThanOrEqual" priority="506" type="cellIs">
      <formula>0</formula>
    </cfRule>
  </conditionalFormatting>
  <conditionalFormatting sqref="AN158">
    <cfRule dxfId="1" operator="lessThan" priority="501" type="cellIs">
      <formula>0</formula>
    </cfRule>
    <cfRule dxfId="0" operator="greaterThanOrEqual" priority="502" type="cellIs">
      <formula>0</formula>
    </cfRule>
  </conditionalFormatting>
  <conditionalFormatting sqref="H158">
    <cfRule dxfId="1" operator="lessThan" priority="497" type="cellIs">
      <formula>0</formula>
    </cfRule>
    <cfRule dxfId="0" operator="greaterThanOrEqual" priority="498" type="cellIs">
      <formula>0</formula>
    </cfRule>
  </conditionalFormatting>
  <conditionalFormatting sqref="G158">
    <cfRule dxfId="1" operator="lessThan" priority="499" type="cellIs">
      <formula>0</formula>
    </cfRule>
    <cfRule dxfId="0" operator="greaterThanOrEqual" priority="500" type="cellIs">
      <formula>0</formula>
    </cfRule>
  </conditionalFormatting>
  <conditionalFormatting sqref="S162 W162">
    <cfRule dxfId="1" operator="lessThan" priority="491" type="cellIs">
      <formula>0</formula>
    </cfRule>
    <cfRule dxfId="0" operator="greaterThanOrEqual" priority="492" type="cellIs">
      <formula>0</formula>
    </cfRule>
  </conditionalFormatting>
  <conditionalFormatting sqref="K162">
    <cfRule dxfId="0" operator="lessThanOrEqual" priority="493" type="cellIs">
      <formula>0</formula>
    </cfRule>
    <cfRule dxfId="1" operator="greaterThan" priority="494" type="cellIs">
      <formula>0</formula>
    </cfRule>
  </conditionalFormatting>
  <conditionalFormatting sqref="O162">
    <cfRule dxfId="1" operator="lessThan" priority="495" type="cellIs">
      <formula>0</formula>
    </cfRule>
    <cfRule dxfId="0" operator="greaterThanOrEqual" priority="496" type="cellIs">
      <formula>0</formula>
    </cfRule>
  </conditionalFormatting>
  <conditionalFormatting sqref="AQ162">
    <cfRule dxfId="1" operator="lessThan" priority="489" type="cellIs">
      <formula>0</formula>
    </cfRule>
    <cfRule dxfId="0" operator="greaterThanOrEqual" priority="490" type="cellIs">
      <formula>0</formula>
    </cfRule>
  </conditionalFormatting>
  <conditionalFormatting sqref="L162">
    <cfRule dxfId="0" operator="lessThanOrEqual" priority="487" type="cellIs">
      <formula>0</formula>
    </cfRule>
    <cfRule dxfId="1" operator="greaterThan" priority="488" type="cellIs">
      <formula>0</formula>
    </cfRule>
  </conditionalFormatting>
  <conditionalFormatting sqref="T162">
    <cfRule dxfId="1" operator="lessThan" priority="485" type="cellIs">
      <formula>0</formula>
    </cfRule>
    <cfRule dxfId="0" operator="greaterThanOrEqual" priority="486" type="cellIs">
      <formula>0</formula>
    </cfRule>
  </conditionalFormatting>
  <conditionalFormatting sqref="X162">
    <cfRule dxfId="1" operator="lessThan" priority="483" type="cellIs">
      <formula>0</formula>
    </cfRule>
    <cfRule dxfId="0" operator="greaterThanOrEqual" priority="484" type="cellIs">
      <formula>0</formula>
    </cfRule>
  </conditionalFormatting>
  <conditionalFormatting sqref="AB162">
    <cfRule dxfId="1" operator="lessThan" priority="481" type="cellIs">
      <formula>0</formula>
    </cfRule>
    <cfRule dxfId="0" operator="greaterThanOrEqual" priority="482" type="cellIs">
      <formula>0</formula>
    </cfRule>
  </conditionalFormatting>
  <conditionalFormatting sqref="AF162">
    <cfRule dxfId="1" operator="lessThan" priority="479" type="cellIs">
      <formula>0</formula>
    </cfRule>
    <cfRule dxfId="0" operator="greaterThanOrEqual" priority="480" type="cellIs">
      <formula>0</formula>
    </cfRule>
  </conditionalFormatting>
  <conditionalFormatting sqref="P162">
    <cfRule dxfId="1" operator="lessThan" priority="477" type="cellIs">
      <formula>0</formula>
    </cfRule>
    <cfRule dxfId="0" operator="greaterThanOrEqual" priority="478" type="cellIs">
      <formula>0</formula>
    </cfRule>
  </conditionalFormatting>
  <conditionalFormatting sqref="AJ162">
    <cfRule dxfId="1" operator="lessThan" priority="475" type="cellIs">
      <formula>0</formula>
    </cfRule>
    <cfRule dxfId="0" operator="greaterThanOrEqual" priority="476" type="cellIs">
      <formula>0</formula>
    </cfRule>
  </conditionalFormatting>
  <conditionalFormatting sqref="AR162">
    <cfRule dxfId="1" operator="lessThan" priority="473" type="cellIs">
      <formula>0</formula>
    </cfRule>
    <cfRule dxfId="0" operator="greaterThanOrEqual" priority="474" type="cellIs">
      <formula>0</formula>
    </cfRule>
  </conditionalFormatting>
  <conditionalFormatting sqref="AA162">
    <cfRule dxfId="1" operator="lessThan" priority="471" type="cellIs">
      <formula>0</formula>
    </cfRule>
    <cfRule dxfId="0" operator="greaterThanOrEqual" priority="472" type="cellIs">
      <formula>0</formula>
    </cfRule>
  </conditionalFormatting>
  <conditionalFormatting sqref="AE162">
    <cfRule dxfId="1" operator="lessThan" priority="469" type="cellIs">
      <formula>0</formula>
    </cfRule>
    <cfRule dxfId="0" operator="greaterThanOrEqual" priority="470" type="cellIs">
      <formula>0</formula>
    </cfRule>
  </conditionalFormatting>
  <conditionalFormatting sqref="AI162">
    <cfRule dxfId="1" operator="lessThan" priority="467" type="cellIs">
      <formula>0</formula>
    </cfRule>
    <cfRule dxfId="0" operator="greaterThanOrEqual" priority="468" type="cellIs">
      <formula>0</formula>
    </cfRule>
  </conditionalFormatting>
  <conditionalFormatting sqref="AN162">
    <cfRule dxfId="1" operator="lessThan" priority="463" type="cellIs">
      <formula>0</formula>
    </cfRule>
    <cfRule dxfId="0" operator="greaterThanOrEqual" priority="464" type="cellIs">
      <formula>0</formula>
    </cfRule>
  </conditionalFormatting>
  <conditionalFormatting sqref="H162">
    <cfRule dxfId="1" operator="lessThan" priority="459" type="cellIs">
      <formula>0</formula>
    </cfRule>
    <cfRule dxfId="0" operator="greaterThanOrEqual" priority="460" type="cellIs">
      <formula>0</formula>
    </cfRule>
  </conditionalFormatting>
  <conditionalFormatting sqref="G162">
    <cfRule dxfId="1" operator="lessThan" priority="461" type="cellIs">
      <formula>0</formula>
    </cfRule>
    <cfRule dxfId="0" operator="greaterThanOrEqual" priority="462" type="cellIs">
      <formula>0</formula>
    </cfRule>
  </conditionalFormatting>
  <conditionalFormatting sqref="S166 W166">
    <cfRule dxfId="1" operator="lessThan" priority="453" type="cellIs">
      <formula>0</formula>
    </cfRule>
    <cfRule dxfId="0" operator="greaterThanOrEqual" priority="454" type="cellIs">
      <formula>0</formula>
    </cfRule>
  </conditionalFormatting>
  <conditionalFormatting sqref="K166">
    <cfRule dxfId="0" operator="lessThanOrEqual" priority="455" type="cellIs">
      <formula>0</formula>
    </cfRule>
    <cfRule dxfId="1" operator="greaterThan" priority="456" type="cellIs">
      <formula>0</formula>
    </cfRule>
  </conditionalFormatting>
  <conditionalFormatting sqref="O166">
    <cfRule dxfId="1" operator="lessThan" priority="457" type="cellIs">
      <formula>0</formula>
    </cfRule>
    <cfRule dxfId="0" operator="greaterThanOrEqual" priority="458" type="cellIs">
      <formula>0</formula>
    </cfRule>
  </conditionalFormatting>
  <conditionalFormatting sqref="AQ166">
    <cfRule dxfId="1" operator="lessThan" priority="451" type="cellIs">
      <formula>0</formula>
    </cfRule>
    <cfRule dxfId="0" operator="greaterThanOrEqual" priority="452" type="cellIs">
      <formula>0</formula>
    </cfRule>
  </conditionalFormatting>
  <conditionalFormatting sqref="L166">
    <cfRule dxfId="0" operator="lessThanOrEqual" priority="449" type="cellIs">
      <formula>0</formula>
    </cfRule>
    <cfRule dxfId="1" operator="greaterThan" priority="450" type="cellIs">
      <formula>0</formula>
    </cfRule>
  </conditionalFormatting>
  <conditionalFormatting sqref="T166">
    <cfRule dxfId="1" operator="lessThan" priority="447" type="cellIs">
      <formula>0</formula>
    </cfRule>
    <cfRule dxfId="0" operator="greaterThanOrEqual" priority="448" type="cellIs">
      <formula>0</formula>
    </cfRule>
  </conditionalFormatting>
  <conditionalFormatting sqref="X166">
    <cfRule dxfId="1" operator="lessThan" priority="445" type="cellIs">
      <formula>0</formula>
    </cfRule>
    <cfRule dxfId="0" operator="greaterThanOrEqual" priority="446" type="cellIs">
      <formula>0</formula>
    </cfRule>
  </conditionalFormatting>
  <conditionalFormatting sqref="AB166">
    <cfRule dxfId="1" operator="lessThan" priority="443" type="cellIs">
      <formula>0</formula>
    </cfRule>
    <cfRule dxfId="0" operator="greaterThanOrEqual" priority="444" type="cellIs">
      <formula>0</formula>
    </cfRule>
  </conditionalFormatting>
  <conditionalFormatting sqref="AF166">
    <cfRule dxfId="1" operator="lessThan" priority="441" type="cellIs">
      <formula>0</formula>
    </cfRule>
    <cfRule dxfId="0" operator="greaterThanOrEqual" priority="442" type="cellIs">
      <formula>0</formula>
    </cfRule>
  </conditionalFormatting>
  <conditionalFormatting sqref="P166">
    <cfRule dxfId="1" operator="lessThan" priority="439" type="cellIs">
      <formula>0</formula>
    </cfRule>
    <cfRule dxfId="0" operator="greaterThanOrEqual" priority="440" type="cellIs">
      <formula>0</formula>
    </cfRule>
  </conditionalFormatting>
  <conditionalFormatting sqref="AJ166">
    <cfRule dxfId="1" operator="lessThan" priority="437" type="cellIs">
      <formula>0</formula>
    </cfRule>
    <cfRule dxfId="0" operator="greaterThanOrEqual" priority="438" type="cellIs">
      <formula>0</formula>
    </cfRule>
  </conditionalFormatting>
  <conditionalFormatting sqref="AR166">
    <cfRule dxfId="1" operator="lessThan" priority="435" type="cellIs">
      <formula>0</formula>
    </cfRule>
    <cfRule dxfId="0" operator="greaterThanOrEqual" priority="436" type="cellIs">
      <formula>0</formula>
    </cfRule>
  </conditionalFormatting>
  <conditionalFormatting sqref="AA166">
    <cfRule dxfId="1" operator="lessThan" priority="433" type="cellIs">
      <formula>0</formula>
    </cfRule>
    <cfRule dxfId="0" operator="greaterThanOrEqual" priority="434" type="cellIs">
      <formula>0</formula>
    </cfRule>
  </conditionalFormatting>
  <conditionalFormatting sqref="AE166">
    <cfRule dxfId="1" operator="lessThan" priority="431" type="cellIs">
      <formula>0</formula>
    </cfRule>
    <cfRule dxfId="0" operator="greaterThanOrEqual" priority="432" type="cellIs">
      <formula>0</formula>
    </cfRule>
  </conditionalFormatting>
  <conditionalFormatting sqref="AI166">
    <cfRule dxfId="1" operator="lessThan" priority="429" type="cellIs">
      <formula>0</formula>
    </cfRule>
    <cfRule dxfId="0" operator="greaterThanOrEqual" priority="430" type="cellIs">
      <formula>0</formula>
    </cfRule>
  </conditionalFormatting>
  <conditionalFormatting sqref="AN166">
    <cfRule dxfId="1" operator="lessThan" priority="425" type="cellIs">
      <formula>0</formula>
    </cfRule>
    <cfRule dxfId="0" operator="greaterThanOrEqual" priority="426" type="cellIs">
      <formula>0</formula>
    </cfRule>
  </conditionalFormatting>
  <conditionalFormatting sqref="H166">
    <cfRule dxfId="1" operator="lessThan" priority="421" type="cellIs">
      <formula>0</formula>
    </cfRule>
    <cfRule dxfId="0" operator="greaterThanOrEqual" priority="422" type="cellIs">
      <formula>0</formula>
    </cfRule>
  </conditionalFormatting>
  <conditionalFormatting sqref="G166">
    <cfRule dxfId="1" operator="lessThan" priority="423" type="cellIs">
      <formula>0</formula>
    </cfRule>
    <cfRule dxfId="0" operator="greaterThanOrEqual" priority="424" type="cellIs">
      <formula>0</formula>
    </cfRule>
  </conditionalFormatting>
  <conditionalFormatting sqref="S170 W170">
    <cfRule dxfId="1" operator="lessThan" priority="415" type="cellIs">
      <formula>0</formula>
    </cfRule>
    <cfRule dxfId="0" operator="greaterThanOrEqual" priority="416" type="cellIs">
      <formula>0</formula>
    </cfRule>
  </conditionalFormatting>
  <conditionalFormatting sqref="K170">
    <cfRule dxfId="0" operator="lessThanOrEqual" priority="417" type="cellIs">
      <formula>0</formula>
    </cfRule>
    <cfRule dxfId="1" operator="greaterThan" priority="418" type="cellIs">
      <formula>0</formula>
    </cfRule>
  </conditionalFormatting>
  <conditionalFormatting sqref="O170">
    <cfRule dxfId="1" operator="lessThan" priority="419" type="cellIs">
      <formula>0</formula>
    </cfRule>
    <cfRule dxfId="0" operator="greaterThanOrEqual" priority="420" type="cellIs">
      <formula>0</formula>
    </cfRule>
  </conditionalFormatting>
  <conditionalFormatting sqref="AQ170">
    <cfRule dxfId="1" operator="lessThan" priority="413" type="cellIs">
      <formula>0</formula>
    </cfRule>
    <cfRule dxfId="0" operator="greaterThanOrEqual" priority="414" type="cellIs">
      <formula>0</formula>
    </cfRule>
  </conditionalFormatting>
  <conditionalFormatting sqref="L170">
    <cfRule dxfId="0" operator="lessThanOrEqual" priority="411" type="cellIs">
      <formula>0</formula>
    </cfRule>
    <cfRule dxfId="1" operator="greaterThan" priority="412" type="cellIs">
      <formula>0</formula>
    </cfRule>
  </conditionalFormatting>
  <conditionalFormatting sqref="T170">
    <cfRule dxfId="1" operator="lessThan" priority="409" type="cellIs">
      <formula>0</formula>
    </cfRule>
    <cfRule dxfId="0" operator="greaterThanOrEqual" priority="410" type="cellIs">
      <formula>0</formula>
    </cfRule>
  </conditionalFormatting>
  <conditionalFormatting sqref="X170">
    <cfRule dxfId="1" operator="lessThan" priority="407" type="cellIs">
      <formula>0</formula>
    </cfRule>
    <cfRule dxfId="0" operator="greaterThanOrEqual" priority="408" type="cellIs">
      <formula>0</formula>
    </cfRule>
  </conditionalFormatting>
  <conditionalFormatting sqref="AB170">
    <cfRule dxfId="1" operator="lessThan" priority="405" type="cellIs">
      <formula>0</formula>
    </cfRule>
    <cfRule dxfId="0" operator="greaterThanOrEqual" priority="406" type="cellIs">
      <formula>0</formula>
    </cfRule>
  </conditionalFormatting>
  <conditionalFormatting sqref="AF170">
    <cfRule dxfId="1" operator="lessThan" priority="403" type="cellIs">
      <formula>0</formula>
    </cfRule>
    <cfRule dxfId="0" operator="greaterThanOrEqual" priority="404" type="cellIs">
      <formula>0</formula>
    </cfRule>
  </conditionalFormatting>
  <conditionalFormatting sqref="P170">
    <cfRule dxfId="1" operator="lessThan" priority="401" type="cellIs">
      <formula>0</formula>
    </cfRule>
    <cfRule dxfId="0" operator="greaterThanOrEqual" priority="402" type="cellIs">
      <formula>0</formula>
    </cfRule>
  </conditionalFormatting>
  <conditionalFormatting sqref="AJ170">
    <cfRule dxfId="1" operator="lessThan" priority="399" type="cellIs">
      <formula>0</formula>
    </cfRule>
    <cfRule dxfId="0" operator="greaterThanOrEqual" priority="400" type="cellIs">
      <formula>0</formula>
    </cfRule>
  </conditionalFormatting>
  <conditionalFormatting sqref="AR170">
    <cfRule dxfId="1" operator="lessThan" priority="397" type="cellIs">
      <formula>0</formula>
    </cfRule>
    <cfRule dxfId="0" operator="greaterThanOrEqual" priority="398" type="cellIs">
      <formula>0</formula>
    </cfRule>
  </conditionalFormatting>
  <conditionalFormatting sqref="AA170">
    <cfRule dxfId="1" operator="lessThan" priority="395" type="cellIs">
      <formula>0</formula>
    </cfRule>
    <cfRule dxfId="0" operator="greaterThanOrEqual" priority="396" type="cellIs">
      <formula>0</formula>
    </cfRule>
  </conditionalFormatting>
  <conditionalFormatting sqref="AE170">
    <cfRule dxfId="1" operator="lessThan" priority="393" type="cellIs">
      <formula>0</formula>
    </cfRule>
    <cfRule dxfId="0" operator="greaterThanOrEqual" priority="394" type="cellIs">
      <formula>0</formula>
    </cfRule>
  </conditionalFormatting>
  <conditionalFormatting sqref="AI170">
    <cfRule dxfId="1" operator="lessThan" priority="391" type="cellIs">
      <formula>0</formula>
    </cfRule>
    <cfRule dxfId="0" operator="greaterThanOrEqual" priority="392" type="cellIs">
      <formula>0</formula>
    </cfRule>
  </conditionalFormatting>
  <conditionalFormatting sqref="AN170">
    <cfRule dxfId="1" operator="lessThan" priority="387" type="cellIs">
      <formula>0</formula>
    </cfRule>
    <cfRule dxfId="0" operator="greaterThanOrEqual" priority="388" type="cellIs">
      <formula>0</formula>
    </cfRule>
  </conditionalFormatting>
  <conditionalFormatting sqref="H170">
    <cfRule dxfId="1" operator="lessThan" priority="383" type="cellIs">
      <formula>0</formula>
    </cfRule>
    <cfRule dxfId="0" operator="greaterThanOrEqual" priority="384" type="cellIs">
      <formula>0</formula>
    </cfRule>
  </conditionalFormatting>
  <conditionalFormatting sqref="G170">
    <cfRule dxfId="1" operator="lessThan" priority="385" type="cellIs">
      <formula>0</formula>
    </cfRule>
    <cfRule dxfId="0" operator="greaterThanOrEqual" priority="386" type="cellIs">
      <formula>0</formula>
    </cfRule>
  </conditionalFormatting>
  <conditionalFormatting sqref="S174 W174">
    <cfRule dxfId="1" operator="lessThan" priority="377" type="cellIs">
      <formula>0</formula>
    </cfRule>
    <cfRule dxfId="0" operator="greaterThanOrEqual" priority="378" type="cellIs">
      <formula>0</formula>
    </cfRule>
  </conditionalFormatting>
  <conditionalFormatting sqref="K174">
    <cfRule dxfId="0" operator="lessThanOrEqual" priority="379" type="cellIs">
      <formula>0</formula>
    </cfRule>
    <cfRule dxfId="1" operator="greaterThan" priority="380" type="cellIs">
      <formula>0</formula>
    </cfRule>
  </conditionalFormatting>
  <conditionalFormatting sqref="O174">
    <cfRule dxfId="1" operator="lessThan" priority="381" type="cellIs">
      <formula>0</formula>
    </cfRule>
    <cfRule dxfId="0" operator="greaterThanOrEqual" priority="382" type="cellIs">
      <formula>0</formula>
    </cfRule>
  </conditionalFormatting>
  <conditionalFormatting sqref="AQ174">
    <cfRule dxfId="1" operator="lessThan" priority="375" type="cellIs">
      <formula>0</formula>
    </cfRule>
    <cfRule dxfId="0" operator="greaterThanOrEqual" priority="376" type="cellIs">
      <formula>0</formula>
    </cfRule>
  </conditionalFormatting>
  <conditionalFormatting sqref="L174">
    <cfRule dxfId="0" operator="lessThanOrEqual" priority="373" type="cellIs">
      <formula>0</formula>
    </cfRule>
    <cfRule dxfId="1" operator="greaterThan" priority="374" type="cellIs">
      <formula>0</formula>
    </cfRule>
  </conditionalFormatting>
  <conditionalFormatting sqref="T174">
    <cfRule dxfId="1" operator="lessThan" priority="371" type="cellIs">
      <formula>0</formula>
    </cfRule>
    <cfRule dxfId="0" operator="greaterThanOrEqual" priority="372" type="cellIs">
      <formula>0</formula>
    </cfRule>
  </conditionalFormatting>
  <conditionalFormatting sqref="X174">
    <cfRule dxfId="1" operator="lessThan" priority="369" type="cellIs">
      <formula>0</formula>
    </cfRule>
    <cfRule dxfId="0" operator="greaterThanOrEqual" priority="370" type="cellIs">
      <formula>0</formula>
    </cfRule>
  </conditionalFormatting>
  <conditionalFormatting sqref="AB174">
    <cfRule dxfId="1" operator="lessThan" priority="367" type="cellIs">
      <formula>0</formula>
    </cfRule>
    <cfRule dxfId="0" operator="greaterThanOrEqual" priority="368" type="cellIs">
      <formula>0</formula>
    </cfRule>
  </conditionalFormatting>
  <conditionalFormatting sqref="AF174">
    <cfRule dxfId="1" operator="lessThan" priority="365" type="cellIs">
      <formula>0</formula>
    </cfRule>
    <cfRule dxfId="0" operator="greaterThanOrEqual" priority="366" type="cellIs">
      <formula>0</formula>
    </cfRule>
  </conditionalFormatting>
  <conditionalFormatting sqref="P174">
    <cfRule dxfId="1" operator="lessThan" priority="363" type="cellIs">
      <formula>0</formula>
    </cfRule>
    <cfRule dxfId="0" operator="greaterThanOrEqual" priority="364" type="cellIs">
      <formula>0</formula>
    </cfRule>
  </conditionalFormatting>
  <conditionalFormatting sqref="AJ174">
    <cfRule dxfId="1" operator="lessThan" priority="361" type="cellIs">
      <formula>0</formula>
    </cfRule>
    <cfRule dxfId="0" operator="greaterThanOrEqual" priority="362" type="cellIs">
      <formula>0</formula>
    </cfRule>
  </conditionalFormatting>
  <conditionalFormatting sqref="AR174">
    <cfRule dxfId="1" operator="lessThan" priority="359" type="cellIs">
      <formula>0</formula>
    </cfRule>
    <cfRule dxfId="0" operator="greaterThanOrEqual" priority="360" type="cellIs">
      <formula>0</formula>
    </cfRule>
  </conditionalFormatting>
  <conditionalFormatting sqref="AA174">
    <cfRule dxfId="1" operator="lessThan" priority="357" type="cellIs">
      <formula>0</formula>
    </cfRule>
    <cfRule dxfId="0" operator="greaterThanOrEqual" priority="358" type="cellIs">
      <formula>0</formula>
    </cfRule>
  </conditionalFormatting>
  <conditionalFormatting sqref="AE174">
    <cfRule dxfId="1" operator="lessThan" priority="355" type="cellIs">
      <formula>0</formula>
    </cfRule>
    <cfRule dxfId="0" operator="greaterThanOrEqual" priority="356" type="cellIs">
      <formula>0</formula>
    </cfRule>
  </conditionalFormatting>
  <conditionalFormatting sqref="AI174">
    <cfRule dxfId="1" operator="lessThan" priority="353" type="cellIs">
      <formula>0</formula>
    </cfRule>
    <cfRule dxfId="0" operator="greaterThanOrEqual" priority="354" type="cellIs">
      <formula>0</formula>
    </cfRule>
  </conditionalFormatting>
  <conditionalFormatting sqref="AN174">
    <cfRule dxfId="1" operator="lessThan" priority="349" type="cellIs">
      <formula>0</formula>
    </cfRule>
    <cfRule dxfId="0" operator="greaterThanOrEqual" priority="350" type="cellIs">
      <formula>0</formula>
    </cfRule>
  </conditionalFormatting>
  <conditionalFormatting sqref="H174">
    <cfRule dxfId="1" operator="lessThan" priority="345" type="cellIs">
      <formula>0</formula>
    </cfRule>
    <cfRule dxfId="0" operator="greaterThanOrEqual" priority="346" type="cellIs">
      <formula>0</formula>
    </cfRule>
  </conditionalFormatting>
  <conditionalFormatting sqref="G174">
    <cfRule dxfId="1" operator="lessThan" priority="347" type="cellIs">
      <formula>0</formula>
    </cfRule>
    <cfRule dxfId="0" operator="greaterThanOrEqual" priority="348" type="cellIs">
      <formula>0</formula>
    </cfRule>
  </conditionalFormatting>
  <conditionalFormatting sqref="S178 W178">
    <cfRule dxfId="1" operator="lessThan" priority="339" type="cellIs">
      <formula>0</formula>
    </cfRule>
    <cfRule dxfId="0" operator="greaterThanOrEqual" priority="340" type="cellIs">
      <formula>0</formula>
    </cfRule>
  </conditionalFormatting>
  <conditionalFormatting sqref="K178">
    <cfRule dxfId="0" operator="lessThanOrEqual" priority="341" type="cellIs">
      <formula>0</formula>
    </cfRule>
    <cfRule dxfId="1" operator="greaterThan" priority="342" type="cellIs">
      <formula>0</formula>
    </cfRule>
  </conditionalFormatting>
  <conditionalFormatting sqref="O178">
    <cfRule dxfId="1" operator="lessThan" priority="343" type="cellIs">
      <formula>0</formula>
    </cfRule>
    <cfRule dxfId="0" operator="greaterThanOrEqual" priority="344" type="cellIs">
      <formula>0</formula>
    </cfRule>
  </conditionalFormatting>
  <conditionalFormatting sqref="AQ178">
    <cfRule dxfId="1" operator="lessThan" priority="337" type="cellIs">
      <formula>0</formula>
    </cfRule>
    <cfRule dxfId="0" operator="greaterThanOrEqual" priority="338" type="cellIs">
      <formula>0</formula>
    </cfRule>
  </conditionalFormatting>
  <conditionalFormatting sqref="L178">
    <cfRule dxfId="0" operator="lessThanOrEqual" priority="335" type="cellIs">
      <formula>0</formula>
    </cfRule>
    <cfRule dxfId="1" operator="greaterThan" priority="336" type="cellIs">
      <formula>0</formula>
    </cfRule>
  </conditionalFormatting>
  <conditionalFormatting sqref="T178">
    <cfRule dxfId="1" operator="lessThan" priority="333" type="cellIs">
      <formula>0</formula>
    </cfRule>
    <cfRule dxfId="0" operator="greaterThanOrEqual" priority="334" type="cellIs">
      <formula>0</formula>
    </cfRule>
  </conditionalFormatting>
  <conditionalFormatting sqref="X178">
    <cfRule dxfId="1" operator="lessThan" priority="331" type="cellIs">
      <formula>0</formula>
    </cfRule>
    <cfRule dxfId="0" operator="greaterThanOrEqual" priority="332" type="cellIs">
      <formula>0</formula>
    </cfRule>
  </conditionalFormatting>
  <conditionalFormatting sqref="AB178">
    <cfRule dxfId="1" operator="lessThan" priority="329" type="cellIs">
      <formula>0</formula>
    </cfRule>
    <cfRule dxfId="0" operator="greaterThanOrEqual" priority="330" type="cellIs">
      <formula>0</formula>
    </cfRule>
  </conditionalFormatting>
  <conditionalFormatting sqref="AF178">
    <cfRule dxfId="1" operator="lessThan" priority="327" type="cellIs">
      <formula>0</formula>
    </cfRule>
    <cfRule dxfId="0" operator="greaterThanOrEqual" priority="328" type="cellIs">
      <formula>0</formula>
    </cfRule>
  </conditionalFormatting>
  <conditionalFormatting sqref="P178">
    <cfRule dxfId="1" operator="lessThan" priority="325" type="cellIs">
      <formula>0</formula>
    </cfRule>
    <cfRule dxfId="0" operator="greaterThanOrEqual" priority="326" type="cellIs">
      <formula>0</formula>
    </cfRule>
  </conditionalFormatting>
  <conditionalFormatting sqref="AJ178">
    <cfRule dxfId="1" operator="lessThan" priority="323" type="cellIs">
      <formula>0</formula>
    </cfRule>
    <cfRule dxfId="0" operator="greaterThanOrEqual" priority="324" type="cellIs">
      <formula>0</formula>
    </cfRule>
  </conditionalFormatting>
  <conditionalFormatting sqref="AR178">
    <cfRule dxfId="1" operator="lessThan" priority="321" type="cellIs">
      <formula>0</formula>
    </cfRule>
    <cfRule dxfId="0" operator="greaterThanOrEqual" priority="322" type="cellIs">
      <formula>0</formula>
    </cfRule>
  </conditionalFormatting>
  <conditionalFormatting sqref="AA178">
    <cfRule dxfId="1" operator="lessThan" priority="319" type="cellIs">
      <formula>0</formula>
    </cfRule>
    <cfRule dxfId="0" operator="greaterThanOrEqual" priority="320" type="cellIs">
      <formula>0</formula>
    </cfRule>
  </conditionalFormatting>
  <conditionalFormatting sqref="AE178">
    <cfRule dxfId="1" operator="lessThan" priority="317" type="cellIs">
      <formula>0</formula>
    </cfRule>
    <cfRule dxfId="0" operator="greaterThanOrEqual" priority="318" type="cellIs">
      <formula>0</formula>
    </cfRule>
  </conditionalFormatting>
  <conditionalFormatting sqref="AI178">
    <cfRule dxfId="1" operator="lessThan" priority="315" type="cellIs">
      <formula>0</formula>
    </cfRule>
    <cfRule dxfId="0" operator="greaterThanOrEqual" priority="316" type="cellIs">
      <formula>0</formula>
    </cfRule>
  </conditionalFormatting>
  <conditionalFormatting sqref="AN178">
    <cfRule dxfId="1" operator="lessThan" priority="311" type="cellIs">
      <formula>0</formula>
    </cfRule>
    <cfRule dxfId="0" operator="greaterThanOrEqual" priority="312" type="cellIs">
      <formula>0</formula>
    </cfRule>
  </conditionalFormatting>
  <conditionalFormatting sqref="H178">
    <cfRule dxfId="1" operator="lessThan" priority="307" type="cellIs">
      <formula>0</formula>
    </cfRule>
    <cfRule dxfId="0" operator="greaterThanOrEqual" priority="308" type="cellIs">
      <formula>0</formula>
    </cfRule>
  </conditionalFormatting>
  <conditionalFormatting sqref="G178">
    <cfRule dxfId="1" operator="lessThan" priority="309" type="cellIs">
      <formula>0</formula>
    </cfRule>
    <cfRule dxfId="0" operator="greaterThanOrEqual" priority="310" type="cellIs">
      <formula>0</formula>
    </cfRule>
  </conditionalFormatting>
  <conditionalFormatting sqref="S182 W182">
    <cfRule dxfId="1" operator="lessThan" priority="301" type="cellIs">
      <formula>0</formula>
    </cfRule>
    <cfRule dxfId="0" operator="greaterThanOrEqual" priority="302" type="cellIs">
      <formula>0</formula>
    </cfRule>
  </conditionalFormatting>
  <conditionalFormatting sqref="K182">
    <cfRule dxfId="0" operator="lessThanOrEqual" priority="303" type="cellIs">
      <formula>0</formula>
    </cfRule>
    <cfRule dxfId="1" operator="greaterThan" priority="304" type="cellIs">
      <formula>0</formula>
    </cfRule>
  </conditionalFormatting>
  <conditionalFormatting sqref="O182">
    <cfRule dxfId="1" operator="lessThan" priority="305" type="cellIs">
      <formula>0</formula>
    </cfRule>
    <cfRule dxfId="0" operator="greaterThanOrEqual" priority="306" type="cellIs">
      <formula>0</formula>
    </cfRule>
  </conditionalFormatting>
  <conditionalFormatting sqref="AQ182">
    <cfRule dxfId="1" operator="lessThan" priority="299" type="cellIs">
      <formula>0</formula>
    </cfRule>
    <cfRule dxfId="0" operator="greaterThanOrEqual" priority="300" type="cellIs">
      <formula>0</formula>
    </cfRule>
  </conditionalFormatting>
  <conditionalFormatting sqref="L182">
    <cfRule dxfId="0" operator="lessThanOrEqual" priority="297" type="cellIs">
      <formula>0</formula>
    </cfRule>
    <cfRule dxfId="1" operator="greaterThan" priority="298" type="cellIs">
      <formula>0</formula>
    </cfRule>
  </conditionalFormatting>
  <conditionalFormatting sqref="T182">
    <cfRule dxfId="1" operator="lessThan" priority="295" type="cellIs">
      <formula>0</formula>
    </cfRule>
    <cfRule dxfId="0" operator="greaterThanOrEqual" priority="296" type="cellIs">
      <formula>0</formula>
    </cfRule>
  </conditionalFormatting>
  <conditionalFormatting sqref="X182">
    <cfRule dxfId="1" operator="lessThan" priority="293" type="cellIs">
      <formula>0</formula>
    </cfRule>
    <cfRule dxfId="0" operator="greaterThanOrEqual" priority="294" type="cellIs">
      <formula>0</formula>
    </cfRule>
  </conditionalFormatting>
  <conditionalFormatting sqref="AB182">
    <cfRule dxfId="1" operator="lessThan" priority="291" type="cellIs">
      <formula>0</formula>
    </cfRule>
    <cfRule dxfId="0" operator="greaterThanOrEqual" priority="292" type="cellIs">
      <formula>0</formula>
    </cfRule>
  </conditionalFormatting>
  <conditionalFormatting sqref="AF182">
    <cfRule dxfId="1" operator="lessThan" priority="289" type="cellIs">
      <formula>0</formula>
    </cfRule>
    <cfRule dxfId="0" operator="greaterThanOrEqual" priority="290" type="cellIs">
      <formula>0</formula>
    </cfRule>
  </conditionalFormatting>
  <conditionalFormatting sqref="P182">
    <cfRule dxfId="1" operator="lessThan" priority="287" type="cellIs">
      <formula>0</formula>
    </cfRule>
    <cfRule dxfId="0" operator="greaterThanOrEqual" priority="288" type="cellIs">
      <formula>0</formula>
    </cfRule>
  </conditionalFormatting>
  <conditionalFormatting sqref="AJ182">
    <cfRule dxfId="1" operator="lessThan" priority="285" type="cellIs">
      <formula>0</formula>
    </cfRule>
    <cfRule dxfId="0" operator="greaterThanOrEqual" priority="286" type="cellIs">
      <formula>0</formula>
    </cfRule>
  </conditionalFormatting>
  <conditionalFormatting sqref="AR182">
    <cfRule dxfId="1" operator="lessThan" priority="283" type="cellIs">
      <formula>0</formula>
    </cfRule>
    <cfRule dxfId="0" operator="greaterThanOrEqual" priority="284" type="cellIs">
      <formula>0</formula>
    </cfRule>
  </conditionalFormatting>
  <conditionalFormatting sqref="AA182">
    <cfRule dxfId="1" operator="lessThan" priority="281" type="cellIs">
      <formula>0</formula>
    </cfRule>
    <cfRule dxfId="0" operator="greaterThanOrEqual" priority="282" type="cellIs">
      <formula>0</formula>
    </cfRule>
  </conditionalFormatting>
  <conditionalFormatting sqref="AE182">
    <cfRule dxfId="1" operator="lessThan" priority="279" type="cellIs">
      <formula>0</formula>
    </cfRule>
    <cfRule dxfId="0" operator="greaterThanOrEqual" priority="280" type="cellIs">
      <formula>0</formula>
    </cfRule>
  </conditionalFormatting>
  <conditionalFormatting sqref="AI182">
    <cfRule dxfId="1" operator="lessThan" priority="277" type="cellIs">
      <formula>0</formula>
    </cfRule>
    <cfRule dxfId="0" operator="greaterThanOrEqual" priority="278" type="cellIs">
      <formula>0</formula>
    </cfRule>
  </conditionalFormatting>
  <conditionalFormatting sqref="AN182">
    <cfRule dxfId="1" operator="lessThan" priority="273" type="cellIs">
      <formula>0</formula>
    </cfRule>
    <cfRule dxfId="0" operator="greaterThanOrEqual" priority="274" type="cellIs">
      <formula>0</formula>
    </cfRule>
  </conditionalFormatting>
  <conditionalFormatting sqref="H182">
    <cfRule dxfId="1" operator="lessThan" priority="269" type="cellIs">
      <formula>0</formula>
    </cfRule>
    <cfRule dxfId="0" operator="greaterThanOrEqual" priority="270" type="cellIs">
      <formula>0</formula>
    </cfRule>
  </conditionalFormatting>
  <conditionalFormatting sqref="G182">
    <cfRule dxfId="1" operator="lessThan" priority="271" type="cellIs">
      <formula>0</formula>
    </cfRule>
    <cfRule dxfId="0" operator="greaterThanOrEqual" priority="272" type="cellIs">
      <formula>0</formula>
    </cfRule>
  </conditionalFormatting>
  <conditionalFormatting sqref="S186 W186">
    <cfRule dxfId="1" operator="lessThan" priority="263" type="cellIs">
      <formula>0</formula>
    </cfRule>
    <cfRule dxfId="0" operator="greaterThanOrEqual" priority="264" type="cellIs">
      <formula>0</formula>
    </cfRule>
  </conditionalFormatting>
  <conditionalFormatting sqref="K186">
    <cfRule dxfId="0" operator="lessThanOrEqual" priority="265" type="cellIs">
      <formula>0</formula>
    </cfRule>
    <cfRule dxfId="1" operator="greaterThan" priority="266" type="cellIs">
      <formula>0</formula>
    </cfRule>
  </conditionalFormatting>
  <conditionalFormatting sqref="O186">
    <cfRule dxfId="1" operator="lessThan" priority="267" type="cellIs">
      <formula>0</formula>
    </cfRule>
    <cfRule dxfId="0" operator="greaterThanOrEqual" priority="268" type="cellIs">
      <formula>0</formula>
    </cfRule>
  </conditionalFormatting>
  <conditionalFormatting sqref="AQ186">
    <cfRule dxfId="1" operator="lessThan" priority="261" type="cellIs">
      <formula>0</formula>
    </cfRule>
    <cfRule dxfId="0" operator="greaterThanOrEqual" priority="262" type="cellIs">
      <formula>0</formula>
    </cfRule>
  </conditionalFormatting>
  <conditionalFormatting sqref="L186">
    <cfRule dxfId="0" operator="lessThanOrEqual" priority="259" type="cellIs">
      <formula>0</formula>
    </cfRule>
    <cfRule dxfId="1" operator="greaterThan" priority="260" type="cellIs">
      <formula>0</formula>
    </cfRule>
  </conditionalFormatting>
  <conditionalFormatting sqref="T186">
    <cfRule dxfId="1" operator="lessThan" priority="257" type="cellIs">
      <formula>0</formula>
    </cfRule>
    <cfRule dxfId="0" operator="greaterThanOrEqual" priority="258" type="cellIs">
      <formula>0</formula>
    </cfRule>
  </conditionalFormatting>
  <conditionalFormatting sqref="X186">
    <cfRule dxfId="1" operator="lessThan" priority="255" type="cellIs">
      <formula>0</formula>
    </cfRule>
    <cfRule dxfId="0" operator="greaterThanOrEqual" priority="256" type="cellIs">
      <formula>0</formula>
    </cfRule>
  </conditionalFormatting>
  <conditionalFormatting sqref="AB186">
    <cfRule dxfId="1" operator="lessThan" priority="253" type="cellIs">
      <formula>0</formula>
    </cfRule>
    <cfRule dxfId="0" operator="greaterThanOrEqual" priority="254" type="cellIs">
      <formula>0</formula>
    </cfRule>
  </conditionalFormatting>
  <conditionalFormatting sqref="AF186">
    <cfRule dxfId="1" operator="lessThan" priority="251" type="cellIs">
      <formula>0</formula>
    </cfRule>
    <cfRule dxfId="0" operator="greaterThanOrEqual" priority="252" type="cellIs">
      <formula>0</formula>
    </cfRule>
  </conditionalFormatting>
  <conditionalFormatting sqref="P186">
    <cfRule dxfId="1" operator="lessThan" priority="249" type="cellIs">
      <formula>0</formula>
    </cfRule>
    <cfRule dxfId="0" operator="greaterThanOrEqual" priority="250" type="cellIs">
      <formula>0</formula>
    </cfRule>
  </conditionalFormatting>
  <conditionalFormatting sqref="AJ186">
    <cfRule dxfId="1" operator="lessThan" priority="247" type="cellIs">
      <formula>0</formula>
    </cfRule>
    <cfRule dxfId="0" operator="greaterThanOrEqual" priority="248" type="cellIs">
      <formula>0</formula>
    </cfRule>
  </conditionalFormatting>
  <conditionalFormatting sqref="AR186">
    <cfRule dxfId="1" operator="lessThan" priority="245" type="cellIs">
      <formula>0</formula>
    </cfRule>
    <cfRule dxfId="0" operator="greaterThanOrEqual" priority="246" type="cellIs">
      <formula>0</formula>
    </cfRule>
  </conditionalFormatting>
  <conditionalFormatting sqref="AA186">
    <cfRule dxfId="1" operator="lessThan" priority="243" type="cellIs">
      <formula>0</formula>
    </cfRule>
    <cfRule dxfId="0" operator="greaterThanOrEqual" priority="244" type="cellIs">
      <formula>0</formula>
    </cfRule>
  </conditionalFormatting>
  <conditionalFormatting sqref="AE186">
    <cfRule dxfId="1" operator="lessThan" priority="241" type="cellIs">
      <formula>0</formula>
    </cfRule>
    <cfRule dxfId="0" operator="greaterThanOrEqual" priority="242" type="cellIs">
      <formula>0</formula>
    </cfRule>
  </conditionalFormatting>
  <conditionalFormatting sqref="AI186">
    <cfRule dxfId="1" operator="lessThan" priority="239" type="cellIs">
      <formula>0</formula>
    </cfRule>
    <cfRule dxfId="0" operator="greaterThanOrEqual" priority="240" type="cellIs">
      <formula>0</formula>
    </cfRule>
  </conditionalFormatting>
  <conditionalFormatting sqref="AN186">
    <cfRule dxfId="1" operator="lessThan" priority="235" type="cellIs">
      <formula>0</formula>
    </cfRule>
    <cfRule dxfId="0" operator="greaterThanOrEqual" priority="236" type="cellIs">
      <formula>0</formula>
    </cfRule>
  </conditionalFormatting>
  <conditionalFormatting sqref="H186">
    <cfRule dxfId="1" operator="lessThan" priority="231" type="cellIs">
      <formula>0</formula>
    </cfRule>
    <cfRule dxfId="0" operator="greaterThanOrEqual" priority="232" type="cellIs">
      <formula>0</formula>
    </cfRule>
  </conditionalFormatting>
  <conditionalFormatting sqref="G186">
    <cfRule dxfId="1" operator="lessThan" priority="233" type="cellIs">
      <formula>0</formula>
    </cfRule>
    <cfRule dxfId="0" operator="greaterThanOrEqual" priority="234" type="cellIs">
      <formula>0</formula>
    </cfRule>
  </conditionalFormatting>
  <conditionalFormatting sqref="S190 W190">
    <cfRule dxfId="1" operator="lessThan" priority="225" type="cellIs">
      <formula>0</formula>
    </cfRule>
    <cfRule dxfId="0" operator="greaterThanOrEqual" priority="226" type="cellIs">
      <formula>0</formula>
    </cfRule>
  </conditionalFormatting>
  <conditionalFormatting sqref="K190">
    <cfRule dxfId="0" operator="lessThanOrEqual" priority="227" type="cellIs">
      <formula>0</formula>
    </cfRule>
    <cfRule dxfId="1" operator="greaterThan" priority="228" type="cellIs">
      <formula>0</formula>
    </cfRule>
  </conditionalFormatting>
  <conditionalFormatting sqref="O190">
    <cfRule dxfId="1" operator="lessThan" priority="229" type="cellIs">
      <formula>0</formula>
    </cfRule>
    <cfRule dxfId="0" operator="greaterThanOrEqual" priority="230" type="cellIs">
      <formula>0</formula>
    </cfRule>
  </conditionalFormatting>
  <conditionalFormatting sqref="AQ190">
    <cfRule dxfId="1" operator="lessThan" priority="223" type="cellIs">
      <formula>0</formula>
    </cfRule>
    <cfRule dxfId="0" operator="greaterThanOrEqual" priority="224" type="cellIs">
      <formula>0</formula>
    </cfRule>
  </conditionalFormatting>
  <conditionalFormatting sqref="L190">
    <cfRule dxfId="0" operator="lessThanOrEqual" priority="221" type="cellIs">
      <formula>0</formula>
    </cfRule>
    <cfRule dxfId="1" operator="greaterThan" priority="222" type="cellIs">
      <formula>0</formula>
    </cfRule>
  </conditionalFormatting>
  <conditionalFormatting sqref="T190">
    <cfRule dxfId="1" operator="lessThan" priority="219" type="cellIs">
      <formula>0</formula>
    </cfRule>
    <cfRule dxfId="0" operator="greaterThanOrEqual" priority="220" type="cellIs">
      <formula>0</formula>
    </cfRule>
  </conditionalFormatting>
  <conditionalFormatting sqref="X190">
    <cfRule dxfId="1" operator="lessThan" priority="217" type="cellIs">
      <formula>0</formula>
    </cfRule>
    <cfRule dxfId="0" operator="greaterThanOrEqual" priority="218" type="cellIs">
      <formula>0</formula>
    </cfRule>
  </conditionalFormatting>
  <conditionalFormatting sqref="AB190">
    <cfRule dxfId="1" operator="lessThan" priority="215" type="cellIs">
      <formula>0</formula>
    </cfRule>
    <cfRule dxfId="0" operator="greaterThanOrEqual" priority="216" type="cellIs">
      <formula>0</formula>
    </cfRule>
  </conditionalFormatting>
  <conditionalFormatting sqref="AF190">
    <cfRule dxfId="1" operator="lessThan" priority="213" type="cellIs">
      <formula>0</formula>
    </cfRule>
    <cfRule dxfId="0" operator="greaterThanOrEqual" priority="214" type="cellIs">
      <formula>0</formula>
    </cfRule>
  </conditionalFormatting>
  <conditionalFormatting sqref="P190">
    <cfRule dxfId="1" operator="lessThan" priority="211" type="cellIs">
      <formula>0</formula>
    </cfRule>
    <cfRule dxfId="0" operator="greaterThanOrEqual" priority="212" type="cellIs">
      <formula>0</formula>
    </cfRule>
  </conditionalFormatting>
  <conditionalFormatting sqref="AJ190">
    <cfRule dxfId="1" operator="lessThan" priority="209" type="cellIs">
      <formula>0</formula>
    </cfRule>
    <cfRule dxfId="0" operator="greaterThanOrEqual" priority="210" type="cellIs">
      <formula>0</formula>
    </cfRule>
  </conditionalFormatting>
  <conditionalFormatting sqref="AR190">
    <cfRule dxfId="1" operator="lessThan" priority="207" type="cellIs">
      <formula>0</formula>
    </cfRule>
    <cfRule dxfId="0" operator="greaterThanOrEqual" priority="208" type="cellIs">
      <formula>0</formula>
    </cfRule>
  </conditionalFormatting>
  <conditionalFormatting sqref="AA190">
    <cfRule dxfId="1" operator="lessThan" priority="205" type="cellIs">
      <formula>0</formula>
    </cfRule>
    <cfRule dxfId="0" operator="greaterThanOrEqual" priority="206" type="cellIs">
      <formula>0</formula>
    </cfRule>
  </conditionalFormatting>
  <conditionalFormatting sqref="AE190">
    <cfRule dxfId="1" operator="lessThan" priority="203" type="cellIs">
      <formula>0</formula>
    </cfRule>
    <cfRule dxfId="0" operator="greaterThanOrEqual" priority="204" type="cellIs">
      <formula>0</formula>
    </cfRule>
  </conditionalFormatting>
  <conditionalFormatting sqref="AI190">
    <cfRule dxfId="1" operator="lessThan" priority="201" type="cellIs">
      <formula>0</formula>
    </cfRule>
    <cfRule dxfId="0" operator="greaterThanOrEqual" priority="202" type="cellIs">
      <formula>0</formula>
    </cfRule>
  </conditionalFormatting>
  <conditionalFormatting sqref="AN190">
    <cfRule dxfId="1" operator="lessThan" priority="197" type="cellIs">
      <formula>0</formula>
    </cfRule>
    <cfRule dxfId="0" operator="greaterThanOrEqual" priority="198" type="cellIs">
      <formula>0</formula>
    </cfRule>
  </conditionalFormatting>
  <conditionalFormatting sqref="H190">
    <cfRule dxfId="1" operator="lessThan" priority="193" type="cellIs">
      <formula>0</formula>
    </cfRule>
    <cfRule dxfId="0" operator="greaterThanOrEqual" priority="194" type="cellIs">
      <formula>0</formula>
    </cfRule>
  </conditionalFormatting>
  <conditionalFormatting sqref="G190">
    <cfRule dxfId="1" operator="lessThan" priority="195" type="cellIs">
      <formula>0</formula>
    </cfRule>
    <cfRule dxfId="0" operator="greaterThanOrEqual" priority="196" type="cellIs">
      <formula>0</formula>
    </cfRule>
  </conditionalFormatting>
  <conditionalFormatting sqref="S194 W194">
    <cfRule dxfId="1" operator="lessThan" priority="187" type="cellIs">
      <formula>0</formula>
    </cfRule>
    <cfRule dxfId="0" operator="greaterThanOrEqual" priority="188" type="cellIs">
      <formula>0</formula>
    </cfRule>
  </conditionalFormatting>
  <conditionalFormatting sqref="K194">
    <cfRule dxfId="0" operator="lessThanOrEqual" priority="189" type="cellIs">
      <formula>0</formula>
    </cfRule>
    <cfRule dxfId="1" operator="greaterThan" priority="190" type="cellIs">
      <formula>0</formula>
    </cfRule>
  </conditionalFormatting>
  <conditionalFormatting sqref="O194">
    <cfRule dxfId="1" operator="lessThan" priority="191" type="cellIs">
      <formula>0</formula>
    </cfRule>
    <cfRule dxfId="0" operator="greaterThanOrEqual" priority="192" type="cellIs">
      <formula>0</formula>
    </cfRule>
  </conditionalFormatting>
  <conditionalFormatting sqref="AQ194">
    <cfRule dxfId="1" operator="lessThan" priority="185" type="cellIs">
      <formula>0</formula>
    </cfRule>
    <cfRule dxfId="0" operator="greaterThanOrEqual" priority="186" type="cellIs">
      <formula>0</formula>
    </cfRule>
  </conditionalFormatting>
  <conditionalFormatting sqref="L194">
    <cfRule dxfId="0" operator="lessThanOrEqual" priority="183" type="cellIs">
      <formula>0</formula>
    </cfRule>
    <cfRule dxfId="1" operator="greaterThan" priority="184" type="cellIs">
      <formula>0</formula>
    </cfRule>
  </conditionalFormatting>
  <conditionalFormatting sqref="T194">
    <cfRule dxfId="1" operator="lessThan" priority="181" type="cellIs">
      <formula>0</formula>
    </cfRule>
    <cfRule dxfId="0" operator="greaterThanOrEqual" priority="182" type="cellIs">
      <formula>0</formula>
    </cfRule>
  </conditionalFormatting>
  <conditionalFormatting sqref="X194">
    <cfRule dxfId="1" operator="lessThan" priority="179" type="cellIs">
      <formula>0</formula>
    </cfRule>
    <cfRule dxfId="0" operator="greaterThanOrEqual" priority="180" type="cellIs">
      <formula>0</formula>
    </cfRule>
  </conditionalFormatting>
  <conditionalFormatting sqref="AB194">
    <cfRule dxfId="1" operator="lessThan" priority="177" type="cellIs">
      <formula>0</formula>
    </cfRule>
    <cfRule dxfId="0" operator="greaterThanOrEqual" priority="178" type="cellIs">
      <formula>0</formula>
    </cfRule>
  </conditionalFormatting>
  <conditionalFormatting sqref="AF194">
    <cfRule dxfId="1" operator="lessThan" priority="175" type="cellIs">
      <formula>0</formula>
    </cfRule>
    <cfRule dxfId="0" operator="greaterThanOrEqual" priority="176" type="cellIs">
      <formula>0</formula>
    </cfRule>
  </conditionalFormatting>
  <conditionalFormatting sqref="P194">
    <cfRule dxfId="1" operator="lessThan" priority="173" type="cellIs">
      <formula>0</formula>
    </cfRule>
    <cfRule dxfId="0" operator="greaterThanOrEqual" priority="174" type="cellIs">
      <formula>0</formula>
    </cfRule>
  </conditionalFormatting>
  <conditionalFormatting sqref="AJ194">
    <cfRule dxfId="1" operator="lessThan" priority="171" type="cellIs">
      <formula>0</formula>
    </cfRule>
    <cfRule dxfId="0" operator="greaterThanOrEqual" priority="172" type="cellIs">
      <formula>0</formula>
    </cfRule>
  </conditionalFormatting>
  <conditionalFormatting sqref="AR194">
    <cfRule dxfId="1" operator="lessThan" priority="169" type="cellIs">
      <formula>0</formula>
    </cfRule>
    <cfRule dxfId="0" operator="greaterThanOrEqual" priority="170" type="cellIs">
      <formula>0</formula>
    </cfRule>
  </conditionalFormatting>
  <conditionalFormatting sqref="AA194">
    <cfRule dxfId="1" operator="lessThan" priority="167" type="cellIs">
      <formula>0</formula>
    </cfRule>
    <cfRule dxfId="0" operator="greaterThanOrEqual" priority="168" type="cellIs">
      <formula>0</formula>
    </cfRule>
  </conditionalFormatting>
  <conditionalFormatting sqref="AE194">
    <cfRule dxfId="1" operator="lessThan" priority="165" type="cellIs">
      <formula>0</formula>
    </cfRule>
    <cfRule dxfId="0" operator="greaterThanOrEqual" priority="166" type="cellIs">
      <formula>0</formula>
    </cfRule>
  </conditionalFormatting>
  <conditionalFormatting sqref="AI194">
    <cfRule dxfId="1" operator="lessThan" priority="163" type="cellIs">
      <formula>0</formula>
    </cfRule>
    <cfRule dxfId="0" operator="greaterThanOrEqual" priority="164" type="cellIs">
      <formula>0</formula>
    </cfRule>
  </conditionalFormatting>
  <conditionalFormatting sqref="AN194">
    <cfRule dxfId="1" operator="lessThan" priority="159" type="cellIs">
      <formula>0</formula>
    </cfRule>
    <cfRule dxfId="0" operator="greaterThanOrEqual" priority="160" type="cellIs">
      <formula>0</formula>
    </cfRule>
  </conditionalFormatting>
  <conditionalFormatting sqref="H194">
    <cfRule dxfId="1" operator="lessThan" priority="155" type="cellIs">
      <formula>0</formula>
    </cfRule>
    <cfRule dxfId="0" operator="greaterThanOrEqual" priority="156" type="cellIs">
      <formula>0</formula>
    </cfRule>
  </conditionalFormatting>
  <conditionalFormatting sqref="G194">
    <cfRule dxfId="1" operator="lessThan" priority="157" type="cellIs">
      <formula>0</formula>
    </cfRule>
    <cfRule dxfId="0" operator="greaterThanOrEqual" priority="158" type="cellIs">
      <formula>0</formula>
    </cfRule>
  </conditionalFormatting>
  <conditionalFormatting sqref="S198 W198">
    <cfRule dxfId="1" operator="lessThan" priority="149" type="cellIs">
      <formula>0</formula>
    </cfRule>
    <cfRule dxfId="0" operator="greaterThanOrEqual" priority="150" type="cellIs">
      <formula>0</formula>
    </cfRule>
  </conditionalFormatting>
  <conditionalFormatting sqref="K198">
    <cfRule dxfId="0" operator="lessThanOrEqual" priority="151" type="cellIs">
      <formula>0</formula>
    </cfRule>
    <cfRule dxfId="1" operator="greaterThan" priority="152" type="cellIs">
      <formula>0</formula>
    </cfRule>
  </conditionalFormatting>
  <conditionalFormatting sqref="O198">
    <cfRule dxfId="1" operator="lessThan" priority="153" type="cellIs">
      <formula>0</formula>
    </cfRule>
    <cfRule dxfId="0" operator="greaterThanOrEqual" priority="154" type="cellIs">
      <formula>0</formula>
    </cfRule>
  </conditionalFormatting>
  <conditionalFormatting sqref="AQ198">
    <cfRule dxfId="1" operator="lessThan" priority="147" type="cellIs">
      <formula>0</formula>
    </cfRule>
    <cfRule dxfId="0" operator="greaterThanOrEqual" priority="148" type="cellIs">
      <formula>0</formula>
    </cfRule>
  </conditionalFormatting>
  <conditionalFormatting sqref="L198">
    <cfRule dxfId="0" operator="lessThanOrEqual" priority="145" type="cellIs">
      <formula>0</formula>
    </cfRule>
    <cfRule dxfId="1" operator="greaterThan" priority="146" type="cellIs">
      <formula>0</formula>
    </cfRule>
  </conditionalFormatting>
  <conditionalFormatting sqref="T198">
    <cfRule dxfId="1" operator="lessThan" priority="143" type="cellIs">
      <formula>0</formula>
    </cfRule>
    <cfRule dxfId="0" operator="greaterThanOrEqual" priority="144" type="cellIs">
      <formula>0</formula>
    </cfRule>
  </conditionalFormatting>
  <conditionalFormatting sqref="X198">
    <cfRule dxfId="1" operator="lessThan" priority="141" type="cellIs">
      <formula>0</formula>
    </cfRule>
    <cfRule dxfId="0" operator="greaterThanOrEqual" priority="142" type="cellIs">
      <formula>0</formula>
    </cfRule>
  </conditionalFormatting>
  <conditionalFormatting sqref="AB198">
    <cfRule dxfId="1" operator="lessThan" priority="139" type="cellIs">
      <formula>0</formula>
    </cfRule>
    <cfRule dxfId="0" operator="greaterThanOrEqual" priority="140" type="cellIs">
      <formula>0</formula>
    </cfRule>
  </conditionalFormatting>
  <conditionalFormatting sqref="AF198">
    <cfRule dxfId="1" operator="lessThan" priority="137" type="cellIs">
      <formula>0</formula>
    </cfRule>
    <cfRule dxfId="0" operator="greaterThanOrEqual" priority="138" type="cellIs">
      <formula>0</formula>
    </cfRule>
  </conditionalFormatting>
  <conditionalFormatting sqref="P198">
    <cfRule dxfId="1" operator="lessThan" priority="135" type="cellIs">
      <formula>0</formula>
    </cfRule>
    <cfRule dxfId="0" operator="greaterThanOrEqual" priority="136" type="cellIs">
      <formula>0</formula>
    </cfRule>
  </conditionalFormatting>
  <conditionalFormatting sqref="AJ198">
    <cfRule dxfId="1" operator="lessThan" priority="133" type="cellIs">
      <formula>0</formula>
    </cfRule>
    <cfRule dxfId="0" operator="greaterThanOrEqual" priority="134" type="cellIs">
      <formula>0</formula>
    </cfRule>
  </conditionalFormatting>
  <conditionalFormatting sqref="AR198">
    <cfRule dxfId="1" operator="lessThan" priority="131" type="cellIs">
      <formula>0</formula>
    </cfRule>
    <cfRule dxfId="0" operator="greaterThanOrEqual" priority="132" type="cellIs">
      <formula>0</formula>
    </cfRule>
  </conditionalFormatting>
  <conditionalFormatting sqref="AA198">
    <cfRule dxfId="1" operator="lessThan" priority="129" type="cellIs">
      <formula>0</formula>
    </cfRule>
    <cfRule dxfId="0" operator="greaterThanOrEqual" priority="130" type="cellIs">
      <formula>0</formula>
    </cfRule>
  </conditionalFormatting>
  <conditionalFormatting sqref="AE198">
    <cfRule dxfId="1" operator="lessThan" priority="127" type="cellIs">
      <formula>0</formula>
    </cfRule>
    <cfRule dxfId="0" operator="greaterThanOrEqual" priority="128" type="cellIs">
      <formula>0</formula>
    </cfRule>
  </conditionalFormatting>
  <conditionalFormatting sqref="AI198">
    <cfRule dxfId="1" operator="lessThan" priority="125" type="cellIs">
      <formula>0</formula>
    </cfRule>
    <cfRule dxfId="0" operator="greaterThanOrEqual" priority="126" type="cellIs">
      <formula>0</formula>
    </cfRule>
  </conditionalFormatting>
  <conditionalFormatting sqref="AN198">
    <cfRule dxfId="1" operator="lessThan" priority="121" type="cellIs">
      <formula>0</formula>
    </cfRule>
    <cfRule dxfId="0" operator="greaterThanOrEqual" priority="122" type="cellIs">
      <formula>0</formula>
    </cfRule>
  </conditionalFormatting>
  <conditionalFormatting sqref="H198">
    <cfRule dxfId="1" operator="lessThan" priority="117" type="cellIs">
      <formula>0</formula>
    </cfRule>
    <cfRule dxfId="0" operator="greaterThanOrEqual" priority="118" type="cellIs">
      <formula>0</formula>
    </cfRule>
  </conditionalFormatting>
  <conditionalFormatting sqref="G198">
    <cfRule dxfId="1" operator="lessThan" priority="119" type="cellIs">
      <formula>0</formula>
    </cfRule>
    <cfRule dxfId="0" operator="greaterThanOrEqual" priority="120" type="cellIs">
      <formula>0</formula>
    </cfRule>
  </conditionalFormatting>
  <conditionalFormatting sqref="S202 W202">
    <cfRule dxfId="1" operator="lessThan" priority="111" type="cellIs">
      <formula>0</formula>
    </cfRule>
    <cfRule dxfId="0" operator="greaterThanOrEqual" priority="112" type="cellIs">
      <formula>0</formula>
    </cfRule>
  </conditionalFormatting>
  <conditionalFormatting sqref="K202">
    <cfRule dxfId="0" operator="lessThanOrEqual" priority="113" type="cellIs">
      <formula>0</formula>
    </cfRule>
    <cfRule dxfId="1" operator="greaterThan" priority="114" type="cellIs">
      <formula>0</formula>
    </cfRule>
  </conditionalFormatting>
  <conditionalFormatting sqref="O202">
    <cfRule dxfId="1" operator="lessThan" priority="115" type="cellIs">
      <formula>0</formula>
    </cfRule>
    <cfRule dxfId="0" operator="greaterThanOrEqual" priority="116" type="cellIs">
      <formula>0</formula>
    </cfRule>
  </conditionalFormatting>
  <conditionalFormatting sqref="AQ202">
    <cfRule dxfId="1" operator="lessThan" priority="109" type="cellIs">
      <formula>0</formula>
    </cfRule>
    <cfRule dxfId="0" operator="greaterThanOrEqual" priority="110" type="cellIs">
      <formula>0</formula>
    </cfRule>
  </conditionalFormatting>
  <conditionalFormatting sqref="L202">
    <cfRule dxfId="0" operator="lessThanOrEqual" priority="107" type="cellIs">
      <formula>0</formula>
    </cfRule>
    <cfRule dxfId="1" operator="greaterThan" priority="108" type="cellIs">
      <formula>0</formula>
    </cfRule>
  </conditionalFormatting>
  <conditionalFormatting sqref="T202">
    <cfRule dxfId="1" operator="lessThan" priority="105" type="cellIs">
      <formula>0</formula>
    </cfRule>
    <cfRule dxfId="0" operator="greaterThanOrEqual" priority="106" type="cellIs">
      <formula>0</formula>
    </cfRule>
  </conditionalFormatting>
  <conditionalFormatting sqref="X202">
    <cfRule dxfId="1" operator="lessThan" priority="103" type="cellIs">
      <formula>0</formula>
    </cfRule>
    <cfRule dxfId="0" operator="greaterThanOrEqual" priority="104" type="cellIs">
      <formula>0</formula>
    </cfRule>
  </conditionalFormatting>
  <conditionalFormatting sqref="AB202">
    <cfRule dxfId="1" operator="lessThan" priority="101" type="cellIs">
      <formula>0</formula>
    </cfRule>
    <cfRule dxfId="0" operator="greaterThanOrEqual" priority="102" type="cellIs">
      <formula>0</formula>
    </cfRule>
  </conditionalFormatting>
  <conditionalFormatting sqref="AF202">
    <cfRule dxfId="1" operator="lessThan" priority="99" type="cellIs">
      <formula>0</formula>
    </cfRule>
    <cfRule dxfId="0" operator="greaterThanOrEqual" priority="100" type="cellIs">
      <formula>0</formula>
    </cfRule>
  </conditionalFormatting>
  <conditionalFormatting sqref="P202">
    <cfRule dxfId="1" operator="lessThan" priority="97" type="cellIs">
      <formula>0</formula>
    </cfRule>
    <cfRule dxfId="0" operator="greaterThanOrEqual" priority="98" type="cellIs">
      <formula>0</formula>
    </cfRule>
  </conditionalFormatting>
  <conditionalFormatting sqref="AJ202">
    <cfRule dxfId="1" operator="lessThan" priority="95" type="cellIs">
      <formula>0</formula>
    </cfRule>
    <cfRule dxfId="0" operator="greaterThanOrEqual" priority="96" type="cellIs">
      <formula>0</formula>
    </cfRule>
  </conditionalFormatting>
  <conditionalFormatting sqref="AR202">
    <cfRule dxfId="1" operator="lessThan" priority="93" type="cellIs">
      <formula>0</formula>
    </cfRule>
    <cfRule dxfId="0" operator="greaterThanOrEqual" priority="94" type="cellIs">
      <formula>0</formula>
    </cfRule>
  </conditionalFormatting>
  <conditionalFormatting sqref="AA202">
    <cfRule dxfId="1" operator="lessThan" priority="91" type="cellIs">
      <formula>0</formula>
    </cfRule>
    <cfRule dxfId="0" operator="greaterThanOrEqual" priority="92" type="cellIs">
      <formula>0</formula>
    </cfRule>
  </conditionalFormatting>
  <conditionalFormatting sqref="AE202">
    <cfRule dxfId="1" operator="lessThan" priority="89" type="cellIs">
      <formula>0</formula>
    </cfRule>
    <cfRule dxfId="0" operator="greaterThanOrEqual" priority="90" type="cellIs">
      <formula>0</formula>
    </cfRule>
  </conditionalFormatting>
  <conditionalFormatting sqref="AI202">
    <cfRule dxfId="1" operator="lessThan" priority="87" type="cellIs">
      <formula>0</formula>
    </cfRule>
    <cfRule dxfId="0" operator="greaterThanOrEqual" priority="88" type="cellIs">
      <formula>0</formula>
    </cfRule>
  </conditionalFormatting>
  <conditionalFormatting sqref="AN202">
    <cfRule dxfId="1" operator="lessThan" priority="83" type="cellIs">
      <formula>0</formula>
    </cfRule>
    <cfRule dxfId="0" operator="greaterThanOrEqual" priority="84" type="cellIs">
      <formula>0</formula>
    </cfRule>
  </conditionalFormatting>
  <conditionalFormatting sqref="H202">
    <cfRule dxfId="1" operator="lessThan" priority="79" type="cellIs">
      <formula>0</formula>
    </cfRule>
    <cfRule dxfId="0" operator="greaterThanOrEqual" priority="80" type="cellIs">
      <formula>0</formula>
    </cfRule>
  </conditionalFormatting>
  <conditionalFormatting sqref="G202">
    <cfRule dxfId="1" operator="lessThan" priority="81" type="cellIs">
      <formula>0</formula>
    </cfRule>
    <cfRule dxfId="0" operator="greaterThanOrEqual" priority="82" type="cellIs">
      <formula>0</formula>
    </cfRule>
  </conditionalFormatting>
  <conditionalFormatting sqref="S206 W206">
    <cfRule dxfId="1" operator="lessThan" priority="35" type="cellIs">
      <formula>0</formula>
    </cfRule>
    <cfRule dxfId="0" operator="greaterThanOrEqual" priority="36" type="cellIs">
      <formula>0</formula>
    </cfRule>
  </conditionalFormatting>
  <conditionalFormatting sqref="K206">
    <cfRule dxfId="0" operator="lessThanOrEqual" priority="37" type="cellIs">
      <formula>0</formula>
    </cfRule>
    <cfRule dxfId="1" operator="greaterThan" priority="38" type="cellIs">
      <formula>0</formula>
    </cfRule>
  </conditionalFormatting>
  <conditionalFormatting sqref="O206">
    <cfRule dxfId="1" operator="lessThan" priority="39" type="cellIs">
      <formula>0</formula>
    </cfRule>
    <cfRule dxfId="0" operator="greaterThanOrEqual" priority="40" type="cellIs">
      <formula>0</formula>
    </cfRule>
  </conditionalFormatting>
  <conditionalFormatting sqref="AQ206">
    <cfRule dxfId="1" operator="lessThan" priority="33" type="cellIs">
      <formula>0</formula>
    </cfRule>
    <cfRule dxfId="0" operator="greaterThanOrEqual" priority="34" type="cellIs">
      <formula>0</formula>
    </cfRule>
  </conditionalFormatting>
  <conditionalFormatting sqref="L206">
    <cfRule dxfId="0" operator="lessThanOrEqual" priority="31" type="cellIs">
      <formula>0</formula>
    </cfRule>
    <cfRule dxfId="1" operator="greaterThan" priority="32" type="cellIs">
      <formula>0</formula>
    </cfRule>
  </conditionalFormatting>
  <conditionalFormatting sqref="T206">
    <cfRule dxfId="1" operator="lessThan" priority="29" type="cellIs">
      <formula>0</formula>
    </cfRule>
    <cfRule dxfId="0" operator="greaterThanOrEqual" priority="30" type="cellIs">
      <formula>0</formula>
    </cfRule>
  </conditionalFormatting>
  <conditionalFormatting sqref="X206">
    <cfRule dxfId="1" operator="lessThan" priority="27" type="cellIs">
      <formula>0</formula>
    </cfRule>
    <cfRule dxfId="0" operator="greaterThanOrEqual" priority="28" type="cellIs">
      <formula>0</formula>
    </cfRule>
  </conditionalFormatting>
  <conditionalFormatting sqref="AB206">
    <cfRule dxfId="1" operator="lessThan" priority="25" type="cellIs">
      <formula>0</formula>
    </cfRule>
    <cfRule dxfId="0" operator="greaterThanOrEqual" priority="26" type="cellIs">
      <formula>0</formula>
    </cfRule>
  </conditionalFormatting>
  <conditionalFormatting sqref="AF206">
    <cfRule dxfId="1" operator="lessThan" priority="23" type="cellIs">
      <formula>0</formula>
    </cfRule>
    <cfRule dxfId="0" operator="greaterThanOrEqual" priority="24" type="cellIs">
      <formula>0</formula>
    </cfRule>
  </conditionalFormatting>
  <conditionalFormatting sqref="P206">
    <cfRule dxfId="1" operator="lessThan" priority="21" type="cellIs">
      <formula>0</formula>
    </cfRule>
    <cfRule dxfId="0" operator="greaterThanOrEqual" priority="22" type="cellIs">
      <formula>0</formula>
    </cfRule>
  </conditionalFormatting>
  <conditionalFormatting sqref="AJ206">
    <cfRule dxfId="1" operator="lessThan" priority="19" type="cellIs">
      <formula>0</formula>
    </cfRule>
    <cfRule dxfId="0" operator="greaterThanOrEqual" priority="20" type="cellIs">
      <formula>0</formula>
    </cfRule>
  </conditionalFormatting>
  <conditionalFormatting sqref="AR206">
    <cfRule dxfId="1" operator="lessThan" priority="17" type="cellIs">
      <formula>0</formula>
    </cfRule>
    <cfRule dxfId="0" operator="greaterThanOrEqual" priority="18" type="cellIs">
      <formula>0</formula>
    </cfRule>
  </conditionalFormatting>
  <conditionalFormatting sqref="AA206">
    <cfRule dxfId="1" operator="lessThan" priority="15" type="cellIs">
      <formula>0</formula>
    </cfRule>
    <cfRule dxfId="0" operator="greaterThanOrEqual" priority="16" type="cellIs">
      <formula>0</formula>
    </cfRule>
  </conditionalFormatting>
  <conditionalFormatting sqref="AE206">
    <cfRule dxfId="1" operator="lessThan" priority="13" type="cellIs">
      <formula>0</formula>
    </cfRule>
    <cfRule dxfId="0" operator="greaterThanOrEqual" priority="14" type="cellIs">
      <formula>0</formula>
    </cfRule>
  </conditionalFormatting>
  <conditionalFormatting sqref="AI206">
    <cfRule dxfId="1" operator="lessThan" priority="11" type="cellIs">
      <formula>0</formula>
    </cfRule>
    <cfRule dxfId="0" operator="greaterThanOrEqual" priority="12" type="cellIs">
      <formula>0</formula>
    </cfRule>
  </conditionalFormatting>
  <conditionalFormatting sqref="AN206">
    <cfRule dxfId="1" operator="lessThan" priority="7" type="cellIs">
      <formula>0</formula>
    </cfRule>
    <cfRule dxfId="0" operator="greaterThanOrEqual" priority="8" type="cellIs">
      <formula>0</formula>
    </cfRule>
  </conditionalFormatting>
  <conditionalFormatting sqref="H206">
    <cfRule dxfId="1" operator="lessThan" priority="3" type="cellIs">
      <formula>0</formula>
    </cfRule>
    <cfRule dxfId="0" operator="greaterThanOrEqual" priority="4" type="cellIs">
      <formula>0</formula>
    </cfRule>
  </conditionalFormatting>
  <conditionalFormatting sqref="G206">
    <cfRule dxfId="1" operator="lessThan" priority="5" type="cellIs">
      <formula>0</formula>
    </cfRule>
    <cfRule dxfId="0" operator="greaterThanOrEqual" priority="6" type="cellIs">
      <formula>0</formula>
    </cfRule>
  </conditionalFormatting>
  <conditionalFormatting sqref="AM1:AM1048576">
    <cfRule dxfId="663" operator="lessThan" priority="1" type="cellIs">
      <formula>0</formula>
    </cfRule>
    <cfRule dxfId="662" operator="greaterThan" priority="2" type="cellIs">
      <formula>0</formula>
    </cfRule>
  </conditionalFormatting>
  <pageMargins bottom="1" footer="0.5" header="0.5" left="0.75" right="0.75" top="1"/>
  <pageSetup horizontalDpi="4294967292" orientation="portrait" verticalDpi="4294967292"/>
</worksheet>
</file>

<file path=xl/worksheets/sheet6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AV1000"/>
  <sheetViews>
    <sheetView topLeftCell="B1" workbookViewId="0">
      <pane activePane="bottomLeft" state="frozen" topLeftCell="A29" ySplit="1"/>
      <selection activeCell="L49" pane="bottomLeft" sqref="L49"/>
    </sheetView>
  </sheetViews>
  <sheetFormatPr baseColWidth="8" customHeight="1" defaultColWidth="13.5" defaultRowHeight="15" outlineLevelCol="1"/>
  <cols>
    <col customWidth="1" max="1" min="1" style="452" width="12.125"/>
    <col customWidth="1" max="2" min="2" style="452" width="7.375"/>
    <col customWidth="1" max="3" min="3" style="452" width="11.375"/>
    <col bestFit="1" customWidth="1" max="4" min="4" style="452" width="14"/>
    <col bestFit="1" customWidth="1" max="5" min="5" outlineLevel="1" style="452" width="14"/>
    <col collapsed="1" customWidth="1" max="6" min="6" outlineLevel="1" style="452" width="6.125"/>
    <col customWidth="1" max="7" min="7" style="452" width="9"/>
    <col customWidth="1" max="8" min="8" style="536" width="14.125"/>
    <col customWidth="1" hidden="1" max="9" min="9" outlineLevel="1" style="452" width="14.125"/>
    <col collapsed="1" customWidth="1" hidden="1" max="10" min="10" outlineLevel="1" style="452" width="8.625"/>
    <col collapsed="1" customWidth="1" max="11" min="11" style="452" width="8"/>
    <col customWidth="1" max="12" min="12" style="536" width="14.375"/>
    <col customWidth="1" hidden="1" max="13" min="13" outlineLevel="1" style="452" width="13"/>
    <col collapsed="1" customWidth="1" hidden="1" max="14" min="14" outlineLevel="1" style="452" width="6.125"/>
    <col collapsed="1" customWidth="1" max="15" min="15" style="452" width="6.625"/>
    <col bestFit="1" customWidth="1" max="16" min="16" style="535" width="12.375"/>
    <col customWidth="1" hidden="1" max="17" min="17" outlineLevel="1" style="535" width="12"/>
    <col collapsed="1" customWidth="1" hidden="1" max="18" min="18" outlineLevel="1" style="452" width="6.125"/>
    <col collapsed="1" customWidth="1" max="19" min="19" style="452" width="6.125"/>
    <col customWidth="1" max="20" min="20" style="535" width="10.125"/>
    <col customWidth="1" hidden="1" max="21" min="21" outlineLevel="1" style="535" width="10.875"/>
    <col collapsed="1" customWidth="1" hidden="1" max="22" min="22" outlineLevel="1" style="452" width="6.125"/>
    <col collapsed="1" customWidth="1" max="23" min="23" style="452" width="7.875"/>
    <col customWidth="1" max="24" min="24" style="452" width="10.375"/>
    <col customWidth="1" hidden="1" max="25" min="25" outlineLevel="1" style="452" width="10.875"/>
    <col collapsed="1" customWidth="1" hidden="1" max="26" min="26" outlineLevel="1" style="452" width="9.125"/>
    <col collapsed="1" customWidth="1" max="27" min="27" style="452" width="7.125"/>
    <col collapsed="1" customWidth="1" max="28" min="28" style="452" width="9"/>
    <col customWidth="1" hidden="1" max="29" min="29" outlineLevel="1" style="452" width="10.875"/>
    <col collapsed="1" customWidth="1" hidden="1" max="30" min="30" outlineLevel="1" style="452" width="6.125"/>
    <col collapsed="1" customWidth="1" max="31" min="31" style="452" width="6.125"/>
    <col customWidth="1" max="32" min="32" style="452" width="8.875"/>
    <col customWidth="1" hidden="1" max="33" min="33" outlineLevel="1" style="452" width="8.875"/>
    <col collapsed="1" customWidth="1" hidden="1" max="34" min="34" outlineLevel="1" style="452" width="6"/>
    <col collapsed="1" customWidth="1" max="35" min="35" style="452" width="6.125"/>
    <col customWidth="1" max="36" min="36" style="452" width="10"/>
    <col customWidth="1" hidden="1" max="37" min="37" outlineLevel="1" style="452" width="10"/>
    <col collapsed="1" customWidth="1" hidden="1" max="38" min="38" outlineLevel="1" style="452" width="6.125"/>
    <col collapsed="1" customWidth="1" max="39" min="39" style="452" width="6.125"/>
    <col customWidth="1" max="40" min="40" style="452" width="8.625"/>
    <col customWidth="1" hidden="1" max="41" min="41" outlineLevel="1" style="452" width="6.125"/>
    <col collapsed="1" customWidth="1" hidden="1" max="42" min="42" outlineLevel="1" style="452" width="6.125"/>
    <col collapsed="1" customWidth="1" max="43" min="43" style="452" width="7.625"/>
    <col customWidth="1" max="44" min="44" style="452" width="8.375"/>
    <col customWidth="1" hidden="1" max="45" min="45" outlineLevel="1" style="452" width="8.375"/>
    <col customWidth="1" hidden="1" max="46" min="46" outlineLevel="1" style="452" width="6.125"/>
    <col collapsed="1" customWidth="1" max="47" min="47" style="452" width="7.375"/>
    <col customWidth="1" max="48" min="48" style="452" width="43.5"/>
    <col customWidth="1" max="49" min="49" style="452" width="10.5"/>
  </cols>
  <sheetData>
    <row customFormat="1" customHeight="1" ht="31.5" r="1" s="188" spans="1:48">
      <c r="A1" s="183" t="s">
        <v>55</v>
      </c>
      <c r="B1" s="183" t="s">
        <v>61</v>
      </c>
      <c r="C1" s="183" t="s">
        <v>62</v>
      </c>
      <c r="D1" s="562" t="s">
        <v>1</v>
      </c>
      <c r="E1" s="562" t="s">
        <v>138</v>
      </c>
      <c r="F1" s="184" t="s">
        <v>64</v>
      </c>
      <c r="G1" s="184" t="s">
        <v>3</v>
      </c>
      <c r="H1" s="563" t="s">
        <v>139</v>
      </c>
      <c r="I1" s="562" t="s">
        <v>140</v>
      </c>
      <c r="J1" s="184" t="s">
        <v>64</v>
      </c>
      <c r="K1" s="184" t="s">
        <v>3</v>
      </c>
      <c r="L1" s="563" t="s">
        <v>141</v>
      </c>
      <c r="M1" s="562" t="s">
        <v>142</v>
      </c>
      <c r="N1" s="184" t="s">
        <v>64</v>
      </c>
      <c r="O1" s="184" t="s">
        <v>3</v>
      </c>
      <c r="P1" s="562" t="s">
        <v>143</v>
      </c>
      <c r="Q1" s="562" t="s">
        <v>144</v>
      </c>
      <c r="R1" s="184" t="s">
        <v>64</v>
      </c>
      <c r="S1" s="184" t="s">
        <v>3</v>
      </c>
      <c r="T1" s="562" t="s">
        <v>145</v>
      </c>
      <c r="U1" s="562" t="s">
        <v>146</v>
      </c>
      <c r="V1" s="184" t="s">
        <v>64</v>
      </c>
      <c r="W1" s="184" t="s">
        <v>3</v>
      </c>
      <c r="X1" s="563" t="s">
        <v>147</v>
      </c>
      <c r="Y1" s="563" t="s">
        <v>148</v>
      </c>
      <c r="Z1" s="184" t="s">
        <v>64</v>
      </c>
      <c r="AA1" s="184" t="s">
        <v>3</v>
      </c>
      <c r="AB1" s="563" t="s">
        <v>149</v>
      </c>
      <c r="AC1" s="563" t="s">
        <v>150</v>
      </c>
      <c r="AD1" s="184" t="s">
        <v>64</v>
      </c>
      <c r="AE1" s="184" t="s">
        <v>3</v>
      </c>
      <c r="AF1" s="564" t="s">
        <v>8</v>
      </c>
      <c r="AG1" s="564" t="s">
        <v>9</v>
      </c>
      <c r="AH1" s="184" t="s">
        <v>64</v>
      </c>
      <c r="AI1" s="184" t="s">
        <v>3</v>
      </c>
      <c r="AJ1" s="564" t="s">
        <v>10</v>
      </c>
      <c r="AK1" s="564" t="s">
        <v>11</v>
      </c>
      <c r="AL1" s="184" t="s">
        <v>64</v>
      </c>
      <c r="AM1" s="184" t="s">
        <v>3</v>
      </c>
      <c r="AN1" s="202" t="s">
        <v>12</v>
      </c>
      <c r="AO1" s="202" t="s">
        <v>13</v>
      </c>
      <c r="AP1" s="184" t="s">
        <v>64</v>
      </c>
      <c r="AQ1" s="184" t="s">
        <v>3</v>
      </c>
      <c r="AR1" s="562" t="s">
        <v>16</v>
      </c>
      <c r="AS1" s="562" t="s">
        <v>17</v>
      </c>
      <c r="AT1" s="184" t="s">
        <v>64</v>
      </c>
      <c r="AU1" s="184" t="s">
        <v>3</v>
      </c>
      <c r="AV1" s="183" t="s">
        <v>66</v>
      </c>
    </row>
    <row customHeight="1" ht="15.75" r="2" s="452" spans="1:48">
      <c r="A2" s="49" t="s">
        <v>32</v>
      </c>
      <c r="B2" s="49" t="s">
        <v>67</v>
      </c>
      <c r="C2" s="50" t="n">
        <v>42734</v>
      </c>
      <c r="D2" s="565" t="n">
        <v>23453</v>
      </c>
      <c r="E2" s="566" t="n">
        <v>5907</v>
      </c>
      <c r="F2" s="52" t="n"/>
      <c r="G2" s="52">
        <f>(D2-E2)/E2</f>
        <v/>
      </c>
      <c r="H2" s="566">
        <f>L2+P2+T2</f>
        <v/>
      </c>
      <c r="I2" s="566">
        <f>M2+Q2+U2</f>
        <v/>
      </c>
      <c r="J2" s="33" t="n"/>
      <c r="K2" s="33">
        <f>(H2-I2)/I2</f>
        <v/>
      </c>
      <c r="L2" s="566" t="n">
        <v>2333.94</v>
      </c>
      <c r="M2" s="566" t="n">
        <v>532.28</v>
      </c>
      <c r="N2" s="33" t="n"/>
      <c r="O2" s="33">
        <f>(L2-M2)/M2</f>
        <v/>
      </c>
      <c r="P2" s="566" t="n">
        <v>0</v>
      </c>
      <c r="Q2" s="566" t="n">
        <v>0</v>
      </c>
      <c r="R2" s="33" t="n"/>
      <c r="S2" s="33">
        <f>(P2-Q2)/Q2</f>
        <v/>
      </c>
      <c r="T2" s="566" t="n">
        <v>500</v>
      </c>
      <c r="U2" s="566">
        <f>2500/5</f>
        <v/>
      </c>
      <c r="V2" s="33" t="n"/>
      <c r="W2" s="33">
        <f>(T2-U2)/U2</f>
        <v/>
      </c>
      <c r="X2" s="567">
        <f>D2/(L2+P2)</f>
        <v/>
      </c>
      <c r="Y2" s="567">
        <f>E2/(M2+Q2)</f>
        <v/>
      </c>
      <c r="Z2" s="52" t="n"/>
      <c r="AA2" s="52">
        <f>(X2-Y2)/Y2</f>
        <v/>
      </c>
      <c r="AB2" s="567">
        <f>D2/(L2+P2+T2)</f>
        <v/>
      </c>
      <c r="AC2" s="567">
        <f>E2/(M2+Q2+U2)</f>
        <v/>
      </c>
      <c r="AD2" s="52" t="n"/>
      <c r="AE2" s="52">
        <f>(AB2-AC2)/AC2</f>
        <v/>
      </c>
      <c r="AF2" s="568" t="n">
        <v>3905</v>
      </c>
      <c r="AG2" s="568" t="n">
        <v>1365</v>
      </c>
      <c r="AH2" s="52" t="n"/>
      <c r="AI2" s="52">
        <f>(AF2-AG2)/AG2</f>
        <v/>
      </c>
      <c r="AJ2" s="568" t="n">
        <v>210</v>
      </c>
      <c r="AK2" s="568" t="n">
        <v>59</v>
      </c>
      <c r="AL2" s="52" t="n"/>
      <c r="AM2" s="52">
        <f>(AJ2-AK2)/AK2</f>
        <v/>
      </c>
      <c r="AN2" s="89">
        <f>AJ2/AF2</f>
        <v/>
      </c>
      <c r="AO2" s="89">
        <f>AK2/AG2</f>
        <v/>
      </c>
      <c r="AP2" s="52" t="n"/>
      <c r="AQ2" s="52">
        <f>(AN2-AO2)/AO2</f>
        <v/>
      </c>
      <c r="AR2" s="566">
        <f>D2/AJ2</f>
        <v/>
      </c>
      <c r="AS2" s="566">
        <f>E2/AK2</f>
        <v/>
      </c>
      <c r="AT2" s="52" t="n"/>
      <c r="AU2" s="52">
        <f>(AR2-AS2)/AS2</f>
        <v/>
      </c>
    </row>
    <row customHeight="1" ht="15.75" r="3" s="452" spans="1:48">
      <c r="A3" s="49" t="s">
        <v>32</v>
      </c>
      <c r="B3" s="49" t="s">
        <v>68</v>
      </c>
      <c r="C3" s="50">
        <f>C2+7</f>
        <v/>
      </c>
      <c r="D3" s="565" t="n">
        <v>9658</v>
      </c>
      <c r="E3" s="566" t="n">
        <v>1645</v>
      </c>
      <c r="F3" s="52">
        <f>(D3-D2)/D2</f>
        <v/>
      </c>
      <c r="G3" s="52">
        <f>(D3-E3)/E3</f>
        <v/>
      </c>
      <c r="H3" s="566">
        <f>L3+P3+T3</f>
        <v/>
      </c>
      <c r="I3" s="566">
        <f>M3+Q3+U3</f>
        <v/>
      </c>
      <c r="J3" s="282">
        <f>(H3-H2)/H2</f>
        <v/>
      </c>
      <c r="K3" s="282">
        <f>(H3-I3)/I3</f>
        <v/>
      </c>
      <c r="L3" s="566" t="n">
        <v>693.67</v>
      </c>
      <c r="M3" s="566" t="n">
        <v>155.18</v>
      </c>
      <c r="N3" s="282">
        <f>(L3-L2)/L2</f>
        <v/>
      </c>
      <c r="O3" s="282">
        <f>(L3-M3)/M3</f>
        <v/>
      </c>
      <c r="P3" s="566" t="n">
        <v>0</v>
      </c>
      <c r="Q3" s="566" t="n">
        <v>0</v>
      </c>
      <c r="R3" s="282">
        <f>(P3-P2)/P2</f>
        <v/>
      </c>
      <c r="S3" s="282">
        <f>(P3-Q3)/Q3</f>
        <v/>
      </c>
      <c r="T3" s="566" t="n">
        <v>500</v>
      </c>
      <c r="U3" s="566">
        <f>2500/5</f>
        <v/>
      </c>
      <c r="V3" s="282">
        <f>(T3-T2)/T2</f>
        <v/>
      </c>
      <c r="W3" s="282">
        <f>(T3-U3)/U3</f>
        <v/>
      </c>
      <c r="X3" s="567">
        <f>D3/(L3+P3)</f>
        <v/>
      </c>
      <c r="Y3" s="567">
        <f>E3/(M3+Q3)</f>
        <v/>
      </c>
      <c r="Z3" s="52">
        <f>(X3-X2)/X2</f>
        <v/>
      </c>
      <c r="AA3" s="52">
        <f>(X3-Y3)/Y3</f>
        <v/>
      </c>
      <c r="AB3" s="567">
        <f>D3/(L3+P3+T3)</f>
        <v/>
      </c>
      <c r="AC3" s="567">
        <f>E3/(M3+Q3+U3)</f>
        <v/>
      </c>
      <c r="AD3" s="52">
        <f>(AB3-AB2)/AB2</f>
        <v/>
      </c>
      <c r="AE3" s="52">
        <f>(AB3-AC3)/AC3</f>
        <v/>
      </c>
      <c r="AF3" s="568" t="n">
        <v>4133</v>
      </c>
      <c r="AG3" s="568" t="n">
        <v>819</v>
      </c>
      <c r="AH3" s="52">
        <f>(AF3-AF2)/AF2</f>
        <v/>
      </c>
      <c r="AI3" s="52">
        <f>(AF3-AG3)/AG3</f>
        <v/>
      </c>
      <c r="AJ3" s="568" t="n">
        <v>96</v>
      </c>
      <c r="AK3" s="568" t="n">
        <v>18</v>
      </c>
      <c r="AL3" s="52">
        <f>(AJ3-AJ2)/AJ2</f>
        <v/>
      </c>
      <c r="AM3" s="52">
        <f>(AJ3-AK3)/AK3</f>
        <v/>
      </c>
      <c r="AN3" s="569">
        <f>AJ3/AF3</f>
        <v/>
      </c>
      <c r="AO3" s="89">
        <f>AK3/AG3</f>
        <v/>
      </c>
      <c r="AP3" s="52">
        <f>(AN3-AN2)/AN2</f>
        <v/>
      </c>
      <c r="AQ3" s="52">
        <f>(AN3-AO3)/AO3</f>
        <v/>
      </c>
      <c r="AR3" s="566">
        <f>D3/AJ3</f>
        <v/>
      </c>
      <c r="AS3" s="566">
        <f>E3/AK3</f>
        <v/>
      </c>
      <c r="AT3" s="52">
        <f>(AR3-AR2)/AR2</f>
        <v/>
      </c>
      <c r="AU3" s="52">
        <f>(AR3-AS3)/AS3</f>
        <v/>
      </c>
      <c r="AV3" t="s">
        <v>151</v>
      </c>
    </row>
    <row customHeight="1" ht="15.75" r="4" s="452" spans="1:48">
      <c r="A4" s="49" t="s">
        <v>32</v>
      </c>
      <c r="B4" s="49" t="s">
        <v>69</v>
      </c>
      <c r="C4" s="50">
        <f>C3+7</f>
        <v/>
      </c>
      <c r="D4" s="565" t="n">
        <v>21813</v>
      </c>
      <c r="E4" s="566" t="n">
        <v>1958</v>
      </c>
      <c r="F4" s="52">
        <f>(D4-D3)/D3</f>
        <v/>
      </c>
      <c r="G4" s="52">
        <f>(D4-E4)/E4</f>
        <v/>
      </c>
      <c r="H4" s="566">
        <f>L4+P4+T4</f>
        <v/>
      </c>
      <c r="I4" s="566">
        <f>M4+Q4+U4</f>
        <v/>
      </c>
      <c r="J4" s="282">
        <f>(H4-H3)/H3</f>
        <v/>
      </c>
      <c r="K4" s="282">
        <f>(H4-I4)/I4</f>
        <v/>
      </c>
      <c r="L4" s="566" t="n">
        <v>1545.77</v>
      </c>
      <c r="M4" s="566" t="n">
        <v>189.94</v>
      </c>
      <c r="N4" s="282">
        <f>(L4-L3)/L3</f>
        <v/>
      </c>
      <c r="O4" s="282">
        <f>(L4-M4)/M4</f>
        <v/>
      </c>
      <c r="P4" s="566" t="n">
        <v>0</v>
      </c>
      <c r="Q4" s="566" t="n">
        <v>0</v>
      </c>
      <c r="R4" s="282">
        <f>(P4-P3)/P3</f>
        <v/>
      </c>
      <c r="S4" s="282">
        <f>(P4-Q4)/Q4</f>
        <v/>
      </c>
      <c r="T4" s="566" t="n">
        <v>500</v>
      </c>
      <c r="U4" s="566">
        <f>2500/5</f>
        <v/>
      </c>
      <c r="V4" s="282">
        <f>(T4-T3)/T3</f>
        <v/>
      </c>
      <c r="W4" s="282">
        <f>(T4-U4)/U4</f>
        <v/>
      </c>
      <c r="X4" s="567">
        <f>D4/(L4+P4)</f>
        <v/>
      </c>
      <c r="Y4" s="567">
        <f>E4/(M4+Q4)</f>
        <v/>
      </c>
      <c r="Z4" s="52">
        <f>(X4-X3)/X3</f>
        <v/>
      </c>
      <c r="AA4" s="52">
        <f>(X4-Y4)/Y4</f>
        <v/>
      </c>
      <c r="AB4" s="567">
        <f>D4/(L4+P4+T4)</f>
        <v/>
      </c>
      <c r="AC4" s="567">
        <f>E4/(M4+Q4+U4)</f>
        <v/>
      </c>
      <c r="AD4" s="52">
        <f>(AB4-AB3)/AB3</f>
        <v/>
      </c>
      <c r="AE4" s="52">
        <f>(AB4-AC4)/AC4</f>
        <v/>
      </c>
      <c r="AF4" s="568" t="n">
        <v>4179</v>
      </c>
      <c r="AG4" s="568" t="n">
        <v>1288</v>
      </c>
      <c r="AH4" s="52">
        <f>(AF4-AF3)/AF3</f>
        <v/>
      </c>
      <c r="AI4" s="52">
        <f>(AF4-AG4)/AG4</f>
        <v/>
      </c>
      <c r="AJ4" s="568" t="n">
        <v>215</v>
      </c>
      <c r="AK4" s="568" t="n">
        <v>23</v>
      </c>
      <c r="AL4" s="52">
        <f>(AJ4-AJ3)/AJ3</f>
        <v/>
      </c>
      <c r="AM4" s="52">
        <f>(AJ4-AK4)/AK4</f>
        <v/>
      </c>
      <c r="AN4" s="569">
        <f>AJ4/AF4</f>
        <v/>
      </c>
      <c r="AO4" s="89">
        <f>AK4/AG4</f>
        <v/>
      </c>
      <c r="AP4" s="52">
        <f>(AN4-AN3)/AN3</f>
        <v/>
      </c>
      <c r="AQ4" s="52">
        <f>(AN4-AO4)/AO4</f>
        <v/>
      </c>
      <c r="AR4" s="566">
        <f>D4/AJ4</f>
        <v/>
      </c>
      <c r="AS4" s="566">
        <f>E4/AK4</f>
        <v/>
      </c>
      <c r="AT4" s="52">
        <f>(AR4-AR3)/AR3</f>
        <v/>
      </c>
      <c r="AU4" s="52">
        <f>(AR4-AS4)/AS4</f>
        <v/>
      </c>
    </row>
    <row customHeight="1" ht="15.75" r="5" s="452" spans="1:48">
      <c r="A5" s="69" t="s">
        <v>32</v>
      </c>
      <c r="B5" s="69" t="s">
        <v>71</v>
      </c>
      <c r="C5" s="70">
        <f>C4+7</f>
        <v/>
      </c>
      <c r="D5" s="570" t="n">
        <v>22915</v>
      </c>
      <c r="E5" s="571" t="n">
        <v>12016</v>
      </c>
      <c r="F5" s="73">
        <f>(D5-D4)/D4</f>
        <v/>
      </c>
      <c r="G5" s="73">
        <f>(D5-E5)/E5</f>
        <v/>
      </c>
      <c r="H5" s="571">
        <f>L5+P5+T5</f>
        <v/>
      </c>
      <c r="I5" s="571">
        <f>M5+Q5+U5</f>
        <v/>
      </c>
      <c r="J5" s="240">
        <f>(H5-H4)/H4</f>
        <v/>
      </c>
      <c r="K5" s="33">
        <f>(H5-I5)/I5</f>
        <v/>
      </c>
      <c r="L5" s="571" t="n">
        <v>1648</v>
      </c>
      <c r="M5" s="571" t="n">
        <v>1249.06</v>
      </c>
      <c r="N5" s="33">
        <f>(L5-L4)/L4</f>
        <v/>
      </c>
      <c r="O5" s="33">
        <f>(L5-M5)/M5</f>
        <v/>
      </c>
      <c r="P5" s="571" t="n">
        <v>0</v>
      </c>
      <c r="Q5" s="571" t="n">
        <v>0</v>
      </c>
      <c r="R5" s="33">
        <f>(P5-P4)/P4</f>
        <v/>
      </c>
      <c r="S5" s="33">
        <f>(P5-Q5)/Q5</f>
        <v/>
      </c>
      <c r="T5" s="571" t="n">
        <v>500</v>
      </c>
      <c r="U5" s="571">
        <f>2500/5</f>
        <v/>
      </c>
      <c r="V5" s="33">
        <f>(T5-T4)/T4</f>
        <v/>
      </c>
      <c r="W5" s="33">
        <f>(T5-U5)/U5</f>
        <v/>
      </c>
      <c r="X5" s="572">
        <f>D5/(L5+P5)</f>
        <v/>
      </c>
      <c r="Y5" s="572">
        <f>E5/(M5+Q5)</f>
        <v/>
      </c>
      <c r="Z5" s="73">
        <f>(X5-X4)/X4</f>
        <v/>
      </c>
      <c r="AA5" s="73">
        <f>(X5-Y5)/Y5</f>
        <v/>
      </c>
      <c r="AB5" s="572">
        <f>D5/(L5+P5+T5)</f>
        <v/>
      </c>
      <c r="AC5" s="572">
        <f>E5/(M5+Q5+U5)</f>
        <v/>
      </c>
      <c r="AD5" s="73">
        <f>(AB5-AB4)/AB4</f>
        <v/>
      </c>
      <c r="AE5" s="73">
        <f>(AB5-AC5)/AC5</f>
        <v/>
      </c>
      <c r="AF5" s="573" t="n">
        <v>2102</v>
      </c>
      <c r="AG5" s="573" t="n">
        <v>2179</v>
      </c>
      <c r="AH5" s="73">
        <f>(AF5-AF4)/AF4</f>
        <v/>
      </c>
      <c r="AI5" s="73">
        <f>(AF5-AG5)/AG5</f>
        <v/>
      </c>
      <c r="AJ5" s="573" t="n">
        <v>221</v>
      </c>
      <c r="AK5" s="573" t="n">
        <v>102</v>
      </c>
      <c r="AL5" s="73">
        <f>(AJ5-AJ4)/AJ4</f>
        <v/>
      </c>
      <c r="AM5" s="73">
        <f>(AJ5-AK5)/AK5</f>
        <v/>
      </c>
      <c r="AN5" s="574">
        <f>AJ5/AF5</f>
        <v/>
      </c>
      <c r="AO5" s="89">
        <f>AK5/AG5</f>
        <v/>
      </c>
      <c r="AP5" s="73">
        <f>(AN5-AN4)/AN4</f>
        <v/>
      </c>
      <c r="AQ5" s="73">
        <f>(AN5-AO5)/AO5</f>
        <v/>
      </c>
      <c r="AR5" s="571">
        <f>D5/AJ5</f>
        <v/>
      </c>
      <c r="AS5" s="571">
        <f>E5/AK5</f>
        <v/>
      </c>
      <c r="AT5" s="73">
        <f>(AR5-AR4)/AR4</f>
        <v/>
      </c>
      <c r="AU5" s="73">
        <f>(AR5-AS5)/AS5</f>
        <v/>
      </c>
      <c r="AV5" s="357" t="n"/>
    </row>
    <row customHeight="1" ht="15.75" r="6" s="452" spans="1:48">
      <c r="A6" s="49" t="s">
        <v>41</v>
      </c>
      <c r="B6" s="49" t="s">
        <v>73</v>
      </c>
      <c r="C6" s="50">
        <f>C5+7</f>
        <v/>
      </c>
      <c r="D6" s="565" t="n">
        <v>27165</v>
      </c>
      <c r="E6" s="566" t="n">
        <v>11986</v>
      </c>
      <c r="F6" s="52">
        <f>(D6-D5)/D5</f>
        <v/>
      </c>
      <c r="G6" s="52">
        <f>(D6-E6)/E6</f>
        <v/>
      </c>
      <c r="H6" s="566">
        <f>L6+P6+T6</f>
        <v/>
      </c>
      <c r="I6" s="566">
        <f>M6+Q6+U6</f>
        <v/>
      </c>
      <c r="J6" s="282">
        <f>(H6-H5)/H5</f>
        <v/>
      </c>
      <c r="K6" s="282">
        <f>(H6-I6)/I6</f>
        <v/>
      </c>
      <c r="L6" s="566" t="n">
        <v>1740.12</v>
      </c>
      <c r="M6" s="566" t="n">
        <v>1239.02</v>
      </c>
      <c r="N6" s="282">
        <f>(L6-L5)/L5</f>
        <v/>
      </c>
      <c r="O6" s="282">
        <f>(L6-M6)/M6</f>
        <v/>
      </c>
      <c r="P6" s="566" t="n">
        <v>0</v>
      </c>
      <c r="Q6" s="566" t="n">
        <v>0</v>
      </c>
      <c r="R6" s="282">
        <f>(P6-P5)/P5</f>
        <v/>
      </c>
      <c r="S6" s="282">
        <f>(P6-Q6)/Q6</f>
        <v/>
      </c>
      <c r="T6" s="566" t="n">
        <v>500</v>
      </c>
      <c r="U6" s="566">
        <f>2500/5</f>
        <v/>
      </c>
      <c r="V6" s="282">
        <f>(T6-T5)/T5</f>
        <v/>
      </c>
      <c r="W6" s="282">
        <f>(T6-U6)/U6</f>
        <v/>
      </c>
      <c r="X6" s="567">
        <f>D6/(L6+P6)</f>
        <v/>
      </c>
      <c r="Y6" s="567">
        <f>E6/(M6+Q6)</f>
        <v/>
      </c>
      <c r="Z6" s="52">
        <f>(X6-X5)/X5</f>
        <v/>
      </c>
      <c r="AA6" s="52">
        <f>(X6-Y6)/Y6</f>
        <v/>
      </c>
      <c r="AB6" s="567">
        <f>D6/(L6+P6+T6)</f>
        <v/>
      </c>
      <c r="AC6" s="567">
        <f>E6/(M6+Q6+U6)</f>
        <v/>
      </c>
      <c r="AD6" s="52">
        <f>(AB6-AB5)/AB5</f>
        <v/>
      </c>
      <c r="AE6" s="52">
        <f>(AB6-AC6)/AC6</f>
        <v/>
      </c>
      <c r="AF6" s="568" t="n">
        <v>3825</v>
      </c>
      <c r="AG6" s="568" t="n">
        <v>2088</v>
      </c>
      <c r="AH6" s="52">
        <f>(AF6-AF5)/AF5</f>
        <v/>
      </c>
      <c r="AI6" s="52">
        <f>(AF6-AG6)/AG6</f>
        <v/>
      </c>
      <c r="AJ6" s="568" t="n">
        <v>324</v>
      </c>
      <c r="AK6" s="568" t="n">
        <v>139</v>
      </c>
      <c r="AL6" s="52">
        <f>(AJ6-AJ5)/AJ5</f>
        <v/>
      </c>
      <c r="AM6" s="52">
        <f>(AJ6-AK6)/AK6</f>
        <v/>
      </c>
      <c r="AN6" s="569">
        <f>AJ6/AF6</f>
        <v/>
      </c>
      <c r="AO6" s="89">
        <f>AK6/AG6</f>
        <v/>
      </c>
      <c r="AP6" s="52">
        <f>(AN6-AN5)/AN5</f>
        <v/>
      </c>
      <c r="AQ6" s="52">
        <f>(AN6-AO6)/AO6</f>
        <v/>
      </c>
      <c r="AR6" s="566">
        <f>D6/AJ6</f>
        <v/>
      </c>
      <c r="AS6" s="566">
        <f>E6/AK6</f>
        <v/>
      </c>
      <c r="AT6" s="52">
        <f>(AR6-AR5)/AR5</f>
        <v/>
      </c>
      <c r="AU6" s="52">
        <f>(AR6-AS6)/AS6</f>
        <v/>
      </c>
    </row>
    <row customHeight="1" ht="15.75" r="7" s="452" spans="1:48">
      <c r="A7" s="49" t="s">
        <v>41</v>
      </c>
      <c r="B7" s="49" t="s">
        <v>75</v>
      </c>
      <c r="C7" s="50">
        <f>C6+7</f>
        <v/>
      </c>
      <c r="D7" s="565" t="n">
        <v>19784</v>
      </c>
      <c r="E7" s="566" t="n">
        <v>14851</v>
      </c>
      <c r="F7" s="52">
        <f>(D7-D6)/D6</f>
        <v/>
      </c>
      <c r="G7" s="52">
        <f>(D7-E7)/E7</f>
        <v/>
      </c>
      <c r="H7" s="566">
        <f>L7+P7+T7</f>
        <v/>
      </c>
      <c r="I7" s="566">
        <f>M7+Q7+U7</f>
        <v/>
      </c>
      <c r="J7" s="282">
        <f>(H7-H6)/H6</f>
        <v/>
      </c>
      <c r="K7" s="282">
        <f>(H7-I7)/I7</f>
        <v/>
      </c>
      <c r="L7" s="566" t="n">
        <v>1339.28</v>
      </c>
      <c r="M7" s="566">
        <f>1783.96</f>
        <v/>
      </c>
      <c r="N7" s="282">
        <f>(L7-L6)/L6</f>
        <v/>
      </c>
      <c r="O7" s="282">
        <f>(L7-M7)/M7</f>
        <v/>
      </c>
      <c r="P7" s="566" t="n">
        <v>0</v>
      </c>
      <c r="Q7" s="566">
        <f>900*1.4</f>
        <v/>
      </c>
      <c r="R7" s="282">
        <f>(P7-P6)/P6</f>
        <v/>
      </c>
      <c r="S7" s="282">
        <f>(P7-Q7)/Q7</f>
        <v/>
      </c>
      <c r="T7" s="566" t="n">
        <v>625</v>
      </c>
      <c r="U7" s="566">
        <f>2500/4</f>
        <v/>
      </c>
      <c r="V7" s="282">
        <f>(T7-T6)/T6</f>
        <v/>
      </c>
      <c r="W7" s="282">
        <f>(T7-U7)/U7</f>
        <v/>
      </c>
      <c r="X7" s="567">
        <f>D7/(L7+P7)</f>
        <v/>
      </c>
      <c r="Y7" s="567">
        <f>E7/(M7+Q7)</f>
        <v/>
      </c>
      <c r="Z7" s="52">
        <f>(X7-X6)/X6</f>
        <v/>
      </c>
      <c r="AA7" s="52">
        <f>(X7-Y7)/Y7</f>
        <v/>
      </c>
      <c r="AB7" s="567">
        <f>D7/(L7+P7+T7)</f>
        <v/>
      </c>
      <c r="AC7" s="567">
        <f>E7/(M7+Q7+U7)</f>
        <v/>
      </c>
      <c r="AD7" s="52">
        <f>(AB7-AB6)/AB6</f>
        <v/>
      </c>
      <c r="AE7" s="52">
        <f>(AB7-AC7)/AC7</f>
        <v/>
      </c>
      <c r="AF7" s="568" t="n">
        <v>3591</v>
      </c>
      <c r="AG7" s="568" t="n">
        <v>2149</v>
      </c>
      <c r="AH7" s="52">
        <f>(AF7-AF6)/AF6</f>
        <v/>
      </c>
      <c r="AI7" s="52">
        <f>(AF7-AG7)/AG7</f>
        <v/>
      </c>
      <c r="AJ7" s="568" t="n">
        <v>232</v>
      </c>
      <c r="AK7" s="568" t="n">
        <v>126</v>
      </c>
      <c r="AL7" s="52">
        <f>(AJ7-AJ6)/AJ6</f>
        <v/>
      </c>
      <c r="AM7" s="52">
        <f>(AJ7-AK7)/AK7</f>
        <v/>
      </c>
      <c r="AN7" s="569">
        <f>AJ7/AF7</f>
        <v/>
      </c>
      <c r="AO7" s="89">
        <f>AK7/AG7</f>
        <v/>
      </c>
      <c r="AP7" s="52">
        <f>(AN7-AN6)/AN6</f>
        <v/>
      </c>
      <c r="AQ7" s="52">
        <f>(AN7-AO7)/AO7</f>
        <v/>
      </c>
      <c r="AR7" s="566">
        <f>D7/AJ7</f>
        <v/>
      </c>
      <c r="AS7" s="566">
        <f>E7/AK7</f>
        <v/>
      </c>
      <c r="AT7" s="52">
        <f>(AR7-AR6)/AR6</f>
        <v/>
      </c>
      <c r="AU7" s="52">
        <f>(AR7-AS7)/AS7</f>
        <v/>
      </c>
    </row>
    <row customHeight="1" ht="15.75" r="8" s="452" spans="1:48">
      <c r="A8" s="49" t="s">
        <v>41</v>
      </c>
      <c r="B8" s="49" t="s">
        <v>77</v>
      </c>
      <c r="C8" s="50">
        <f>C7+7</f>
        <v/>
      </c>
      <c r="D8" s="565" t="n">
        <v>75527</v>
      </c>
      <c r="E8" s="566" t="n">
        <v>6352</v>
      </c>
      <c r="F8" s="52">
        <f>(D8-D7)/D7</f>
        <v/>
      </c>
      <c r="G8" s="52">
        <f>(D8-E8)/E8</f>
        <v/>
      </c>
      <c r="H8" s="566">
        <f>L8+P8+T8</f>
        <v/>
      </c>
      <c r="I8" s="566">
        <f>M8+Q8+U8</f>
        <v/>
      </c>
      <c r="J8" s="33">
        <f>(H8-H7)/H7</f>
        <v/>
      </c>
      <c r="K8" s="33">
        <f>(H8-I8)/I8</f>
        <v/>
      </c>
      <c r="L8" s="566" t="n">
        <v>1056.74</v>
      </c>
      <c r="M8" s="566" t="n">
        <v>1044.93</v>
      </c>
      <c r="N8" s="33">
        <f>(L8-L7)/L7</f>
        <v/>
      </c>
      <c r="O8" s="33">
        <f>(L8-M8)/M8</f>
        <v/>
      </c>
      <c r="P8" s="566" t="n">
        <v>0</v>
      </c>
      <c r="Q8" s="566">
        <f>900*1.4</f>
        <v/>
      </c>
      <c r="R8" s="33">
        <f>(P8-P7)/P7</f>
        <v/>
      </c>
      <c r="S8" s="33">
        <f>(P8-Q8)/Q8</f>
        <v/>
      </c>
      <c r="T8" s="566" t="n">
        <v>625</v>
      </c>
      <c r="U8" s="566">
        <f>2500/4</f>
        <v/>
      </c>
      <c r="V8" s="33">
        <f>(T8-T7)/T7</f>
        <v/>
      </c>
      <c r="W8" s="33">
        <f>(T8-U8)/U8</f>
        <v/>
      </c>
      <c r="X8" s="567">
        <f>D8/(L8+P8)</f>
        <v/>
      </c>
      <c r="Y8" s="567">
        <f>E8/(M8+Q8)</f>
        <v/>
      </c>
      <c r="Z8" s="52">
        <f>(X8-X7)/X7</f>
        <v/>
      </c>
      <c r="AA8" s="52">
        <f>(X8-Y8)/Y8</f>
        <v/>
      </c>
      <c r="AB8" s="567">
        <f>D8/(L8+P8+T8)</f>
        <v/>
      </c>
      <c r="AC8" s="567">
        <f>E8/(M8+Q8+U8)</f>
        <v/>
      </c>
      <c r="AD8" s="52">
        <f>(AB8-AB7)/AB7</f>
        <v/>
      </c>
      <c r="AE8" s="52">
        <f>(AB8-AC8)/AC8</f>
        <v/>
      </c>
      <c r="AF8" s="568" t="n">
        <v>3578</v>
      </c>
      <c r="AG8" s="568" t="n">
        <v>2690</v>
      </c>
      <c r="AH8" s="52">
        <f>(AF8-AF7)/AF7</f>
        <v/>
      </c>
      <c r="AI8" s="52">
        <f>(AF8-AG8)/AG8</f>
        <v/>
      </c>
      <c r="AJ8" s="568" t="n">
        <v>531</v>
      </c>
      <c r="AK8" s="568" t="n">
        <v>55</v>
      </c>
      <c r="AL8" s="52">
        <f>(AJ8-AJ7)/AJ7</f>
        <v/>
      </c>
      <c r="AM8" s="52">
        <f>(AJ8-AK8)/AK8</f>
        <v/>
      </c>
      <c r="AN8" s="569">
        <f>AJ8/AF8</f>
        <v/>
      </c>
      <c r="AO8" s="89">
        <f>AK8/AG8</f>
        <v/>
      </c>
      <c r="AP8" s="52">
        <f>(AN8-AN7)/AN7</f>
        <v/>
      </c>
      <c r="AQ8" s="52">
        <f>(AN8-AO8)/AO8</f>
        <v/>
      </c>
      <c r="AR8" s="566">
        <f>D8/AJ8</f>
        <v/>
      </c>
      <c r="AS8" s="566">
        <f>E8/AK8</f>
        <v/>
      </c>
      <c r="AT8" s="52">
        <f>(AR8-AR7)/AR7</f>
        <v/>
      </c>
      <c r="AU8" s="52">
        <f>(AR8-AS8)/AS8</f>
        <v/>
      </c>
      <c r="AV8" t="s">
        <v>152</v>
      </c>
    </row>
    <row customHeight="1" ht="15.75" r="9" s="452" spans="1:48">
      <c r="A9" s="69" t="s">
        <v>41</v>
      </c>
      <c r="B9" s="69" t="s">
        <v>79</v>
      </c>
      <c r="C9" s="70">
        <f>C8+7</f>
        <v/>
      </c>
      <c r="D9" s="570" t="n">
        <v>17401</v>
      </c>
      <c r="E9" s="571" t="n">
        <v>15477</v>
      </c>
      <c r="F9" s="73">
        <f>(D9-D8)/D8</f>
        <v/>
      </c>
      <c r="G9" s="73">
        <f>(D9-E9)/E9</f>
        <v/>
      </c>
      <c r="H9" s="571">
        <f>L9+P9+T9</f>
        <v/>
      </c>
      <c r="I9" s="571">
        <f>M9+Q9+U9</f>
        <v/>
      </c>
      <c r="J9" s="282">
        <f>(H9-H8)/H8</f>
        <v/>
      </c>
      <c r="K9" s="282">
        <f>(H9-I9)/I9</f>
        <v/>
      </c>
      <c r="L9" s="571" t="n">
        <v>1392.97</v>
      </c>
      <c r="M9" s="571" t="n">
        <v>2230.87</v>
      </c>
      <c r="N9" s="282">
        <f>(L9-L8)/L8</f>
        <v/>
      </c>
      <c r="O9" s="282">
        <f>(L9-M9)/M9</f>
        <v/>
      </c>
      <c r="P9" s="571" t="n">
        <v>0</v>
      </c>
      <c r="Q9" s="571">
        <f>900*1.4</f>
        <v/>
      </c>
      <c r="R9" s="282">
        <f>(P9-P8)/P8</f>
        <v/>
      </c>
      <c r="S9" s="282">
        <f>(P9-Q9)/Q9</f>
        <v/>
      </c>
      <c r="T9" s="571" t="n">
        <v>625</v>
      </c>
      <c r="U9" s="571">
        <f>2500/4</f>
        <v/>
      </c>
      <c r="V9" s="282">
        <f>(T9-T8)/T8</f>
        <v/>
      </c>
      <c r="W9" s="282">
        <f>(T9-U9)/U9</f>
        <v/>
      </c>
      <c r="X9" s="572">
        <f>D9/(L9+P9)</f>
        <v/>
      </c>
      <c r="Y9" s="572">
        <f>E9/(M9+Q9)</f>
        <v/>
      </c>
      <c r="Z9" s="73">
        <f>(X9-X8)/X8</f>
        <v/>
      </c>
      <c r="AA9" s="73">
        <f>(X9-Y9)/Y9</f>
        <v/>
      </c>
      <c r="AB9" s="572">
        <f>D9/(L9+P9+T9)</f>
        <v/>
      </c>
      <c r="AC9" s="572">
        <f>E9/(M9+Q9+U9)</f>
        <v/>
      </c>
      <c r="AD9" s="73">
        <f>(AB9-AB8)/AB8</f>
        <v/>
      </c>
      <c r="AE9" s="73">
        <f>(AB9-AC9)/AC9</f>
        <v/>
      </c>
      <c r="AF9" s="573" t="n">
        <v>2539</v>
      </c>
      <c r="AG9" s="573" t="n">
        <v>2478</v>
      </c>
      <c r="AH9" s="73">
        <f>(AF9-AF8)/AF8</f>
        <v/>
      </c>
      <c r="AI9" s="73">
        <f>(AF9-AG9)/AG9</f>
        <v/>
      </c>
      <c r="AJ9" s="573" t="n">
        <v>177</v>
      </c>
      <c r="AK9" s="573" t="n">
        <v>154</v>
      </c>
      <c r="AL9" s="73">
        <f>(AJ9-AJ8)/AJ8</f>
        <v/>
      </c>
      <c r="AM9" s="73">
        <f>(AJ9-AK9)/AK9</f>
        <v/>
      </c>
      <c r="AN9" s="574">
        <f>AJ9/AF9</f>
        <v/>
      </c>
      <c r="AO9" s="89">
        <f>AK9/AG9</f>
        <v/>
      </c>
      <c r="AP9" s="73">
        <f>(AN9-AN8)/AN8</f>
        <v/>
      </c>
      <c r="AQ9" s="73">
        <f>(AN9-AO9)/AO9</f>
        <v/>
      </c>
      <c r="AR9" s="571">
        <f>D9/AJ9</f>
        <v/>
      </c>
      <c r="AS9" s="571">
        <f>E9/AK9</f>
        <v/>
      </c>
      <c r="AT9" s="73">
        <f>(AR9-AR8)/AR8</f>
        <v/>
      </c>
      <c r="AU9" s="73">
        <f>(AR9-AS9)/AS9</f>
        <v/>
      </c>
      <c r="AV9" s="357" t="n"/>
    </row>
    <row customHeight="1" ht="15.75" r="10" s="452" spans="1:48">
      <c r="A10" s="49" t="s">
        <v>42</v>
      </c>
      <c r="B10" s="49" t="s">
        <v>80</v>
      </c>
      <c r="C10" s="50">
        <f>C9+7</f>
        <v/>
      </c>
      <c r="D10" s="565" t="n">
        <v>16157</v>
      </c>
      <c r="E10" s="566" t="n">
        <v>9987</v>
      </c>
      <c r="F10" s="52">
        <f>(D10-D9)/D9</f>
        <v/>
      </c>
      <c r="G10" s="52">
        <f>(D10-E10)/E10</f>
        <v/>
      </c>
      <c r="H10" s="566">
        <f>L10+P10+T10</f>
        <v/>
      </c>
      <c r="I10" s="566">
        <f>M10+Q10+U10</f>
        <v/>
      </c>
      <c r="J10" s="282">
        <f>(H10-H9)/H9</f>
        <v/>
      </c>
      <c r="K10" s="282">
        <f>(H10-I10)/I10</f>
        <v/>
      </c>
      <c r="L10" s="566" t="n">
        <v>822.77</v>
      </c>
      <c r="M10" s="566" t="n">
        <v>1539.54</v>
      </c>
      <c r="N10" s="282">
        <f>(L10-L9)/L9</f>
        <v/>
      </c>
      <c r="O10" s="282">
        <f>(L10-M10)/M10</f>
        <v/>
      </c>
      <c r="P10" s="566" t="n">
        <v>0</v>
      </c>
      <c r="Q10" s="566">
        <f>900*1.4</f>
        <v/>
      </c>
      <c r="R10" s="282">
        <f>(P10-P9)/P9</f>
        <v/>
      </c>
      <c r="S10" s="282">
        <f>(P10-Q10)/Q10</f>
        <v/>
      </c>
      <c r="T10" s="566" t="n">
        <v>625</v>
      </c>
      <c r="U10" s="566">
        <f>2500/4</f>
        <v/>
      </c>
      <c r="V10" s="282">
        <f>(T10-T9)/T9</f>
        <v/>
      </c>
      <c r="W10" s="282">
        <f>(T10-U10)/U10</f>
        <v/>
      </c>
      <c r="X10" s="567">
        <f>D10/(L10+P10)</f>
        <v/>
      </c>
      <c r="Y10" s="567">
        <f>E10/(M10+Q10)</f>
        <v/>
      </c>
      <c r="Z10" s="52">
        <f>(X10-X9)/X9</f>
        <v/>
      </c>
      <c r="AA10" s="52">
        <f>(X10-Y10)/Y10</f>
        <v/>
      </c>
      <c r="AB10" s="567">
        <f>D10/(L10+P10+T10)</f>
        <v/>
      </c>
      <c r="AC10" s="567">
        <f>E10/(M10+Q10+U10)</f>
        <v/>
      </c>
      <c r="AD10" s="52">
        <f>(AB10-AB9)/AB9</f>
        <v/>
      </c>
      <c r="AE10" s="52">
        <f>(AB10-AC10)/AC10</f>
        <v/>
      </c>
      <c r="AF10" s="568" t="n">
        <v>3962</v>
      </c>
      <c r="AG10" s="568" t="n">
        <v>2790</v>
      </c>
      <c r="AH10" s="52">
        <f>(AF10-AF9)/AF9</f>
        <v/>
      </c>
      <c r="AI10" s="52">
        <f>(AF10-AG10)/AG10</f>
        <v/>
      </c>
      <c r="AJ10" s="568" t="n">
        <v>217</v>
      </c>
      <c r="AK10" s="568" t="n">
        <v>87</v>
      </c>
      <c r="AL10" s="52">
        <f>(AJ10-AJ9)/AJ9</f>
        <v/>
      </c>
      <c r="AM10" s="52">
        <f>(AJ10-AK10)/AK10</f>
        <v/>
      </c>
      <c r="AN10" s="569">
        <f>AJ10/AF10</f>
        <v/>
      </c>
      <c r="AO10" s="89">
        <f>AK10/AG10</f>
        <v/>
      </c>
      <c r="AP10" s="52">
        <f>(AN10-AN9)/AN9</f>
        <v/>
      </c>
      <c r="AQ10" s="52">
        <f>(AN10-AO10)/AO10</f>
        <v/>
      </c>
      <c r="AR10" s="566">
        <f>D10/AJ10</f>
        <v/>
      </c>
      <c r="AS10" s="566">
        <f>E10/AK10</f>
        <v/>
      </c>
      <c r="AT10" s="52">
        <f>(AR10-AR9)/AR9</f>
        <v/>
      </c>
      <c r="AU10" s="52">
        <f>(AR10-AS10)/AS10</f>
        <v/>
      </c>
      <c r="AV10" t="s">
        <v>153</v>
      </c>
    </row>
    <row customHeight="1" ht="15.75" r="11" s="452" spans="1:48">
      <c r="A11" s="49" t="s">
        <v>42</v>
      </c>
      <c r="B11" s="49" t="s">
        <v>82</v>
      </c>
      <c r="C11" s="50">
        <f>C10+7</f>
        <v/>
      </c>
      <c r="D11" s="565" t="n">
        <v>63408</v>
      </c>
      <c r="E11" s="566" t="n">
        <v>13074</v>
      </c>
      <c r="F11" s="52">
        <f>(D11-D10)/D10</f>
        <v/>
      </c>
      <c r="G11" s="52">
        <f>(D11-E11)/E11</f>
        <v/>
      </c>
      <c r="H11" s="566">
        <f>L11+P11+T11</f>
        <v/>
      </c>
      <c r="I11" s="566">
        <f>M11+Q11+U11</f>
        <v/>
      </c>
      <c r="J11" s="33">
        <f>(H11-H10)/H10</f>
        <v/>
      </c>
      <c r="K11" s="33">
        <f>(H11-I11)/I11</f>
        <v/>
      </c>
      <c r="L11" s="566" t="n">
        <v>4109.72</v>
      </c>
      <c r="M11" s="566" t="n">
        <v>1590.84</v>
      </c>
      <c r="N11" s="33">
        <f>(L11-L10)/L10</f>
        <v/>
      </c>
      <c r="O11" s="33">
        <f>(L11-M11)/M11</f>
        <v/>
      </c>
      <c r="P11" s="566" t="n">
        <v>0</v>
      </c>
      <c r="Q11" s="566">
        <f>900*1.4</f>
        <v/>
      </c>
      <c r="R11" s="33">
        <f>(P11-P10)/P10</f>
        <v/>
      </c>
      <c r="S11" s="33">
        <f>(P11-Q11)/Q11</f>
        <v/>
      </c>
      <c r="T11" s="566" t="n">
        <v>917.25</v>
      </c>
      <c r="U11" s="566">
        <f>2500/4</f>
        <v/>
      </c>
      <c r="V11" s="33">
        <f>(T11-T10)/T10</f>
        <v/>
      </c>
      <c r="W11" s="33">
        <f>(T11-U11)/U11</f>
        <v/>
      </c>
      <c r="X11" s="567">
        <f>D11/(L11+P11)</f>
        <v/>
      </c>
      <c r="Y11" s="567">
        <f>E11/(M11+Q11)</f>
        <v/>
      </c>
      <c r="Z11" s="52">
        <f>(X11-X10)/X10</f>
        <v/>
      </c>
      <c r="AA11" s="52">
        <f>(X11-Y11)/Y11</f>
        <v/>
      </c>
      <c r="AB11" s="567">
        <f>D11/(L11+P11+T11)</f>
        <v/>
      </c>
      <c r="AC11" s="567">
        <f>E11/(M11+Q11+U11)</f>
        <v/>
      </c>
      <c r="AD11" s="52">
        <f>(AB11-AB10)/AB10</f>
        <v/>
      </c>
      <c r="AE11" s="52">
        <f>(AB11-AC11)/AC11</f>
        <v/>
      </c>
      <c r="AF11" s="568" t="n">
        <v>5206</v>
      </c>
      <c r="AG11" s="568" t="n">
        <v>1946</v>
      </c>
      <c r="AH11" s="52">
        <f>(AF11-AF10)/AF10</f>
        <v/>
      </c>
      <c r="AI11" s="52">
        <f>(AF11-AG11)/AG11</f>
        <v/>
      </c>
      <c r="AJ11" s="568" t="n">
        <v>629</v>
      </c>
      <c r="AK11" s="568" t="n">
        <v>89</v>
      </c>
      <c r="AL11" s="52">
        <f>(AJ11-AJ10)/AJ10</f>
        <v/>
      </c>
      <c r="AM11" s="52">
        <f>(AJ11-AK11)/AK11</f>
        <v/>
      </c>
      <c r="AN11" s="569">
        <f>AJ11/AF11</f>
        <v/>
      </c>
      <c r="AO11" s="89">
        <f>AK11/AG11</f>
        <v/>
      </c>
      <c r="AP11" s="52">
        <f>(AN11-AN10)/AN10</f>
        <v/>
      </c>
      <c r="AQ11" s="52">
        <f>(AN11-AO11)/AO11</f>
        <v/>
      </c>
      <c r="AR11" s="566">
        <f>D11/AJ11</f>
        <v/>
      </c>
      <c r="AS11" s="566">
        <f>E11/AK11</f>
        <v/>
      </c>
      <c r="AT11" s="52">
        <f>(AR11-AR10)/AR10</f>
        <v/>
      </c>
      <c r="AU11" s="52">
        <f>(AR11-AS11)/AS11</f>
        <v/>
      </c>
      <c r="AV11" t="s">
        <v>154</v>
      </c>
    </row>
    <row customHeight="1" ht="15.75" r="12" s="452" spans="1:48">
      <c r="A12" s="49" t="s">
        <v>42</v>
      </c>
      <c r="B12" s="49" t="s">
        <v>84</v>
      </c>
      <c r="C12" s="50">
        <f>C11+7</f>
        <v/>
      </c>
      <c r="D12" s="565" t="n">
        <v>46182</v>
      </c>
      <c r="E12" s="566" t="n">
        <v>22170</v>
      </c>
      <c r="F12" s="52">
        <f>(D12-D11)/D11</f>
        <v/>
      </c>
      <c r="G12" s="52">
        <f>(D12-E12)/E12</f>
        <v/>
      </c>
      <c r="H12" s="566">
        <f>L12+P12+T12</f>
        <v/>
      </c>
      <c r="I12" s="566">
        <f>M12+Q12+U12</f>
        <v/>
      </c>
      <c r="J12" s="282">
        <f>(H12-H11)/H11</f>
        <v/>
      </c>
      <c r="K12" s="282">
        <f>(H12-I12)/I12</f>
        <v/>
      </c>
      <c r="L12" s="566" t="n">
        <v>3183.9</v>
      </c>
      <c r="M12" s="566" t="n">
        <v>2196.91</v>
      </c>
      <c r="N12" s="282">
        <f>(L12-L11)/L11</f>
        <v/>
      </c>
      <c r="O12" s="282">
        <f>(L12-M12)/M12</f>
        <v/>
      </c>
      <c r="P12" s="566" t="n">
        <v>0</v>
      </c>
      <c r="Q12" s="566">
        <f>900*1.4</f>
        <v/>
      </c>
      <c r="R12" s="282">
        <f>(P12-P11)/P11</f>
        <v/>
      </c>
      <c r="S12" s="282">
        <f>(P12-Q12)/Q12</f>
        <v/>
      </c>
      <c r="T12" s="566" t="n">
        <v>917.25</v>
      </c>
      <c r="U12" s="566">
        <f>2500/4</f>
        <v/>
      </c>
      <c r="V12" s="282">
        <f>(T12-T11)/T11</f>
        <v/>
      </c>
      <c r="W12" s="282">
        <f>(T12-U12)/U12</f>
        <v/>
      </c>
      <c r="X12" s="567">
        <f>D12/(L12+P12)</f>
        <v/>
      </c>
      <c r="Y12" s="567">
        <f>E12/(M12+Q12)</f>
        <v/>
      </c>
      <c r="Z12" s="52">
        <f>(X12-X11)/X11</f>
        <v/>
      </c>
      <c r="AA12" s="52">
        <f>(X12-Y12)/Y12</f>
        <v/>
      </c>
      <c r="AB12" s="567">
        <f>D12/(L12+P12+T12)</f>
        <v/>
      </c>
      <c r="AC12" s="567">
        <f>E12/(M12+Q12+U12)</f>
        <v/>
      </c>
      <c r="AD12" s="52">
        <f>(AB12-AB11)/AB11</f>
        <v/>
      </c>
      <c r="AE12" s="52">
        <f>(AB12-AC12)/AC12</f>
        <v/>
      </c>
      <c r="AF12" s="568" t="n">
        <v>4196</v>
      </c>
      <c r="AG12" s="568" t="n">
        <v>3142</v>
      </c>
      <c r="AH12" s="52">
        <f>(AF12-AF11)/AF11</f>
        <v/>
      </c>
      <c r="AI12" s="52">
        <f>(AF12-AG12)/AG12</f>
        <v/>
      </c>
      <c r="AJ12" s="568" t="n">
        <v>467</v>
      </c>
      <c r="AK12" s="568" t="n">
        <v>178</v>
      </c>
      <c r="AL12" s="52">
        <f>(AJ12-AJ11)/AJ11</f>
        <v/>
      </c>
      <c r="AM12" s="52">
        <f>(AJ12-AK12)/AK12</f>
        <v/>
      </c>
      <c r="AN12" s="569">
        <f>AJ12/AF12</f>
        <v/>
      </c>
      <c r="AO12" s="89">
        <f>AK12/AG12</f>
        <v/>
      </c>
      <c r="AP12" s="52">
        <f>(AN12-AN11)/AN11</f>
        <v/>
      </c>
      <c r="AQ12" s="52">
        <f>(AN12-AO12)/AO12</f>
        <v/>
      </c>
      <c r="AR12" s="566">
        <f>D12/AJ12</f>
        <v/>
      </c>
      <c r="AS12" s="566">
        <f>E12/AK12</f>
        <v/>
      </c>
      <c r="AT12" s="52">
        <f>(AR12-AR11)/AR11</f>
        <v/>
      </c>
      <c r="AU12" s="52">
        <f>(AR12-AS12)/AS12</f>
        <v/>
      </c>
      <c r="AV12" t="s">
        <v>155</v>
      </c>
    </row>
    <row customHeight="1" ht="15.75" r="13" s="452" spans="1:48">
      <c r="A13" s="69" t="s">
        <v>42</v>
      </c>
      <c r="B13" s="69" t="s">
        <v>86</v>
      </c>
      <c r="C13" s="70">
        <f>C12+7</f>
        <v/>
      </c>
      <c r="D13" s="570" t="n">
        <v>22258</v>
      </c>
      <c r="E13" s="571" t="n">
        <v>10835</v>
      </c>
      <c r="F13" s="73">
        <f>(D13-D12)/D12</f>
        <v/>
      </c>
      <c r="G13" s="73">
        <f>(D13-E13)/E13</f>
        <v/>
      </c>
      <c r="H13" s="571">
        <f>L13+P13+T13</f>
        <v/>
      </c>
      <c r="I13" s="571">
        <f>M13+Q13+U13</f>
        <v/>
      </c>
      <c r="J13" s="282">
        <f>(H13-H12)/H12</f>
        <v/>
      </c>
      <c r="K13" s="282">
        <f>(H13-I13)/I13</f>
        <v/>
      </c>
      <c r="L13" s="571" t="n">
        <v>1361.58</v>
      </c>
      <c r="M13" s="571" t="n">
        <v>969.8200000000001</v>
      </c>
      <c r="N13" s="282">
        <f>(L13-L12)/L12</f>
        <v/>
      </c>
      <c r="O13" s="282">
        <f>(L13-M13)/M13</f>
        <v/>
      </c>
      <c r="P13" s="566" t="n">
        <v>0</v>
      </c>
      <c r="Q13" s="566">
        <f>900*1.4</f>
        <v/>
      </c>
      <c r="R13" s="282">
        <f>(P13-P12)/P12</f>
        <v/>
      </c>
      <c r="S13" s="282">
        <f>(P13-Q13)/Q13</f>
        <v/>
      </c>
      <c r="T13" s="571" t="n">
        <v>917.25</v>
      </c>
      <c r="U13" s="571">
        <f>2500/4</f>
        <v/>
      </c>
      <c r="V13" s="282">
        <f>(T13-T12)/T12</f>
        <v/>
      </c>
      <c r="W13" s="282">
        <f>(T13-U13)/U13</f>
        <v/>
      </c>
      <c r="X13" s="572">
        <f>D13/(L13+P13)</f>
        <v/>
      </c>
      <c r="Y13" s="572">
        <f>E13/(M13+Q13)</f>
        <v/>
      </c>
      <c r="Z13" s="73">
        <f>(X13-X12)/X12</f>
        <v/>
      </c>
      <c r="AA13" s="73">
        <f>(X13-Y13)/Y13</f>
        <v/>
      </c>
      <c r="AB13" s="572">
        <f>D13/(L13+P13+T13)</f>
        <v/>
      </c>
      <c r="AC13" s="572">
        <f>E13/(M13+Q13+U13)</f>
        <v/>
      </c>
      <c r="AD13" s="73">
        <f>(AB13-AB12)/AB12</f>
        <v/>
      </c>
      <c r="AE13" s="73">
        <f>(AB13-AC13)/AC13</f>
        <v/>
      </c>
      <c r="AF13" s="573" t="n">
        <v>3374</v>
      </c>
      <c r="AG13" s="573" t="n">
        <v>2124</v>
      </c>
      <c r="AH13" s="73">
        <f>(AF13-AF12)/AF12</f>
        <v/>
      </c>
      <c r="AI13" s="73">
        <f>(AF13-AG13)/AG13</f>
        <v/>
      </c>
      <c r="AJ13" s="573" t="n">
        <v>270</v>
      </c>
      <c r="AK13" s="573" t="n">
        <v>75</v>
      </c>
      <c r="AL13" s="73">
        <f>(AJ13-AJ12)/AJ12</f>
        <v/>
      </c>
      <c r="AM13" s="73">
        <f>(AJ13-AK13)/AK13</f>
        <v/>
      </c>
      <c r="AN13" s="574">
        <f>AJ13/AF13</f>
        <v/>
      </c>
      <c r="AO13" s="89">
        <f>AK13/AG13</f>
        <v/>
      </c>
      <c r="AP13" s="73">
        <f>(AN13-AN12)/AN12</f>
        <v/>
      </c>
      <c r="AQ13" s="73">
        <f>(AN13-AO13)/AO13</f>
        <v/>
      </c>
      <c r="AR13" s="571">
        <f>D13/AJ13</f>
        <v/>
      </c>
      <c r="AS13" s="571">
        <f>E13/AK13</f>
        <v/>
      </c>
      <c r="AT13" s="73">
        <f>(AR13-AR12)/AR12</f>
        <v/>
      </c>
      <c r="AU13" s="73">
        <f>(AR13-AS13)/AS13</f>
        <v/>
      </c>
      <c r="AV13" t="s">
        <v>156</v>
      </c>
    </row>
    <row customHeight="1" ht="15.75" r="14" s="452" spans="1:48">
      <c r="A14" s="49" t="s">
        <v>43</v>
      </c>
      <c r="B14" s="49" t="s">
        <v>88</v>
      </c>
      <c r="C14" s="50">
        <f>C13+7</f>
        <v/>
      </c>
      <c r="D14" s="565" t="n">
        <v>27902</v>
      </c>
      <c r="E14" s="566" t="n">
        <v>12974</v>
      </c>
      <c r="F14" s="52">
        <f>(D14-D13)/D13</f>
        <v/>
      </c>
      <c r="G14" s="52">
        <f>(D14-E14)/E14</f>
        <v/>
      </c>
      <c r="H14" s="566">
        <f>L14+P14+T14</f>
        <v/>
      </c>
      <c r="I14" s="566">
        <f>M14+Q14+U14</f>
        <v/>
      </c>
      <c r="J14" s="33">
        <f>(H14-H13)/H13</f>
        <v/>
      </c>
      <c r="K14" s="33">
        <f>(H14-I14)/I14</f>
        <v/>
      </c>
      <c r="L14" s="566" t="n">
        <v>1441.62</v>
      </c>
      <c r="M14" s="566" t="n">
        <v>1059.13</v>
      </c>
      <c r="N14" s="33">
        <f>(L14-L13)/L13</f>
        <v/>
      </c>
      <c r="O14" s="33">
        <f>(L14-M14)/M14</f>
        <v/>
      </c>
      <c r="P14" s="575" t="n">
        <v>0</v>
      </c>
      <c r="Q14" s="575">
        <f>900*1.4</f>
        <v/>
      </c>
      <c r="R14" s="33">
        <f>(P14-P13)/P13</f>
        <v/>
      </c>
      <c r="S14" s="33">
        <f>(P14-Q14)/Q14</f>
        <v/>
      </c>
      <c r="T14" s="566" t="n">
        <v>917.25</v>
      </c>
      <c r="U14" s="566">
        <f>2500/4</f>
        <v/>
      </c>
      <c r="V14" s="33">
        <f>(T14-T13)/T13</f>
        <v/>
      </c>
      <c r="W14" s="33">
        <f>(T14-U14)/U14</f>
        <v/>
      </c>
      <c r="X14" s="567">
        <f>D14/(L14+P14)</f>
        <v/>
      </c>
      <c r="Y14" s="567">
        <f>E14/(M14+Q14)</f>
        <v/>
      </c>
      <c r="Z14" s="52">
        <f>(X14-X13)/X13</f>
        <v/>
      </c>
      <c r="AA14" s="52">
        <f>(X14-Y14)/Y14</f>
        <v/>
      </c>
      <c r="AB14" s="567">
        <f>D14/(L14+P14+T14)</f>
        <v/>
      </c>
      <c r="AC14" s="567">
        <f>E14/(M14+Q14+U14)</f>
        <v/>
      </c>
      <c r="AD14" s="52">
        <f>(AB14-AB13)/AB13</f>
        <v/>
      </c>
      <c r="AE14" s="52">
        <f>(AB14-AC14)/AC14</f>
        <v/>
      </c>
      <c r="AF14" s="568" t="n">
        <v>3539</v>
      </c>
      <c r="AG14" s="568" t="n">
        <v>3402</v>
      </c>
      <c r="AH14" s="52">
        <f>(AF14-AF13)/AF13</f>
        <v/>
      </c>
      <c r="AI14" s="52">
        <f>(AF14-AG14)/AG14</f>
        <v/>
      </c>
      <c r="AJ14" s="568" t="n">
        <v>364</v>
      </c>
      <c r="AK14" s="568" t="n">
        <v>96</v>
      </c>
      <c r="AL14" s="52">
        <f>(AJ14-AJ13)/AJ13</f>
        <v/>
      </c>
      <c r="AM14" s="52">
        <f>(AJ14-AK14)/AK14</f>
        <v/>
      </c>
      <c r="AN14" s="569">
        <f>AJ14/AF14</f>
        <v/>
      </c>
      <c r="AO14" s="89">
        <f>AK14/AG14</f>
        <v/>
      </c>
      <c r="AP14" s="52">
        <f>(AN14-AN13)/AN13</f>
        <v/>
      </c>
      <c r="AQ14" s="52">
        <f>(AN14-AO14)/AO14</f>
        <v/>
      </c>
      <c r="AR14" s="566">
        <f>D14/AJ14</f>
        <v/>
      </c>
      <c r="AS14" s="566">
        <f>E14/AK14</f>
        <v/>
      </c>
      <c r="AT14" s="52">
        <f>(AR14-AR13)/AR13</f>
        <v/>
      </c>
      <c r="AU14" s="52">
        <f>(AR14-AS14)/AS14</f>
        <v/>
      </c>
      <c r="AV14" s="108" t="s">
        <v>153</v>
      </c>
    </row>
    <row customHeight="1" ht="15.75" r="15" s="452" spans="1:48">
      <c r="A15" s="49" t="s">
        <v>43</v>
      </c>
      <c r="B15" s="49" t="s">
        <v>90</v>
      </c>
      <c r="C15" s="50">
        <f>C14+7</f>
        <v/>
      </c>
      <c r="D15" s="565" t="n">
        <v>34338</v>
      </c>
      <c r="E15" s="566" t="n">
        <v>16127</v>
      </c>
      <c r="F15" s="52">
        <f>(D15-D14)/D14</f>
        <v/>
      </c>
      <c r="G15" s="52">
        <f>(D15-E15)/E15</f>
        <v/>
      </c>
      <c r="H15" s="566">
        <f>L15+P15+T15</f>
        <v/>
      </c>
      <c r="I15" s="566">
        <f>M15+Q15+U15</f>
        <v/>
      </c>
      <c r="J15" s="282">
        <f>(H15-H14)/H14</f>
        <v/>
      </c>
      <c r="K15" s="282">
        <f>(H15-I15)/I15</f>
        <v/>
      </c>
      <c r="L15" s="566" t="n">
        <v>2182.98</v>
      </c>
      <c r="M15" s="566" t="n">
        <v>1814.74</v>
      </c>
      <c r="N15" s="282">
        <f>(L15-L14)/L14</f>
        <v/>
      </c>
      <c r="O15" s="282">
        <f>(L15-M15)/M15</f>
        <v/>
      </c>
      <c r="P15" s="566" t="n">
        <v>0</v>
      </c>
      <c r="Q15" s="566" t="n">
        <v>1170</v>
      </c>
      <c r="R15" s="282">
        <f>(P15-P14)/P14</f>
        <v/>
      </c>
      <c r="S15" s="282">
        <f>(P15-Q15)/Q15</f>
        <v/>
      </c>
      <c r="T15" s="566" t="n">
        <v>625</v>
      </c>
      <c r="U15" s="566">
        <f>2500/4</f>
        <v/>
      </c>
      <c r="V15" s="282">
        <f>(T15-T14)/T14</f>
        <v/>
      </c>
      <c r="W15" s="282">
        <f>(T15-U15)/U15</f>
        <v/>
      </c>
      <c r="X15" s="567">
        <f>D15/(L15+P15)</f>
        <v/>
      </c>
      <c r="Y15" s="567">
        <f>E15/(M15+Q15)</f>
        <v/>
      </c>
      <c r="Z15" s="52">
        <f>(X15-X14)/X14</f>
        <v/>
      </c>
      <c r="AA15" s="52">
        <f>(X15-Y15)/Y15</f>
        <v/>
      </c>
      <c r="AB15" s="567">
        <f>D15/(L15+P15+T15)</f>
        <v/>
      </c>
      <c r="AC15" s="567">
        <f>E15/(M15+Q15+U15)</f>
        <v/>
      </c>
      <c r="AD15" s="52">
        <f>(AB15-AB14)/AB14</f>
        <v/>
      </c>
      <c r="AE15" s="52">
        <f>(AB15-AC15)/AC15</f>
        <v/>
      </c>
      <c r="AF15" s="568" t="n">
        <v>2804</v>
      </c>
      <c r="AG15" s="568" t="n">
        <v>2314</v>
      </c>
      <c r="AH15" s="52">
        <f>(AF15-AF14)/AF14</f>
        <v/>
      </c>
      <c r="AI15" s="52">
        <f>(AF15-AG15)/AG15</f>
        <v/>
      </c>
      <c r="AJ15" s="568" t="n">
        <v>345</v>
      </c>
      <c r="AK15" s="568" t="n">
        <v>132</v>
      </c>
      <c r="AL15" s="52">
        <f>(AJ15-AJ14)/AJ14</f>
        <v/>
      </c>
      <c r="AM15" s="52">
        <f>(AJ15-AK15)/AK15</f>
        <v/>
      </c>
      <c r="AN15" s="569">
        <f>AJ15/AF15</f>
        <v/>
      </c>
      <c r="AO15" s="89">
        <f>AK15/AG15</f>
        <v/>
      </c>
      <c r="AP15" s="52">
        <f>(AN15-AN14)/AN14</f>
        <v/>
      </c>
      <c r="AQ15" s="52">
        <f>(AN15-AO15)/AO15</f>
        <v/>
      </c>
      <c r="AR15" s="566">
        <f>D15/AJ15</f>
        <v/>
      </c>
      <c r="AS15" s="566">
        <f>E15/AK15</f>
        <v/>
      </c>
      <c r="AT15" s="52">
        <f>(AR15-AR14)/AR14</f>
        <v/>
      </c>
      <c r="AU15" s="52">
        <f>(AR15-AS15)/AS15</f>
        <v/>
      </c>
    </row>
    <row customHeight="1" ht="15.75" r="16" s="452" spans="1:48">
      <c r="A16" s="49" t="s">
        <v>43</v>
      </c>
      <c r="B16" s="49" t="s">
        <v>92</v>
      </c>
      <c r="C16" s="50">
        <f>C15+7</f>
        <v/>
      </c>
      <c r="D16" s="565" t="n">
        <v>15385</v>
      </c>
      <c r="E16" s="566" t="n">
        <v>21444</v>
      </c>
      <c r="F16" s="52">
        <f>(D16-D15)/D15</f>
        <v/>
      </c>
      <c r="G16" s="52">
        <f>(D16-E16)/E16</f>
        <v/>
      </c>
      <c r="H16" s="566">
        <f>L16+P16+T16</f>
        <v/>
      </c>
      <c r="I16" s="566">
        <f>M16+Q16+U16</f>
        <v/>
      </c>
      <c r="J16" s="282">
        <f>(H16-H15)/H15</f>
        <v/>
      </c>
      <c r="K16" s="282">
        <f>(H16-I16)/I16</f>
        <v/>
      </c>
      <c r="L16" s="566" t="n">
        <v>946.26</v>
      </c>
      <c r="M16" s="566" t="n">
        <v>3116.16</v>
      </c>
      <c r="N16" s="282">
        <f>(L16-L15)/L15</f>
        <v/>
      </c>
      <c r="O16" s="282">
        <f>(L16-M16)/M16</f>
        <v/>
      </c>
      <c r="P16" s="566" t="n">
        <v>0</v>
      </c>
      <c r="Q16" s="566" t="n">
        <v>1170</v>
      </c>
      <c r="R16" s="282">
        <f>(P16-P15)/P15</f>
        <v/>
      </c>
      <c r="S16" s="282">
        <f>(P16-Q16)/Q16</f>
        <v/>
      </c>
      <c r="T16" s="566" t="n">
        <v>625</v>
      </c>
      <c r="U16" s="566">
        <f>2500/4</f>
        <v/>
      </c>
      <c r="V16" s="282">
        <f>(T16-T15)/T15</f>
        <v/>
      </c>
      <c r="W16" s="282">
        <f>(T16-U16)/U16</f>
        <v/>
      </c>
      <c r="X16" s="567">
        <f>D16/(L16+P16)</f>
        <v/>
      </c>
      <c r="Y16" s="567">
        <f>E16/(M16+Q16)</f>
        <v/>
      </c>
      <c r="Z16" s="52">
        <f>(X16-X15)/X15</f>
        <v/>
      </c>
      <c r="AA16" s="52">
        <f>(X16-Y16)/Y16</f>
        <v/>
      </c>
      <c r="AB16" s="567">
        <f>D16/(L16+P16+T16)</f>
        <v/>
      </c>
      <c r="AC16" s="567">
        <f>E16/(M16+Q16+U16)</f>
        <v/>
      </c>
      <c r="AD16" s="52">
        <f>(AB16-AB15)/AB15</f>
        <v/>
      </c>
      <c r="AE16" s="52">
        <f>(AB16-AC16)/AC16</f>
        <v/>
      </c>
      <c r="AF16" s="568" t="n">
        <v>1979</v>
      </c>
      <c r="AG16" s="568" t="n">
        <v>4662</v>
      </c>
      <c r="AH16" s="52">
        <f>(AF16-AF15)/AF15</f>
        <v/>
      </c>
      <c r="AI16" s="52">
        <f>(AF16-AG16)/AG16</f>
        <v/>
      </c>
      <c r="AJ16" s="568" t="n">
        <v>181</v>
      </c>
      <c r="AK16" s="568" t="n">
        <v>231</v>
      </c>
      <c r="AL16" s="52">
        <f>(AJ16-AJ15)/AJ15</f>
        <v/>
      </c>
      <c r="AM16" s="52">
        <f>(AJ16-AK16)/AK16</f>
        <v/>
      </c>
      <c r="AN16" s="569">
        <f>AJ16/AF16</f>
        <v/>
      </c>
      <c r="AO16" s="89">
        <f>AK16/AG16</f>
        <v/>
      </c>
      <c r="AP16" s="52">
        <f>(AN16-AN15)/AN15</f>
        <v/>
      </c>
      <c r="AQ16" s="52">
        <f>(AN16-AO16)/AO16</f>
        <v/>
      </c>
      <c r="AR16" s="566">
        <f>D16/AJ16</f>
        <v/>
      </c>
      <c r="AS16" s="566">
        <f>E16/AK16</f>
        <v/>
      </c>
      <c r="AT16" s="52">
        <f>(AR16-AR15)/AR15</f>
        <v/>
      </c>
      <c r="AU16" s="52">
        <f>(AR16-AS16)/AS16</f>
        <v/>
      </c>
      <c r="AV16" t="s">
        <v>70</v>
      </c>
    </row>
    <row customHeight="1" ht="15.75" r="17" s="452" spans="1:48">
      <c r="A17" s="69" t="s">
        <v>43</v>
      </c>
      <c r="B17" s="69" t="s">
        <v>93</v>
      </c>
      <c r="C17" s="70">
        <f>C16+7</f>
        <v/>
      </c>
      <c r="D17" s="570" t="n">
        <v>32339</v>
      </c>
      <c r="E17" s="571" t="n">
        <v>10029</v>
      </c>
      <c r="F17" s="73">
        <f>(D17-D16)/D16</f>
        <v/>
      </c>
      <c r="G17" s="73">
        <f>(D17-E17)/E17</f>
        <v/>
      </c>
      <c r="H17" s="571">
        <f>L17+P17+T17</f>
        <v/>
      </c>
      <c r="I17" s="571">
        <f>M17+Q17+U17</f>
        <v/>
      </c>
      <c r="J17" s="33">
        <f>(H17-H16)/H16</f>
        <v/>
      </c>
      <c r="K17" s="33">
        <f>(H17-I17)/I17</f>
        <v/>
      </c>
      <c r="L17" s="571" t="n">
        <v>2174.82</v>
      </c>
      <c r="M17" s="571" t="n">
        <v>909.74</v>
      </c>
      <c r="N17" s="33">
        <f>(L17-L16)/L16</f>
        <v/>
      </c>
      <c r="O17" s="33">
        <f>(L17-M17)/M17</f>
        <v/>
      </c>
      <c r="P17" s="571" t="n">
        <v>0</v>
      </c>
      <c r="Q17" s="571" t="n">
        <v>1170</v>
      </c>
      <c r="R17" s="33">
        <f>(P17-P16)/P16</f>
        <v/>
      </c>
      <c r="S17" s="33">
        <f>(P17-Q17)/Q17</f>
        <v/>
      </c>
      <c r="T17" s="571" t="n">
        <v>625</v>
      </c>
      <c r="U17" s="571">
        <f>2500/4</f>
        <v/>
      </c>
      <c r="V17" s="33">
        <f>(T17-T16)/T16</f>
        <v/>
      </c>
      <c r="W17" s="33">
        <f>(T17-U17)/U17</f>
        <v/>
      </c>
      <c r="X17" s="572">
        <f>D17/(L17+P17)</f>
        <v/>
      </c>
      <c r="Y17" s="572">
        <f>E17/(M17+Q17)</f>
        <v/>
      </c>
      <c r="Z17" s="73">
        <f>(X17-X16)/X16</f>
        <v/>
      </c>
      <c r="AA17" s="73">
        <f>(X17-Y17)/Y17</f>
        <v/>
      </c>
      <c r="AB17" s="572">
        <f>D17/(L17+P17+T17)</f>
        <v/>
      </c>
      <c r="AC17" s="572">
        <f>E17/(M17+Q17+U17)</f>
        <v/>
      </c>
      <c r="AD17" s="73">
        <f>(AB17-AB16)/AB16</f>
        <v/>
      </c>
      <c r="AE17" s="73">
        <f>(AB17-AC17)/AC17</f>
        <v/>
      </c>
      <c r="AF17" s="573" t="n">
        <v>2341</v>
      </c>
      <c r="AG17" s="573" t="n">
        <v>1277</v>
      </c>
      <c r="AH17" s="73">
        <f>(AF17-AF16)/AF16</f>
        <v/>
      </c>
      <c r="AI17" s="73">
        <f>(AF17-AG17)/AG17</f>
        <v/>
      </c>
      <c r="AJ17" s="573" t="n">
        <v>286</v>
      </c>
      <c r="AK17" s="573" t="n">
        <v>98</v>
      </c>
      <c r="AL17" s="73">
        <f>(AJ17-AJ16)/AJ16</f>
        <v/>
      </c>
      <c r="AM17" s="73">
        <f>(AJ17-AK17)/AK17</f>
        <v/>
      </c>
      <c r="AN17" s="574">
        <f>AJ17/AF17</f>
        <v/>
      </c>
      <c r="AO17" s="89">
        <f>AK17/AG17</f>
        <v/>
      </c>
      <c r="AP17" s="73">
        <f>(AN17-AN16)/AN16</f>
        <v/>
      </c>
      <c r="AQ17" s="73">
        <f>(AN17-AO17)/AO17</f>
        <v/>
      </c>
      <c r="AR17" s="571">
        <f>D17/AJ17</f>
        <v/>
      </c>
      <c r="AS17" s="571">
        <f>E17/AK17</f>
        <v/>
      </c>
      <c r="AT17" s="73">
        <f>(AR17-AR16)/AR16</f>
        <v/>
      </c>
      <c r="AU17" s="73">
        <f>(AR17-AS17)/AS17</f>
        <v/>
      </c>
      <c r="AV17" s="357" t="n"/>
    </row>
    <row customHeight="1" ht="15.75" r="18" s="452" spans="1:48">
      <c r="A18" s="49" t="s">
        <v>44</v>
      </c>
      <c r="B18" s="49" t="s">
        <v>95</v>
      </c>
      <c r="C18" s="50">
        <f>C17+7</f>
        <v/>
      </c>
      <c r="D18" s="565" t="n">
        <v>18240</v>
      </c>
      <c r="E18" s="566" t="n">
        <v>6121</v>
      </c>
      <c r="F18" s="52">
        <f>(D18-D17)/D17</f>
        <v/>
      </c>
      <c r="G18" s="52">
        <f>(D18-E18)/E18</f>
        <v/>
      </c>
      <c r="H18" s="566">
        <f>L18+P18+T18</f>
        <v/>
      </c>
      <c r="I18" s="566">
        <f>M18+Q18+U18</f>
        <v/>
      </c>
      <c r="J18" s="282">
        <f>(H18-H17)/H17</f>
        <v/>
      </c>
      <c r="K18" s="282">
        <f>(H18-I18)/I18</f>
        <v/>
      </c>
      <c r="L18" s="566" t="n">
        <v>1223.8</v>
      </c>
      <c r="M18" s="566" t="n">
        <v>628.86</v>
      </c>
      <c r="N18" s="282">
        <f>(L18-L17)/L17</f>
        <v/>
      </c>
      <c r="O18" s="282">
        <f>(L18-M18)/M18</f>
        <v/>
      </c>
      <c r="P18" s="575" t="n">
        <v>0</v>
      </c>
      <c r="Q18" s="575" t="n">
        <v>1170</v>
      </c>
      <c r="R18" s="282">
        <f>(P18-P17)/P17</f>
        <v/>
      </c>
      <c r="S18" s="282">
        <f>(P18-Q18)/Q18</f>
        <v/>
      </c>
      <c r="T18" s="566" t="n">
        <v>625</v>
      </c>
      <c r="U18" s="566">
        <f>2500/4</f>
        <v/>
      </c>
      <c r="V18" s="282">
        <f>(T18-T17)/T17</f>
        <v/>
      </c>
      <c r="W18" s="282">
        <f>(T18-U18)/U18</f>
        <v/>
      </c>
      <c r="X18" s="567">
        <f>D18/(L18+P18)</f>
        <v/>
      </c>
      <c r="Y18" s="567">
        <f>E18/(M18+Q18)</f>
        <v/>
      </c>
      <c r="Z18" s="52">
        <f>(X18-X17)/X17</f>
        <v/>
      </c>
      <c r="AA18" s="52">
        <f>(X18-Y18)/Y18</f>
        <v/>
      </c>
      <c r="AB18" s="567">
        <f>D18/(L18+P18+T18)</f>
        <v/>
      </c>
      <c r="AC18" s="567">
        <f>E18/(M18+Q18+U18)</f>
        <v/>
      </c>
      <c r="AD18" s="52">
        <f>(AB18-AB17)/AB17</f>
        <v/>
      </c>
      <c r="AE18" s="52">
        <f>(AB18-AC18)/AC18</f>
        <v/>
      </c>
      <c r="AF18" s="568" t="n">
        <v>2329</v>
      </c>
      <c r="AG18" s="568" t="n">
        <v>1567</v>
      </c>
      <c r="AH18" s="52">
        <f>(AF18-AF17)/AF17</f>
        <v/>
      </c>
      <c r="AI18" s="52">
        <f>(AF18-AG18)/AG18</f>
        <v/>
      </c>
      <c r="AJ18" s="568" t="n">
        <v>185</v>
      </c>
      <c r="AK18" s="568" t="n">
        <v>90</v>
      </c>
      <c r="AL18" s="52">
        <f>(AJ18-AJ17)/AJ17</f>
        <v/>
      </c>
      <c r="AM18" s="52">
        <f>(AJ18-AK18)/AK18</f>
        <v/>
      </c>
      <c r="AN18" s="569">
        <f>AJ18/AF18</f>
        <v/>
      </c>
      <c r="AO18" s="89">
        <f>AK18/AG18</f>
        <v/>
      </c>
      <c r="AP18" s="52">
        <f>(AN18-AN17)/AN17</f>
        <v/>
      </c>
      <c r="AQ18" s="52">
        <f>(AN18-AO18)/AO18</f>
        <v/>
      </c>
      <c r="AR18" s="566">
        <f>D18/AJ18</f>
        <v/>
      </c>
      <c r="AS18" s="566">
        <f>E18/AK18</f>
        <v/>
      </c>
      <c r="AT18" s="52">
        <f>(AR18-AR17)/AR17</f>
        <v/>
      </c>
      <c r="AU18" s="52">
        <f>(AR18-AS18)/AS18</f>
        <v/>
      </c>
    </row>
    <row customHeight="1" ht="15.75" r="19" s="452" spans="1:48">
      <c r="A19" s="49" t="s">
        <v>44</v>
      </c>
      <c r="B19" s="49" t="s">
        <v>96</v>
      </c>
      <c r="C19" s="50">
        <f>C18+7</f>
        <v/>
      </c>
      <c r="D19" s="565" t="n">
        <v>91686</v>
      </c>
      <c r="E19" s="566" t="n">
        <v>15860</v>
      </c>
      <c r="F19" s="52">
        <f>(D19-D18)/D18</f>
        <v/>
      </c>
      <c r="G19" s="52">
        <f>(D19-E19)/E19</f>
        <v/>
      </c>
      <c r="H19" s="566">
        <f>L19+P19+T19</f>
        <v/>
      </c>
      <c r="I19" s="566">
        <f>M19+Q19+U19</f>
        <v/>
      </c>
      <c r="J19" s="282">
        <f>(H19-H18)/H18</f>
        <v/>
      </c>
      <c r="K19" s="282">
        <f>(H19-I19)/I19</f>
        <v/>
      </c>
      <c r="L19" s="566" t="n">
        <v>1186.55</v>
      </c>
      <c r="M19" s="566" t="n">
        <v>1462.52</v>
      </c>
      <c r="N19" s="282">
        <f>(L19-L18)/L18</f>
        <v/>
      </c>
      <c r="O19" s="282">
        <f>(L19-M19)/M19</f>
        <v/>
      </c>
      <c r="P19" s="566" t="n">
        <v>0</v>
      </c>
      <c r="Q19" s="566" t="n">
        <v>1125</v>
      </c>
      <c r="R19" s="282">
        <f>(P19-P18)/P18</f>
        <v/>
      </c>
      <c r="S19" s="282">
        <f>(P19-Q19)/Q19</f>
        <v/>
      </c>
      <c r="T19" s="566" t="n">
        <v>500</v>
      </c>
      <c r="U19" s="566">
        <f>2500/4</f>
        <v/>
      </c>
      <c r="V19" s="282">
        <f>(T19-T18)/T18</f>
        <v/>
      </c>
      <c r="W19" s="282">
        <f>(T19-U19)/U19</f>
        <v/>
      </c>
      <c r="X19" s="567">
        <f>D19/(L19+P19)</f>
        <v/>
      </c>
      <c r="Y19" s="567">
        <f>E19/(M19+Q19)</f>
        <v/>
      </c>
      <c r="Z19" s="52">
        <f>(X19-X18)/X18</f>
        <v/>
      </c>
      <c r="AA19" s="52">
        <f>(X19-Y19)/Y19</f>
        <v/>
      </c>
      <c r="AB19" s="567">
        <f>D19/(L19+P19+T19)</f>
        <v/>
      </c>
      <c r="AC19" s="567">
        <f>E19/(M19+Q19+U19)</f>
        <v/>
      </c>
      <c r="AD19" s="52">
        <f>(AB19-AB18)/AB18</f>
        <v/>
      </c>
      <c r="AE19" s="52">
        <f>(AB19-AC19)/AC19</f>
        <v/>
      </c>
      <c r="AF19" s="568" t="n">
        <v>3387</v>
      </c>
      <c r="AG19" s="568" t="n">
        <v>1327</v>
      </c>
      <c r="AH19" s="52">
        <f>(AF19-AF18)/AF18</f>
        <v/>
      </c>
      <c r="AI19" s="52">
        <f>(AF19-AG19)/AG19</f>
        <v/>
      </c>
      <c r="AJ19" s="568" t="n">
        <v>622</v>
      </c>
      <c r="AK19" s="568" t="n">
        <v>121</v>
      </c>
      <c r="AL19" s="52">
        <f>(AJ19-AJ18)/AJ18</f>
        <v/>
      </c>
      <c r="AM19" s="52">
        <f>(AJ19-AK19)/AK19</f>
        <v/>
      </c>
      <c r="AN19" s="569">
        <f>AJ19/AF19</f>
        <v/>
      </c>
      <c r="AO19" s="89">
        <f>AK19/AG19</f>
        <v/>
      </c>
      <c r="AP19" s="52">
        <f>(AN19-AN18)/AN18</f>
        <v/>
      </c>
      <c r="AQ19" s="52">
        <f>(AN19-AO19)/AO19</f>
        <v/>
      </c>
      <c r="AR19" s="566">
        <f>D19/AJ19</f>
        <v/>
      </c>
      <c r="AS19" s="566">
        <f>E19/AK19</f>
        <v/>
      </c>
      <c r="AT19" s="52">
        <f>(AR19-AR18)/AR18</f>
        <v/>
      </c>
      <c r="AU19" s="52">
        <f>(AR19-AS19)/AS19</f>
        <v/>
      </c>
      <c r="AV19" s="214" t="s">
        <v>157</v>
      </c>
    </row>
    <row customHeight="1" ht="15.75" r="20" s="452" spans="1:48">
      <c r="A20" s="49" t="s">
        <v>44</v>
      </c>
      <c r="B20" s="49" t="s">
        <v>98</v>
      </c>
      <c r="C20" s="50">
        <f>C19+7</f>
        <v/>
      </c>
      <c r="D20" s="565" t="n">
        <v>26376</v>
      </c>
      <c r="E20" s="566" t="n">
        <v>6208</v>
      </c>
      <c r="F20" s="52">
        <f>(D20-D19)/D19</f>
        <v/>
      </c>
      <c r="G20" s="52">
        <f>(D20-E20)/E20</f>
        <v/>
      </c>
      <c r="H20" s="566">
        <f>L20+P20+T20</f>
        <v/>
      </c>
      <c r="I20" s="566">
        <f>M20+Q20+U20</f>
        <v/>
      </c>
      <c r="J20" s="33">
        <f>(H20-H19)/H19</f>
        <v/>
      </c>
      <c r="K20" s="33">
        <f>(H20-I20)/I20</f>
        <v/>
      </c>
      <c r="L20" s="566" t="n">
        <v>2388.83</v>
      </c>
      <c r="M20" s="566" t="n">
        <v>743.4299999999999</v>
      </c>
      <c r="N20" s="33">
        <f>(L20-L19)/L19</f>
        <v/>
      </c>
      <c r="O20" s="33">
        <f>(L20-M20)/M20</f>
        <v/>
      </c>
      <c r="P20" s="566" t="n">
        <v>0</v>
      </c>
      <c r="Q20" s="566" t="n">
        <v>1125</v>
      </c>
      <c r="R20" s="33">
        <f>(P20-P19)/P19</f>
        <v/>
      </c>
      <c r="S20" s="33">
        <f>(P20-Q20)/Q20</f>
        <v/>
      </c>
      <c r="T20" s="566" t="n">
        <v>500</v>
      </c>
      <c r="U20" s="566">
        <f>2500/4</f>
        <v/>
      </c>
      <c r="V20" s="33">
        <f>(T20-T19)/T19</f>
        <v/>
      </c>
      <c r="W20" s="33">
        <f>(T20-U20)/U20</f>
        <v/>
      </c>
      <c r="X20" s="567">
        <f>D20/(L20+P20)</f>
        <v/>
      </c>
      <c r="Y20" s="567">
        <f>E20/(M20+Q20)</f>
        <v/>
      </c>
      <c r="Z20" s="52">
        <f>(X20-X19)/X19</f>
        <v/>
      </c>
      <c r="AA20" s="52">
        <f>(X20-Y20)/Y20</f>
        <v/>
      </c>
      <c r="AB20" s="567">
        <f>D20/(L20+P20+T20)</f>
        <v/>
      </c>
      <c r="AC20" s="567">
        <f>E20/(M20+Q20+U20)</f>
        <v/>
      </c>
      <c r="AD20" s="52">
        <f>(AB20-AB19)/AB19</f>
        <v/>
      </c>
      <c r="AE20" s="52">
        <f>(AB20-AC20)/AC20</f>
        <v/>
      </c>
      <c r="AF20" s="568" t="n">
        <v>2366</v>
      </c>
      <c r="AG20" s="568" t="n">
        <v>1163</v>
      </c>
      <c r="AH20" s="52">
        <f>(AF20-AF19)/AF19</f>
        <v/>
      </c>
      <c r="AI20" s="52">
        <f>(AF20-AG20)/AG20</f>
        <v/>
      </c>
      <c r="AJ20" s="568" t="n">
        <v>269</v>
      </c>
      <c r="AK20" s="568" t="n">
        <v>55</v>
      </c>
      <c r="AL20" s="52">
        <f>(AJ20-AJ19)/AJ19</f>
        <v/>
      </c>
      <c r="AM20" s="52">
        <f>(AJ20-AK20)/AK20</f>
        <v/>
      </c>
      <c r="AN20" s="569">
        <f>AJ20/AF20</f>
        <v/>
      </c>
      <c r="AO20" s="89">
        <f>AK20/AG20</f>
        <v/>
      </c>
      <c r="AP20" s="52">
        <f>(AN20-AN19)/AN19</f>
        <v/>
      </c>
      <c r="AQ20" s="52">
        <f>(AN20-AO20)/AO20</f>
        <v/>
      </c>
      <c r="AR20" s="566">
        <f>D20/AJ20</f>
        <v/>
      </c>
      <c r="AS20" s="566">
        <f>E20/AK20</f>
        <v/>
      </c>
      <c r="AT20" s="52">
        <f>(AR20-AR19)/AR19</f>
        <v/>
      </c>
      <c r="AU20" s="52">
        <f>(AR20-AS20)/AS20</f>
        <v/>
      </c>
    </row>
    <row customHeight="1" ht="15.75" r="21" s="452" spans="1:48">
      <c r="A21" s="69" t="s">
        <v>44</v>
      </c>
      <c r="B21" s="69" t="s">
        <v>99</v>
      </c>
      <c r="C21" s="70">
        <f>C20+7</f>
        <v/>
      </c>
      <c r="D21" s="570" t="n">
        <v>11571</v>
      </c>
      <c r="E21" s="571" t="n">
        <v>9823</v>
      </c>
      <c r="F21" s="73">
        <f>(D21-D20)/D20</f>
        <v/>
      </c>
      <c r="G21" s="73">
        <f>(D21-E21)/E21</f>
        <v/>
      </c>
      <c r="H21" s="571">
        <f>L21+P21+T21</f>
        <v/>
      </c>
      <c r="I21" s="571">
        <f>M21+Q21+U21</f>
        <v/>
      </c>
      <c r="J21" s="282">
        <f>(H21-H20)/H20</f>
        <v/>
      </c>
      <c r="K21" s="282">
        <f>(H21-I21)/I21</f>
        <v/>
      </c>
      <c r="L21" s="571" t="n">
        <v>1028.4</v>
      </c>
      <c r="M21" s="571" t="n">
        <v>967.6</v>
      </c>
      <c r="N21" s="282">
        <f>(L21-L20)/L20</f>
        <v/>
      </c>
      <c r="O21" s="282">
        <f>(L21-M21)/M21</f>
        <v/>
      </c>
      <c r="P21" s="571" t="n">
        <v>0</v>
      </c>
      <c r="Q21" s="571" t="n">
        <v>1125</v>
      </c>
      <c r="R21" s="282">
        <f>(P21-P20)/P20</f>
        <v/>
      </c>
      <c r="S21" s="282">
        <f>(P21-Q21)/Q21</f>
        <v/>
      </c>
      <c r="T21" s="571" t="n">
        <v>500</v>
      </c>
      <c r="U21" s="571">
        <f>2500/4</f>
        <v/>
      </c>
      <c r="V21" s="282">
        <f>(T21-T20)/T20</f>
        <v/>
      </c>
      <c r="W21" s="282">
        <f>(T21-U21)/U21</f>
        <v/>
      </c>
      <c r="X21" s="572">
        <f>D21/(L21+P21)</f>
        <v/>
      </c>
      <c r="Y21" s="572">
        <f>E21/(M21+Q21)</f>
        <v/>
      </c>
      <c r="Z21" s="73">
        <f>(X21-X20)/X20</f>
        <v/>
      </c>
      <c r="AA21" s="73">
        <f>(X21-Y21)/Y21</f>
        <v/>
      </c>
      <c r="AB21" s="572">
        <f>D21/(L21+P21+T21)</f>
        <v/>
      </c>
      <c r="AC21" s="572">
        <f>E21/(M21+Q21+U21)</f>
        <v/>
      </c>
      <c r="AD21" s="73">
        <f>(AB21-AB20)/AB20</f>
        <v/>
      </c>
      <c r="AE21" s="73">
        <f>(AB21-AC21)/AC21</f>
        <v/>
      </c>
      <c r="AF21" s="573" t="n">
        <v>1467</v>
      </c>
      <c r="AG21" s="573" t="n">
        <v>2447</v>
      </c>
      <c r="AH21" s="73">
        <f>(AF21-AF20)/AF20</f>
        <v/>
      </c>
      <c r="AI21" s="73">
        <f>(AF21-AG21)/AG21</f>
        <v/>
      </c>
      <c r="AJ21" s="573" t="n">
        <v>122</v>
      </c>
      <c r="AK21" s="573" t="n">
        <v>86</v>
      </c>
      <c r="AL21" s="73">
        <f>(AJ21-AJ20)/AJ20</f>
        <v/>
      </c>
      <c r="AM21" s="73">
        <f>(AJ21-AK21)/AK21</f>
        <v/>
      </c>
      <c r="AN21" s="574">
        <f>AJ21/AF21</f>
        <v/>
      </c>
      <c r="AO21" s="89">
        <f>AK21/AG21</f>
        <v/>
      </c>
      <c r="AP21" s="73">
        <f>(AN21-AN20)/AN20</f>
        <v/>
      </c>
      <c r="AQ21" s="73">
        <f>(AN21-AO21)/AO21</f>
        <v/>
      </c>
      <c r="AR21" s="571">
        <f>D21/AJ21</f>
        <v/>
      </c>
      <c r="AS21" s="571">
        <f>E21/AK21</f>
        <v/>
      </c>
      <c r="AT21" s="73">
        <f>(AR21-AR20)/AR20</f>
        <v/>
      </c>
      <c r="AU21" s="73">
        <f>(AR21-AS21)/AS21</f>
        <v/>
      </c>
      <c r="AV21" s="357" t="n"/>
    </row>
    <row customHeight="1" ht="15.75" r="22" s="452" spans="1:48">
      <c r="A22" s="49" t="s">
        <v>45</v>
      </c>
      <c r="B22" s="49" t="s">
        <v>101</v>
      </c>
      <c r="C22" s="50">
        <f>C21+7</f>
        <v/>
      </c>
      <c r="D22" s="565" t="n">
        <v>19617</v>
      </c>
      <c r="E22" s="566" t="n">
        <v>30624</v>
      </c>
      <c r="F22" s="52">
        <f>(D22-D21)/D21</f>
        <v/>
      </c>
      <c r="G22" s="52">
        <f>(D22-E22)/E22</f>
        <v/>
      </c>
      <c r="H22" s="566">
        <f>L22+P22+T22</f>
        <v/>
      </c>
      <c r="I22" s="566">
        <f>M22+Q22+U22</f>
        <v/>
      </c>
      <c r="J22" s="282">
        <f>(H22-H21)/H21</f>
        <v/>
      </c>
      <c r="K22" s="282">
        <f>(H22-I22)/I22</f>
        <v/>
      </c>
      <c r="L22" s="566" t="n">
        <v>1461.27</v>
      </c>
      <c r="M22" s="566" t="n">
        <v>4250.15</v>
      </c>
      <c r="N22" s="282">
        <f>(L22-L21)/L21</f>
        <v/>
      </c>
      <c r="O22" s="282">
        <f>(L22-M22)/M22</f>
        <v/>
      </c>
      <c r="P22" s="575" t="n">
        <v>640</v>
      </c>
      <c r="Q22" s="566" t="n">
        <v>1125</v>
      </c>
      <c r="R22" s="282">
        <f>(P22-P21)/P21</f>
        <v/>
      </c>
      <c r="S22" s="282">
        <f>(P22-Q22)/Q22</f>
        <v/>
      </c>
      <c r="T22" s="566" t="n">
        <v>500</v>
      </c>
      <c r="U22" s="566">
        <f>2500/4</f>
        <v/>
      </c>
      <c r="V22" s="282">
        <f>(T22-T21)/T21</f>
        <v/>
      </c>
      <c r="W22" s="282">
        <f>(T22-U22)/U22</f>
        <v/>
      </c>
      <c r="X22" s="567">
        <f>D22/(L22+P22)</f>
        <v/>
      </c>
      <c r="Y22" s="567">
        <f>E22/(M22+Q22)</f>
        <v/>
      </c>
      <c r="Z22" s="52">
        <f>(X22-X21)/X21</f>
        <v/>
      </c>
      <c r="AA22" s="52">
        <f>(X22-Y22)/Y22</f>
        <v/>
      </c>
      <c r="AB22" s="567">
        <f>D22/(L22+P22+T22)</f>
        <v/>
      </c>
      <c r="AC22" s="567">
        <f>E22/(M22+Q22+U22)</f>
        <v/>
      </c>
      <c r="AD22" s="52">
        <f>(AB22-AB21)/AB21</f>
        <v/>
      </c>
      <c r="AE22" s="52">
        <f>(AB22-AC22)/AC22</f>
        <v/>
      </c>
      <c r="AF22" s="568" t="n">
        <v>2061</v>
      </c>
      <c r="AG22" s="568" t="n">
        <v>3232</v>
      </c>
      <c r="AH22" s="52">
        <f>(AF22-AF21)/AF21</f>
        <v/>
      </c>
      <c r="AI22" s="52">
        <f>(AF22-AG22)/AG22</f>
        <v/>
      </c>
      <c r="AJ22" s="568" t="n">
        <v>203</v>
      </c>
      <c r="AK22" s="568" t="n">
        <v>243</v>
      </c>
      <c r="AL22" s="52">
        <f>(AJ22-AJ21)/AJ21</f>
        <v/>
      </c>
      <c r="AM22" s="52">
        <f>(AJ22-AK22)/AK22</f>
        <v/>
      </c>
      <c r="AN22" s="569">
        <f>AJ22/AF22</f>
        <v/>
      </c>
      <c r="AO22" s="89">
        <f>AK22/AG22</f>
        <v/>
      </c>
      <c r="AP22" s="52">
        <f>(AN22-AN21)/AN21</f>
        <v/>
      </c>
      <c r="AQ22" s="52">
        <f>(AN22-AO22)/AO22</f>
        <v/>
      </c>
      <c r="AR22" s="566">
        <f>D22/AJ22</f>
        <v/>
      </c>
      <c r="AS22" s="566">
        <f>E22/AK22</f>
        <v/>
      </c>
      <c r="AT22" s="52">
        <f>(AR22-AR21)/AR21</f>
        <v/>
      </c>
      <c r="AU22" s="52">
        <f>(AR22-AS22)/AS22</f>
        <v/>
      </c>
      <c r="AV22" t="s">
        <v>158</v>
      </c>
    </row>
    <row customHeight="1" ht="15.75" r="23" s="452" spans="1:48">
      <c r="A23" s="49" t="s">
        <v>45</v>
      </c>
      <c r="B23" s="49" t="s">
        <v>102</v>
      </c>
      <c r="C23" s="50">
        <f>C22+7</f>
        <v/>
      </c>
      <c r="D23" s="565" t="n">
        <v>15709</v>
      </c>
      <c r="E23" s="566" t="n">
        <v>9607</v>
      </c>
      <c r="F23" s="52">
        <f>(D23-D22)/D22</f>
        <v/>
      </c>
      <c r="G23" s="52">
        <f>(D23-E23)/E23</f>
        <v/>
      </c>
      <c r="H23" s="566">
        <f>L23+P23+T23</f>
        <v/>
      </c>
      <c r="I23" s="566">
        <f>M23+Q23+U23</f>
        <v/>
      </c>
      <c r="J23" s="33">
        <f>(H23-H22)/H22</f>
        <v/>
      </c>
      <c r="K23" s="33">
        <f>(H23-I23)/I23</f>
        <v/>
      </c>
      <c r="L23" s="566" t="n">
        <v>1211.81</v>
      </c>
      <c r="M23" s="566" t="n">
        <v>1104.38</v>
      </c>
      <c r="N23" s="33">
        <f>(L23-L22)/L22</f>
        <v/>
      </c>
      <c r="O23" s="33">
        <f>(L23-M23)/M23</f>
        <v/>
      </c>
      <c r="P23" s="566" t="n">
        <v>0</v>
      </c>
      <c r="Q23" s="566" t="n">
        <v>943.2</v>
      </c>
      <c r="R23" s="33">
        <f>(P23-P22)/P22</f>
        <v/>
      </c>
      <c r="S23" s="33">
        <f>(P23-Q23)/Q23</f>
        <v/>
      </c>
      <c r="T23" s="566" t="n">
        <v>500</v>
      </c>
      <c r="U23" s="566">
        <f>2500/5</f>
        <v/>
      </c>
      <c r="V23" s="33">
        <f>(T23-T22)/T22</f>
        <v/>
      </c>
      <c r="W23" s="33">
        <f>(T23-U23)/U23</f>
        <v/>
      </c>
      <c r="X23" s="567">
        <f>D23/(L23+P23)</f>
        <v/>
      </c>
      <c r="Y23" s="567">
        <f>E23/(M23+Q23)</f>
        <v/>
      </c>
      <c r="Z23" s="52">
        <f>(X23-X22)/X22</f>
        <v/>
      </c>
      <c r="AA23" s="52">
        <f>(X23-Y23)/Y23</f>
        <v/>
      </c>
      <c r="AB23" s="567">
        <f>D23/(L23+P23+T23)</f>
        <v/>
      </c>
      <c r="AC23" s="567">
        <f>E23/(M23+Q23+U23)</f>
        <v/>
      </c>
      <c r="AD23" s="52">
        <f>(AB23-AB22)/AB22</f>
        <v/>
      </c>
      <c r="AE23" s="52">
        <f>(AB23-AC23)/AC23</f>
        <v/>
      </c>
      <c r="AF23" s="568" t="n">
        <v>1843</v>
      </c>
      <c r="AG23" s="568" t="n">
        <v>2033</v>
      </c>
      <c r="AH23" s="52">
        <f>(AF23-AF22)/AF22</f>
        <v/>
      </c>
      <c r="AI23" s="52">
        <f>(AF23-AG23)/AG23</f>
        <v/>
      </c>
      <c r="AJ23" s="568" t="n">
        <v>158</v>
      </c>
      <c r="AK23" s="568" t="n">
        <v>89</v>
      </c>
      <c r="AL23" s="52">
        <f>(AJ23-AJ22)/AJ22</f>
        <v/>
      </c>
      <c r="AM23" s="52">
        <f>(AJ23-AK23)/AK23</f>
        <v/>
      </c>
      <c r="AN23" s="569">
        <f>AJ23/AF23</f>
        <v/>
      </c>
      <c r="AO23" s="89">
        <f>AK23/AG23</f>
        <v/>
      </c>
      <c r="AP23" s="52">
        <f>(AN23-AN22)/AN22</f>
        <v/>
      </c>
      <c r="AQ23" s="52">
        <f>(AN23-AO23)/AO23</f>
        <v/>
      </c>
      <c r="AR23" s="566">
        <f>D23/AJ23</f>
        <v/>
      </c>
      <c r="AS23" s="566">
        <f>E23/AK23</f>
        <v/>
      </c>
      <c r="AT23" s="52">
        <f>(AR23-AR22)/AR22</f>
        <v/>
      </c>
      <c r="AU23" s="52">
        <f>(AR23-AS23)/AS23</f>
        <v/>
      </c>
    </row>
    <row customHeight="1" ht="15.75" r="24" s="452" spans="1:48">
      <c r="A24" s="49" t="s">
        <v>45</v>
      </c>
      <c r="B24" s="49" t="s">
        <v>103</v>
      </c>
      <c r="C24" s="50">
        <f>C23+7</f>
        <v/>
      </c>
      <c r="D24" s="565" t="n">
        <v>14408</v>
      </c>
      <c r="E24" s="566" t="n">
        <v>22653</v>
      </c>
      <c r="F24" s="52">
        <f>(D24-D23)/D23</f>
        <v/>
      </c>
      <c r="G24" s="52">
        <f>(D24-E24)/E24</f>
        <v/>
      </c>
      <c r="H24" s="566">
        <f>L24+P24+T24</f>
        <v/>
      </c>
      <c r="I24" s="566">
        <f>M24+Q24+U24</f>
        <v/>
      </c>
      <c r="J24" s="282">
        <f>(H24-H23)/H23</f>
        <v/>
      </c>
      <c r="K24" s="282">
        <f>(H24-I24)/I24</f>
        <v/>
      </c>
      <c r="L24" s="566" t="n">
        <v>1514.48</v>
      </c>
      <c r="M24" s="566" t="n">
        <v>3062.86</v>
      </c>
      <c r="N24" s="282">
        <f>(L24-L23)/L23</f>
        <v/>
      </c>
      <c r="O24" s="282">
        <f>(L24-M24)/M24</f>
        <v/>
      </c>
      <c r="P24" s="566" t="n">
        <v>0</v>
      </c>
      <c r="Q24" s="566" t="n">
        <v>943.2</v>
      </c>
      <c r="R24" s="282">
        <f>(P24-P23)/P23</f>
        <v/>
      </c>
      <c r="S24" s="282">
        <f>(P24-Q24)/Q24</f>
        <v/>
      </c>
      <c r="T24" s="576" t="n">
        <v>625</v>
      </c>
      <c r="U24" s="566">
        <f>2500/5</f>
        <v/>
      </c>
      <c r="V24" s="282">
        <f>(T24-T23)/T23</f>
        <v/>
      </c>
      <c r="W24" s="282">
        <f>(T24-U24)/U24</f>
        <v/>
      </c>
      <c r="X24" s="567">
        <f>D24/(L24+P24)</f>
        <v/>
      </c>
      <c r="Y24" s="567">
        <f>E24/(M24+Q24)</f>
        <v/>
      </c>
      <c r="Z24" s="52">
        <f>(X24-X23)/X23</f>
        <v/>
      </c>
      <c r="AA24" s="52">
        <f>(X24-Y24)/Y24</f>
        <v/>
      </c>
      <c r="AB24" s="567">
        <f>D24/(L24+P24+T24)</f>
        <v/>
      </c>
      <c r="AC24" s="567">
        <f>E24/(M24+Q24+U24)</f>
        <v/>
      </c>
      <c r="AD24" s="52">
        <f>(AB24-AB23)/AB23</f>
        <v/>
      </c>
      <c r="AE24" s="52">
        <f>(AB24-AC24)/AC24</f>
        <v/>
      </c>
      <c r="AF24" s="568" t="n">
        <v>1811</v>
      </c>
      <c r="AG24" s="568" t="n">
        <v>4188</v>
      </c>
      <c r="AH24" s="52">
        <f>(AF24-AF23)/AF23</f>
        <v/>
      </c>
      <c r="AI24" s="52">
        <f>(AF24-AG24)/AG24</f>
        <v/>
      </c>
      <c r="AJ24" s="568" t="n">
        <v>197</v>
      </c>
      <c r="AK24" s="568" t="n">
        <v>231</v>
      </c>
      <c r="AL24" s="52">
        <f>(AJ24-AJ23)/AJ23</f>
        <v/>
      </c>
      <c r="AM24" s="52">
        <f>(AJ24-AK24)/AK24</f>
        <v/>
      </c>
      <c r="AN24" s="569">
        <f>AJ24/AF24</f>
        <v/>
      </c>
      <c r="AO24" s="89">
        <f>AK24/AG24</f>
        <v/>
      </c>
      <c r="AP24" s="52">
        <f>(AN24-AN23)/AN23</f>
        <v/>
      </c>
      <c r="AQ24" s="52">
        <f>(AN24-AO24)/AO24</f>
        <v/>
      </c>
      <c r="AR24" s="566">
        <f>D24/AJ24</f>
        <v/>
      </c>
      <c r="AS24" s="566">
        <f>E24/AK24</f>
        <v/>
      </c>
      <c r="AT24" s="52">
        <f>(AR24-AR23)/AR23</f>
        <v/>
      </c>
      <c r="AU24" s="52">
        <f>(AR24-AS24)/AS24</f>
        <v/>
      </c>
    </row>
    <row customHeight="1" ht="15.75" r="25" s="452" spans="1:48">
      <c r="A25" s="69" t="s">
        <v>45</v>
      </c>
      <c r="B25" s="69" t="s">
        <v>104</v>
      </c>
      <c r="C25" s="70">
        <f>C24+7</f>
        <v/>
      </c>
      <c r="D25" s="570" t="n">
        <v>42858</v>
      </c>
      <c r="E25" s="571" t="n">
        <v>5323</v>
      </c>
      <c r="F25" s="73">
        <f>(D25-D24)/D24</f>
        <v/>
      </c>
      <c r="G25" s="73">
        <f>(D25-E25)/E25</f>
        <v/>
      </c>
      <c r="H25" s="571">
        <f>L25+P25+T25</f>
        <v/>
      </c>
      <c r="I25" s="571">
        <f>M25+Q25+U25</f>
        <v/>
      </c>
      <c r="J25" s="282">
        <f>(H25-H24)/H24</f>
        <v/>
      </c>
      <c r="K25" s="282">
        <f>(H25-I25)/I25</f>
        <v/>
      </c>
      <c r="L25" s="571" t="n">
        <v>659</v>
      </c>
      <c r="M25" s="571" t="n">
        <v>729.38</v>
      </c>
      <c r="N25" s="282">
        <f>(L25-L24)/L24</f>
        <v/>
      </c>
      <c r="O25" s="282">
        <f>(L25-M25)/M25</f>
        <v/>
      </c>
      <c r="P25" s="571" t="n">
        <v>0</v>
      </c>
      <c r="Q25" s="571" t="n">
        <v>943.2</v>
      </c>
      <c r="R25" s="282">
        <f>(P25-P24)/P24</f>
        <v/>
      </c>
      <c r="S25" s="282">
        <f>(P25-Q25)/Q25</f>
        <v/>
      </c>
      <c r="T25" s="577" t="n">
        <v>625</v>
      </c>
      <c r="U25" s="571">
        <f>2500/5</f>
        <v/>
      </c>
      <c r="V25" s="282">
        <f>(T25-T24)/T24</f>
        <v/>
      </c>
      <c r="W25" s="282">
        <f>(T25-U25)/U25</f>
        <v/>
      </c>
      <c r="X25" s="572">
        <f>D25/(L25+P25)</f>
        <v/>
      </c>
      <c r="Y25" s="572">
        <f>E25/(M25+Q25)</f>
        <v/>
      </c>
      <c r="Z25" s="73">
        <f>(X25-X24)/X24</f>
        <v/>
      </c>
      <c r="AA25" s="73">
        <f>(X25-Y25)/Y25</f>
        <v/>
      </c>
      <c r="AB25" s="572">
        <f>D25/(L25+P25+T25)</f>
        <v/>
      </c>
      <c r="AC25" s="572">
        <f>E25/(M25+Q25+U25)</f>
        <v/>
      </c>
      <c r="AD25" s="73">
        <f>(AB25-AB24)/AB24</f>
        <v/>
      </c>
      <c r="AE25" s="73">
        <f>(AB25-AC25)/AC25</f>
        <v/>
      </c>
      <c r="AF25" s="573" t="n">
        <v>2106</v>
      </c>
      <c r="AG25" s="573" t="n">
        <v>2991</v>
      </c>
      <c r="AH25" s="73">
        <f>(AF25-AF24)/AF24</f>
        <v/>
      </c>
      <c r="AI25" s="73">
        <f>(AF25-AG25)/AG25</f>
        <v/>
      </c>
      <c r="AJ25" s="573" t="n">
        <v>321</v>
      </c>
      <c r="AK25" s="573" t="n">
        <v>45</v>
      </c>
      <c r="AL25" s="73">
        <f>(AJ25-AJ24)/AJ24</f>
        <v/>
      </c>
      <c r="AM25" s="73">
        <f>(AJ25-AK25)/AK25</f>
        <v/>
      </c>
      <c r="AN25" s="574">
        <f>AJ25/AF25</f>
        <v/>
      </c>
      <c r="AO25" s="89">
        <f>AK25/AG25</f>
        <v/>
      </c>
      <c r="AP25" s="73">
        <f>(AN25-AN24)/AN24</f>
        <v/>
      </c>
      <c r="AQ25" s="73">
        <f>(AN25-AO25)/AO25</f>
        <v/>
      </c>
      <c r="AR25" s="571">
        <f>D25/AJ25</f>
        <v/>
      </c>
      <c r="AS25" s="571">
        <f>E25/AK25</f>
        <v/>
      </c>
      <c r="AT25" s="73">
        <f>(AR25-AR24)/AR24</f>
        <v/>
      </c>
      <c r="AU25" s="73">
        <f>(AR25-AS25)/AS25</f>
        <v/>
      </c>
      <c r="AV25" s="357" t="s">
        <v>105</v>
      </c>
    </row>
    <row customHeight="1" ht="15.75" r="26" s="452" spans="1:48">
      <c r="A26" s="49" t="s">
        <v>46</v>
      </c>
      <c r="B26" s="49" t="s">
        <v>106</v>
      </c>
      <c r="C26" s="50">
        <f>C25+7</f>
        <v/>
      </c>
      <c r="D26" s="565" t="n">
        <v>13456</v>
      </c>
      <c r="E26" s="566" t="n">
        <v>17375</v>
      </c>
      <c r="F26" s="52">
        <f>(D26-D25)/D25</f>
        <v/>
      </c>
      <c r="G26" s="52">
        <f>(D26-E26)/E26</f>
        <v/>
      </c>
      <c r="H26" s="566">
        <f>L26+P26+T26</f>
        <v/>
      </c>
      <c r="I26" s="566">
        <f>M26+Q26+U26</f>
        <v/>
      </c>
      <c r="J26" s="33">
        <f>(H26-H25)/H25</f>
        <v/>
      </c>
      <c r="K26" s="33">
        <f>(H26-I26)/I26</f>
        <v/>
      </c>
      <c r="L26" s="566" t="n">
        <v>827.61</v>
      </c>
      <c r="M26" s="566" t="n">
        <v>2661.4</v>
      </c>
      <c r="N26" s="33">
        <f>(L26-L25)/L25</f>
        <v/>
      </c>
      <c r="O26" s="33">
        <f>(L26-M26)/M26</f>
        <v/>
      </c>
      <c r="P26" s="566" t="n">
        <v>0</v>
      </c>
      <c r="Q26" s="566" t="n">
        <v>943.2</v>
      </c>
      <c r="R26" s="33">
        <f>(P26-P25)/P25</f>
        <v/>
      </c>
      <c r="S26" s="33">
        <f>(P26-Q26)/Q26</f>
        <v/>
      </c>
      <c r="T26" s="576" t="n">
        <v>625</v>
      </c>
      <c r="U26" s="566">
        <f>2500/5</f>
        <v/>
      </c>
      <c r="V26" s="33">
        <f>(T26-T25)/T25</f>
        <v/>
      </c>
      <c r="W26" s="33">
        <f>(T26-U26)/U26</f>
        <v/>
      </c>
      <c r="X26" s="567">
        <f>D26/(L26+P26)</f>
        <v/>
      </c>
      <c r="Y26" s="567">
        <f>E26/(M26+Q26)</f>
        <v/>
      </c>
      <c r="Z26" s="52">
        <f>(X26-X25)/X25</f>
        <v/>
      </c>
      <c r="AA26" s="52">
        <f>(X26-Y26)/Y26</f>
        <v/>
      </c>
      <c r="AB26" s="567">
        <f>D26/(L26+P26+T26)</f>
        <v/>
      </c>
      <c r="AC26" s="567">
        <f>E26/(M26+Q26+U26)</f>
        <v/>
      </c>
      <c r="AD26" s="52">
        <f>(AB26-AB25)/AB25</f>
        <v/>
      </c>
      <c r="AE26" s="52">
        <f>(AB26-AC26)/AC26</f>
        <v/>
      </c>
      <c r="AF26" s="568" t="n">
        <v>1593</v>
      </c>
      <c r="AG26" s="568" t="n">
        <v>3507</v>
      </c>
      <c r="AH26" s="52">
        <f>(AF26-AF25)/AF25</f>
        <v/>
      </c>
      <c r="AI26" s="52">
        <f>(AF26-AG26)/AG26</f>
        <v/>
      </c>
      <c r="AJ26" s="568" t="n">
        <v>132</v>
      </c>
      <c r="AK26" s="568" t="n">
        <v>172</v>
      </c>
      <c r="AL26" s="52">
        <f>(AJ26-AJ25)/AJ25</f>
        <v/>
      </c>
      <c r="AM26" s="52">
        <f>(AJ26-AK26)/AK26</f>
        <v/>
      </c>
      <c r="AN26" s="569">
        <f>AJ26/AF26</f>
        <v/>
      </c>
      <c r="AO26" s="89">
        <f>AK26/AG26</f>
        <v/>
      </c>
      <c r="AP26" s="52">
        <f>(AN26-AN25)/AN25</f>
        <v/>
      </c>
      <c r="AQ26" s="52">
        <f>(AN26-AO26)/AO26</f>
        <v/>
      </c>
      <c r="AR26" s="566">
        <f>D26/AJ26</f>
        <v/>
      </c>
      <c r="AS26" s="566">
        <f>E26/AK26</f>
        <v/>
      </c>
      <c r="AT26" s="52">
        <f>(AR26-AR25)/AR25</f>
        <v/>
      </c>
      <c r="AU26" s="52">
        <f>(AR26-AS26)/AS26</f>
        <v/>
      </c>
    </row>
    <row customHeight="1" ht="15.75" r="27" s="452" spans="1:48">
      <c r="A27" s="49" t="s">
        <v>46</v>
      </c>
      <c r="B27" s="49" t="s">
        <v>108</v>
      </c>
      <c r="C27" s="50">
        <f>C26+7</f>
        <v/>
      </c>
      <c r="D27" s="565" t="n">
        <v>14237</v>
      </c>
      <c r="E27" s="566" t="n">
        <v>6118</v>
      </c>
      <c r="F27" s="52">
        <f>(D27-D26)/D26</f>
        <v/>
      </c>
      <c r="G27" s="52">
        <f>(D27-E27)/E27</f>
        <v/>
      </c>
      <c r="H27" s="566">
        <f>L27+P27+T27</f>
        <v/>
      </c>
      <c r="I27" s="566">
        <f>M27+Q27+U27</f>
        <v/>
      </c>
      <c r="J27" s="282">
        <f>(H27-H26)/H26</f>
        <v/>
      </c>
      <c r="K27" s="282">
        <f>(H27-I27)/I27</f>
        <v/>
      </c>
      <c r="L27" s="566" t="n">
        <v>880.9400000000001</v>
      </c>
      <c r="M27" s="566" t="n">
        <v>841.64</v>
      </c>
      <c r="N27" s="282">
        <f>(L27-L26)/L26</f>
        <v/>
      </c>
      <c r="O27" s="282">
        <f>(L27-M27)/M27</f>
        <v/>
      </c>
      <c r="P27" s="566" t="n">
        <v>0</v>
      </c>
      <c r="Q27" s="566" t="n">
        <v>943.2</v>
      </c>
      <c r="R27" s="282">
        <f>(P27-P26)/P26</f>
        <v/>
      </c>
      <c r="S27" s="282">
        <f>(P27-Q27)/Q27</f>
        <v/>
      </c>
      <c r="T27" s="576" t="n">
        <v>625</v>
      </c>
      <c r="U27" s="566">
        <f>2500/5</f>
        <v/>
      </c>
      <c r="V27" s="282">
        <f>(T27-T26)/T26</f>
        <v/>
      </c>
      <c r="W27" s="282">
        <f>(T27-U27)/U27</f>
        <v/>
      </c>
      <c r="X27" s="567">
        <f>D27/(L27+P27)</f>
        <v/>
      </c>
      <c r="Y27" s="567">
        <f>E27/(M27+Q27)</f>
        <v/>
      </c>
      <c r="Z27" s="52">
        <f>(X27-X26)/X26</f>
        <v/>
      </c>
      <c r="AA27" s="52">
        <f>(X27-Y27)/Y27</f>
        <v/>
      </c>
      <c r="AB27" s="567">
        <f>D27/(L27+P27+T27)</f>
        <v/>
      </c>
      <c r="AC27" s="567">
        <f>E27/(M27+Q27+U27)</f>
        <v/>
      </c>
      <c r="AD27" s="52">
        <f>(AB27-AB26)/AB26</f>
        <v/>
      </c>
      <c r="AE27" s="52">
        <f>(AB27-AC27)/AC27</f>
        <v/>
      </c>
      <c r="AF27" s="568" t="n">
        <v>1582</v>
      </c>
      <c r="AG27" s="568" t="n">
        <v>2445</v>
      </c>
      <c r="AH27" s="52">
        <f>(AF27-AF26)/AF26</f>
        <v/>
      </c>
      <c r="AI27" s="52">
        <f>(AF27-AG27)/AG27</f>
        <v/>
      </c>
      <c r="AJ27" s="568" t="n">
        <v>135</v>
      </c>
      <c r="AK27" s="568" t="n">
        <v>61</v>
      </c>
      <c r="AL27" s="52">
        <f>(AJ27-AJ26)/AJ26</f>
        <v/>
      </c>
      <c r="AM27" s="52">
        <f>(AJ27-AK27)/AK27</f>
        <v/>
      </c>
      <c r="AN27" s="569">
        <f>AJ27/AF27</f>
        <v/>
      </c>
      <c r="AO27" s="89">
        <f>AK27/AG27</f>
        <v/>
      </c>
      <c r="AP27" s="52">
        <f>(AN27-AN26)/AN26</f>
        <v/>
      </c>
      <c r="AQ27" s="52">
        <f>(AN27-AO27)/AO27</f>
        <v/>
      </c>
      <c r="AR27" s="566">
        <f>D27/AJ27</f>
        <v/>
      </c>
      <c r="AS27" s="566">
        <f>E27/AK27</f>
        <v/>
      </c>
      <c r="AT27" s="52">
        <f>(AR27-AR26)/AR26</f>
        <v/>
      </c>
      <c r="AU27" s="52">
        <f>(AR27-AS27)/AS27</f>
        <v/>
      </c>
    </row>
    <row customHeight="1" ht="15.75" r="28" s="452" spans="1:48">
      <c r="A28" s="49" t="s">
        <v>46</v>
      </c>
      <c r="B28" s="49" t="s">
        <v>109</v>
      </c>
      <c r="C28" s="50">
        <f>C27+7</f>
        <v/>
      </c>
      <c r="D28" s="565" t="n">
        <v>16820</v>
      </c>
      <c r="E28" s="566" t="n">
        <v>15151</v>
      </c>
      <c r="F28" s="52">
        <f>(D28-D27)/D27</f>
        <v/>
      </c>
      <c r="G28" s="52">
        <f>(D28-E28)/E28</f>
        <v/>
      </c>
      <c r="H28" s="566">
        <f>L28+P28+T28</f>
        <v/>
      </c>
      <c r="I28" s="566">
        <f>M28+Q28+U28</f>
        <v/>
      </c>
      <c r="J28" s="282" t="n">
        <v>1.02</v>
      </c>
      <c r="K28" s="282">
        <f>(H28-I28)/I28</f>
        <v/>
      </c>
      <c r="L28" s="566" t="n">
        <v>1033.95</v>
      </c>
      <c r="M28" s="566" t="n">
        <v>2254.99</v>
      </c>
      <c r="N28" s="282" t="n">
        <v>1.02</v>
      </c>
      <c r="O28" s="282">
        <f>(L28-M28)/M28</f>
        <v/>
      </c>
      <c r="P28" s="566" t="n">
        <v>0</v>
      </c>
      <c r="Q28" s="566" t="n">
        <v>1179</v>
      </c>
      <c r="R28" s="282" t="n">
        <v>1.02</v>
      </c>
      <c r="S28" s="282">
        <f>(P28-Q28)/Q28</f>
        <v/>
      </c>
      <c r="T28" s="576" t="n">
        <v>625</v>
      </c>
      <c r="U28" s="566">
        <f>2500/4</f>
        <v/>
      </c>
      <c r="V28" s="282" t="n">
        <v>1.02</v>
      </c>
      <c r="W28" s="282">
        <f>(T28-U28)/U28</f>
        <v/>
      </c>
      <c r="X28" s="567">
        <f>D28/(L28+P28)</f>
        <v/>
      </c>
      <c r="Y28" s="567">
        <f>E28/(M28+Q28)</f>
        <v/>
      </c>
      <c r="Z28" s="52">
        <f>(X28-X27)/X27</f>
        <v/>
      </c>
      <c r="AA28" s="52">
        <f>(X28-Y28)/Y28</f>
        <v/>
      </c>
      <c r="AB28" s="567">
        <f>D28/(L28+P28+T28)</f>
        <v/>
      </c>
      <c r="AC28" s="567">
        <f>E28/(M28+Q28+U28)</f>
        <v/>
      </c>
      <c r="AD28" s="52">
        <f>(AB28-AB27)/AB27</f>
        <v/>
      </c>
      <c r="AE28" s="52">
        <f>(AB28-AC28)/AC28</f>
        <v/>
      </c>
      <c r="AF28" s="568" t="n">
        <v>1484</v>
      </c>
      <c r="AG28" s="568" t="n">
        <v>3154</v>
      </c>
      <c r="AH28" s="52">
        <f>(AF28-AF27)/AF27</f>
        <v/>
      </c>
      <c r="AI28" s="52">
        <f>(AF28-AG28)/AG28</f>
        <v/>
      </c>
      <c r="AJ28" s="568" t="n">
        <v>153</v>
      </c>
      <c r="AK28" s="568" t="n">
        <v>165</v>
      </c>
      <c r="AL28" s="52">
        <f>(AJ28-AJ27)/AJ27</f>
        <v/>
      </c>
      <c r="AM28" s="52">
        <f>(AJ28-AK28)/AK28</f>
        <v/>
      </c>
      <c r="AN28" s="569">
        <f>AJ28/AF28</f>
        <v/>
      </c>
      <c r="AO28" s="89">
        <f>AK28/AG28</f>
        <v/>
      </c>
      <c r="AP28" s="52">
        <f>(AN28-AN27)/AN27</f>
        <v/>
      </c>
      <c r="AQ28" s="52">
        <f>(AN28-AO28)/AO28</f>
        <v/>
      </c>
      <c r="AR28" s="566">
        <f>D28/AJ28</f>
        <v/>
      </c>
      <c r="AS28" s="566">
        <f>E28/AK28</f>
        <v/>
      </c>
      <c r="AT28" s="52">
        <f>(AR28-AR27)/AR27</f>
        <v/>
      </c>
      <c r="AU28" s="52">
        <f>(AR28-AS28)/AS28</f>
        <v/>
      </c>
    </row>
    <row customHeight="1" ht="15.75" r="29" s="452" spans="1:48">
      <c r="A29" s="69" t="s">
        <v>46</v>
      </c>
      <c r="B29" s="69" t="s">
        <v>110</v>
      </c>
      <c r="C29" s="70">
        <f>C28+7</f>
        <v/>
      </c>
      <c r="D29" s="570" t="n">
        <v>22953</v>
      </c>
      <c r="E29" s="571" t="n">
        <v>23850</v>
      </c>
      <c r="F29" s="73">
        <f>(D29-D28)/D28</f>
        <v/>
      </c>
      <c r="G29" s="73">
        <f>(D29-E29)/E29</f>
        <v/>
      </c>
      <c r="H29" s="571">
        <f>L29+P29+T29</f>
        <v/>
      </c>
      <c r="I29" s="571">
        <f>M29+Q29+U29</f>
        <v/>
      </c>
      <c r="J29" s="33">
        <f>(H29-H28)/H28</f>
        <v/>
      </c>
      <c r="K29" s="33">
        <f>(H29-I29)/I29</f>
        <v/>
      </c>
      <c r="L29" s="571" t="n">
        <v>1537.21</v>
      </c>
      <c r="M29" s="571" t="n">
        <v>2893.6</v>
      </c>
      <c r="N29" s="33">
        <f>(L29-L28)/L28</f>
        <v/>
      </c>
      <c r="O29" s="33">
        <f>(L29-M29)/M29</f>
        <v/>
      </c>
      <c r="P29" s="571" t="n">
        <v>0</v>
      </c>
      <c r="Q29" s="571" t="n">
        <v>1179</v>
      </c>
      <c r="R29" s="33">
        <f>(P29-P28)/P28</f>
        <v/>
      </c>
      <c r="S29" s="33">
        <f>(P29-Q29)/Q29</f>
        <v/>
      </c>
      <c r="T29" s="577" t="n">
        <v>625</v>
      </c>
      <c r="U29" s="571">
        <f>2500/4</f>
        <v/>
      </c>
      <c r="V29" s="33">
        <f>(T29-T28)/T28</f>
        <v/>
      </c>
      <c r="W29" s="33">
        <f>(T29-U29)/U29</f>
        <v/>
      </c>
      <c r="X29" s="572">
        <f>D29/(L29+P29)</f>
        <v/>
      </c>
      <c r="Y29" s="572">
        <f>E29/(M29+Q29)</f>
        <v/>
      </c>
      <c r="Z29" s="73">
        <f>(X29-X28)/X28</f>
        <v/>
      </c>
      <c r="AA29" s="73">
        <f>(X29-Y29)/Y29</f>
        <v/>
      </c>
      <c r="AB29" s="572">
        <f>D29/(L29+P29+T29)</f>
        <v/>
      </c>
      <c r="AC29" s="572">
        <f>E29/(M29+Q29+U29)</f>
        <v/>
      </c>
      <c r="AD29" s="73">
        <f>(AB29-AB28)/AB28</f>
        <v/>
      </c>
      <c r="AE29" s="73">
        <f>(AB29-AC29)/AC29</f>
        <v/>
      </c>
      <c r="AF29" s="573" t="n">
        <v>1835</v>
      </c>
      <c r="AG29" s="573" t="n">
        <v>2673</v>
      </c>
      <c r="AH29" s="73">
        <f>(AF29-AF28)/AF28</f>
        <v/>
      </c>
      <c r="AI29" s="73">
        <f>(AF29-AG29)/AG29</f>
        <v/>
      </c>
      <c r="AJ29" s="573" t="n">
        <v>181</v>
      </c>
      <c r="AK29" s="573" t="n">
        <v>182</v>
      </c>
      <c r="AL29" s="73">
        <f>(AJ29-AJ28)/AJ28</f>
        <v/>
      </c>
      <c r="AM29" s="73">
        <f>(AJ29-AK29)/AK29</f>
        <v/>
      </c>
      <c r="AN29" s="574">
        <f>AJ29/AF29</f>
        <v/>
      </c>
      <c r="AO29" s="89">
        <f>AK29/AG29</f>
        <v/>
      </c>
      <c r="AP29" s="73">
        <f>(AN29-AN28)/AN28</f>
        <v/>
      </c>
      <c r="AQ29" s="73">
        <f>(AN29-AO29)/AO29</f>
        <v/>
      </c>
      <c r="AR29" s="571">
        <f>D29/AJ29</f>
        <v/>
      </c>
      <c r="AS29" s="571">
        <f>E29/AK29</f>
        <v/>
      </c>
      <c r="AT29" s="73">
        <f>(AR29-AR28)/AR28</f>
        <v/>
      </c>
      <c r="AU29" s="73">
        <f>(AR29-AS29)/AS29</f>
        <v/>
      </c>
      <c r="AV29" s="357" t="n"/>
    </row>
    <row customHeight="1" ht="15.75" r="30" s="452" spans="1:48">
      <c r="A30" s="49" t="s">
        <v>47</v>
      </c>
      <c r="B30" s="49" t="s">
        <v>111</v>
      </c>
      <c r="C30" s="50">
        <f>C29+7</f>
        <v/>
      </c>
      <c r="D30" s="565" t="n">
        <v>27040</v>
      </c>
      <c r="E30" s="566" t="n">
        <v>13548</v>
      </c>
      <c r="F30" s="52">
        <f>(D30-D29)/D29</f>
        <v/>
      </c>
      <c r="G30" s="52">
        <f>(D30-E30)/E30</f>
        <v/>
      </c>
      <c r="H30" s="566">
        <f>L30+P30+T30</f>
        <v/>
      </c>
      <c r="I30" s="566">
        <f>M30+Q30+U30</f>
        <v/>
      </c>
      <c r="J30" s="282">
        <f>(H30-H29)/H29</f>
        <v/>
      </c>
      <c r="K30" s="282">
        <f>(H30-I30)/I30</f>
        <v/>
      </c>
      <c r="L30" s="566" t="n">
        <v>1256.78</v>
      </c>
      <c r="M30" s="566" t="n">
        <v>2180.85</v>
      </c>
      <c r="N30" s="282">
        <f>(L30-L29)/L29</f>
        <v/>
      </c>
      <c r="O30" s="282">
        <f>(L30-M30)/M30</f>
        <v/>
      </c>
      <c r="P30" s="566" t="n">
        <v>0</v>
      </c>
      <c r="Q30" s="566" t="n">
        <v>1179</v>
      </c>
      <c r="R30" s="282">
        <f>(P30-P29)/P29</f>
        <v/>
      </c>
      <c r="S30" s="282">
        <f>(P30-Q30)/Q30</f>
        <v/>
      </c>
      <c r="T30" s="576" t="n">
        <v>625</v>
      </c>
      <c r="U30" s="566">
        <f>2500/4</f>
        <v/>
      </c>
      <c r="V30" s="282">
        <f>(T30-T29)/T29</f>
        <v/>
      </c>
      <c r="W30" s="282">
        <f>(T30-U30)/U30</f>
        <v/>
      </c>
      <c r="X30" s="567">
        <f>D30/(L30+P30)</f>
        <v/>
      </c>
      <c r="Y30" s="567">
        <f>E30/(M30+Q30)</f>
        <v/>
      </c>
      <c r="Z30" s="52">
        <f>(X30-X29)/X29</f>
        <v/>
      </c>
      <c r="AA30" s="52">
        <f>(X30-Y30)/Y30</f>
        <v/>
      </c>
      <c r="AB30" s="567">
        <f>D30/(L30+P30+T30)</f>
        <v/>
      </c>
      <c r="AC30" s="567">
        <f>E30/(M30+Q30+U30)</f>
        <v/>
      </c>
      <c r="AD30" s="52">
        <f>(AB30-AB29)/AB29</f>
        <v/>
      </c>
      <c r="AE30" s="52">
        <f>(AB30-AC30)/AC30</f>
        <v/>
      </c>
      <c r="AF30" s="568" t="n">
        <v>2204</v>
      </c>
      <c r="AG30" s="568" t="n">
        <v>2440</v>
      </c>
      <c r="AH30" s="52">
        <f>(AF30-AF29)/AF29</f>
        <v/>
      </c>
      <c r="AI30" s="52">
        <f>(AF30-AG30)/AG30</f>
        <v/>
      </c>
      <c r="AJ30" s="568" t="n">
        <v>217</v>
      </c>
      <c r="AK30" s="568" t="n">
        <v>122</v>
      </c>
      <c r="AL30" s="52">
        <f>(AJ30-AJ29)/AJ29</f>
        <v/>
      </c>
      <c r="AM30" s="52">
        <f>(AJ30-AK30)/AK30</f>
        <v/>
      </c>
      <c r="AN30" s="569">
        <f>AJ30/AF30</f>
        <v/>
      </c>
      <c r="AO30" s="89">
        <f>AK30/AG30</f>
        <v/>
      </c>
      <c r="AP30" s="52">
        <f>(AN30-AN29)/AN29</f>
        <v/>
      </c>
      <c r="AQ30" s="52">
        <f>(AN30-AO30)/AO30</f>
        <v/>
      </c>
      <c r="AR30" s="566">
        <f>D30/AJ30</f>
        <v/>
      </c>
      <c r="AS30" s="566">
        <f>E30/AK30</f>
        <v/>
      </c>
      <c r="AT30" s="52">
        <f>(AR30-AR29)/AR29</f>
        <v/>
      </c>
      <c r="AU30" s="52">
        <f>(AR30-AS30)/AS30</f>
        <v/>
      </c>
      <c r="AV30" t="s">
        <v>159</v>
      </c>
    </row>
    <row customHeight="1" ht="15.75" r="31" s="452" spans="1:48">
      <c r="A31" s="49" t="s">
        <v>47</v>
      </c>
      <c r="B31" s="49" t="s">
        <v>112</v>
      </c>
      <c r="C31" s="50">
        <f>C30+7</f>
        <v/>
      </c>
      <c r="D31" s="565" t="n">
        <v>33397</v>
      </c>
      <c r="E31" s="566" t="n">
        <v>7284</v>
      </c>
      <c r="F31" s="52">
        <f>(D31-D30)/D30</f>
        <v/>
      </c>
      <c r="G31" s="52">
        <f>(D31-E31)/E31</f>
        <v/>
      </c>
      <c r="H31" s="566">
        <f>L31+P31+T31</f>
        <v/>
      </c>
      <c r="I31" s="566">
        <f>M31+Q31+U31</f>
        <v/>
      </c>
      <c r="J31" s="282">
        <f>(H31-H30)/H30</f>
        <v/>
      </c>
      <c r="K31" s="282">
        <f>(H31-I31)/I31</f>
        <v/>
      </c>
      <c r="L31" s="566" t="n">
        <v>516.24</v>
      </c>
      <c r="M31" s="566" t="n">
        <v>1050.03</v>
      </c>
      <c r="N31" s="282">
        <f>(L31-L30)/L30</f>
        <v/>
      </c>
      <c r="O31" s="282">
        <f>(L31-M31)/M31</f>
        <v/>
      </c>
      <c r="P31" s="566" t="n">
        <v>0</v>
      </c>
      <c r="Q31" s="566" t="n">
        <v>1179</v>
      </c>
      <c r="R31" s="282">
        <f>(P31-P30)/P30</f>
        <v/>
      </c>
      <c r="S31" s="282">
        <f>(P31-Q31)/Q31</f>
        <v/>
      </c>
      <c r="T31" s="576" t="n">
        <v>625</v>
      </c>
      <c r="U31" s="566">
        <f>2500/4</f>
        <v/>
      </c>
      <c r="V31" s="282">
        <f>(T31-T30)/T30</f>
        <v/>
      </c>
      <c r="W31" s="282">
        <f>(T31-U31)/U31</f>
        <v/>
      </c>
      <c r="X31" s="567">
        <f>D31/(L31+P31)</f>
        <v/>
      </c>
      <c r="Y31" s="567">
        <f>E31/(M31+Q31)</f>
        <v/>
      </c>
      <c r="Z31" s="52">
        <f>(X31-X30)/X30</f>
        <v/>
      </c>
      <c r="AA31" s="52">
        <f>(X31-Y31)/Y31</f>
        <v/>
      </c>
      <c r="AB31" s="567">
        <f>D31/(L31+P31+T31)</f>
        <v/>
      </c>
      <c r="AC31" s="567">
        <f>E31/(M31+Q31+U31)</f>
        <v/>
      </c>
      <c r="AD31" s="52">
        <f>(AB31-AB30)/AB30</f>
        <v/>
      </c>
      <c r="AE31" s="52">
        <f>(AB31-AC31)/AC31</f>
        <v/>
      </c>
      <c r="AF31" s="568" t="n">
        <v>2412</v>
      </c>
      <c r="AG31" s="568" t="n">
        <v>1546</v>
      </c>
      <c r="AH31" s="52">
        <f>(AF31-AF30)/AF30</f>
        <v/>
      </c>
      <c r="AI31" s="52">
        <f>(AF31-AG31)/AG31</f>
        <v/>
      </c>
      <c r="AJ31" s="568" t="n">
        <v>247</v>
      </c>
      <c r="AK31" s="568" t="n">
        <v>74</v>
      </c>
      <c r="AL31" s="52">
        <f>(AJ31-AJ30)/AJ30</f>
        <v/>
      </c>
      <c r="AM31" s="52">
        <f>(AJ31-AK31)/AK31</f>
        <v/>
      </c>
      <c r="AN31" s="569">
        <f>AJ31/AF31</f>
        <v/>
      </c>
      <c r="AO31" s="89">
        <f>AK31/AG31</f>
        <v/>
      </c>
      <c r="AP31" s="52">
        <f>(AN31-AN30)/AN30</f>
        <v/>
      </c>
      <c r="AQ31" s="52">
        <f>(AN31-AO31)/AO31</f>
        <v/>
      </c>
      <c r="AR31" s="566">
        <f>D31/AJ31</f>
        <v/>
      </c>
      <c r="AS31" s="566">
        <f>E31/AK31</f>
        <v/>
      </c>
      <c r="AT31" s="52">
        <f>(AR31-AR30)/AR30</f>
        <v/>
      </c>
      <c r="AU31" s="52">
        <f>(AR31-AS31)/AS31</f>
        <v/>
      </c>
      <c r="AV31" t="s">
        <v>160</v>
      </c>
    </row>
    <row customHeight="1" ht="15.75" r="32" s="452" spans="1:48">
      <c r="A32" s="49" t="s">
        <v>47</v>
      </c>
      <c r="B32" s="49" t="s">
        <v>114</v>
      </c>
      <c r="C32" s="50">
        <f>C31+7</f>
        <v/>
      </c>
      <c r="D32" s="565" t="n">
        <v>17403</v>
      </c>
      <c r="E32" s="566" t="n">
        <v>8373</v>
      </c>
      <c r="F32" s="52">
        <f>(D32-D31)/D31</f>
        <v/>
      </c>
      <c r="G32" s="52">
        <f>(D32-E32)/E32</f>
        <v/>
      </c>
      <c r="H32" s="566">
        <f>L32+P32+T32</f>
        <v/>
      </c>
      <c r="I32" s="566">
        <f>M32+Q32+U32</f>
        <v/>
      </c>
      <c r="J32" s="33">
        <f>(H32-H31)/H31</f>
        <v/>
      </c>
      <c r="K32" s="33">
        <f>(H32-I32)/I32</f>
        <v/>
      </c>
      <c r="L32" s="566" t="n">
        <v>1128.9</v>
      </c>
      <c r="M32" s="566" t="n">
        <v>1334.98</v>
      </c>
      <c r="N32" s="33">
        <f>(L32-L31)/L31</f>
        <v/>
      </c>
      <c r="O32" s="33">
        <f>(L32-M32)/M32</f>
        <v/>
      </c>
      <c r="P32" s="566" t="n">
        <v>0</v>
      </c>
      <c r="Q32" s="566" t="n">
        <v>943.2</v>
      </c>
      <c r="R32" s="33">
        <f>(P32-P31)/P31</f>
        <v/>
      </c>
      <c r="S32" s="33">
        <f>(P32-Q32)/Q32</f>
        <v/>
      </c>
      <c r="T32" s="578" t="n">
        <v>500</v>
      </c>
      <c r="U32" s="566">
        <f>2500/5</f>
        <v/>
      </c>
      <c r="V32" s="33">
        <f>(T32-T31)/T31</f>
        <v/>
      </c>
      <c r="W32" s="33">
        <f>(T32-U32)/U32</f>
        <v/>
      </c>
      <c r="X32" s="567">
        <f>D32/(L32+P32)</f>
        <v/>
      </c>
      <c r="Y32" s="567">
        <f>E32/(M32+Q32)</f>
        <v/>
      </c>
      <c r="Z32" s="52">
        <f>(X32-X31)/X31</f>
        <v/>
      </c>
      <c r="AA32" s="52">
        <f>(X32-Y32)/Y32</f>
        <v/>
      </c>
      <c r="AB32" s="567">
        <f>D32/(L32+P32+T32)</f>
        <v/>
      </c>
      <c r="AC32" s="567">
        <f>E32/(M32+Q32+U32)</f>
        <v/>
      </c>
      <c r="AD32" s="52">
        <f>(AB32-AB31)/AB31</f>
        <v/>
      </c>
      <c r="AE32" s="52">
        <f>(AB32-AC32)/AC32</f>
        <v/>
      </c>
      <c r="AF32" s="568" t="n">
        <v>2756</v>
      </c>
      <c r="AG32" s="568" t="n">
        <v>2933</v>
      </c>
      <c r="AH32" s="52">
        <f>(AF32-AF31)/AF31</f>
        <v/>
      </c>
      <c r="AI32" s="52">
        <f>(AF32-AG32)/AG32</f>
        <v/>
      </c>
      <c r="AJ32" s="568" t="n">
        <v>211</v>
      </c>
      <c r="AK32" s="568" t="n">
        <v>91</v>
      </c>
      <c r="AL32" s="52">
        <f>(AJ32-AJ31)/AJ31</f>
        <v/>
      </c>
      <c r="AM32" s="52">
        <f>(AJ32-AK32)/AK32</f>
        <v/>
      </c>
      <c r="AN32" s="569">
        <f>AJ32/AF32</f>
        <v/>
      </c>
      <c r="AO32" s="89">
        <f>AK32/AG32</f>
        <v/>
      </c>
      <c r="AP32" s="52">
        <f>(AN32-AN31)/AN31</f>
        <v/>
      </c>
      <c r="AQ32" s="52">
        <f>(AN32-AO32)/AO32</f>
        <v/>
      </c>
      <c r="AR32" s="566">
        <f>D32/AJ32</f>
        <v/>
      </c>
      <c r="AS32" s="566">
        <f>E32/AK32</f>
        <v/>
      </c>
      <c r="AT32" s="52">
        <f>(AR32-AR31)/AR31</f>
        <v/>
      </c>
      <c r="AU32" s="52">
        <f>(AR32-AS32)/AS32</f>
        <v/>
      </c>
    </row>
    <row customHeight="1" ht="15.75" r="33" s="452" spans="1:48">
      <c r="A33" s="69" t="s">
        <v>47</v>
      </c>
      <c r="B33" s="69" t="s">
        <v>116</v>
      </c>
      <c r="C33" s="70">
        <f>C32+7</f>
        <v/>
      </c>
      <c r="D33" s="570" t="n">
        <v>17274</v>
      </c>
      <c r="E33" s="571" t="n">
        <v>8218</v>
      </c>
      <c r="F33" s="73">
        <f>(D33-D32)/D32</f>
        <v/>
      </c>
      <c r="G33" s="73">
        <f>(D33-E33)/E33</f>
        <v/>
      </c>
      <c r="H33" s="571">
        <f>L33+P33+T33</f>
        <v/>
      </c>
      <c r="I33" s="571">
        <f>M33+Q33+U33</f>
        <v/>
      </c>
      <c r="J33" s="282">
        <f>(H33-H32)/H32</f>
        <v/>
      </c>
      <c r="K33" s="282">
        <f>(H33-I33)/I33</f>
        <v/>
      </c>
      <c r="L33" s="571" t="n">
        <v>1042.02</v>
      </c>
      <c r="M33" s="571" t="n">
        <v>868.13</v>
      </c>
      <c r="N33" s="282">
        <f>(L33-L32)/L32</f>
        <v/>
      </c>
      <c r="O33" s="282">
        <f>(L33-M33)/M33</f>
        <v/>
      </c>
      <c r="P33" s="571" t="n">
        <v>0</v>
      </c>
      <c r="Q33" s="571" t="n">
        <v>943.2</v>
      </c>
      <c r="R33" s="282">
        <f>(P33-P32)/P32</f>
        <v/>
      </c>
      <c r="S33" s="282">
        <f>(P33-Q33)/Q33</f>
        <v/>
      </c>
      <c r="T33" s="579" t="n">
        <v>500</v>
      </c>
      <c r="U33" s="571">
        <f>2500/5</f>
        <v/>
      </c>
      <c r="V33" s="282">
        <f>(T33-T32)/T32</f>
        <v/>
      </c>
      <c r="W33" s="282">
        <f>(T33-U33)/U33</f>
        <v/>
      </c>
      <c r="X33" s="572">
        <f>D33/(L33+P33)</f>
        <v/>
      </c>
      <c r="Y33" s="572">
        <f>E33/(M33+Q33)</f>
        <v/>
      </c>
      <c r="Z33" s="73">
        <f>(X33-X32)/X32</f>
        <v/>
      </c>
      <c r="AA33" s="73">
        <f>(X33-Y33)/Y33</f>
        <v/>
      </c>
      <c r="AB33" s="572">
        <f>D33/(L33+P33+T33)</f>
        <v/>
      </c>
      <c r="AC33" s="572">
        <f>E33/(M33+Q33+U33)</f>
        <v/>
      </c>
      <c r="AD33" s="73">
        <f>(AB33-AB32)/AB32</f>
        <v/>
      </c>
      <c r="AE33" s="73">
        <f>(AB33-AC33)/AC33</f>
        <v/>
      </c>
      <c r="AF33" s="573" t="n">
        <v>2106</v>
      </c>
      <c r="AG33" s="573" t="n">
        <v>1507</v>
      </c>
      <c r="AH33" s="73">
        <f>(AF33-AF32)/AF32</f>
        <v/>
      </c>
      <c r="AI33" s="73">
        <f>(AF33-AG33)/AG33</f>
        <v/>
      </c>
      <c r="AJ33" s="573" t="n">
        <v>165</v>
      </c>
      <c r="AK33" s="573" t="n">
        <v>74</v>
      </c>
      <c r="AL33" s="73">
        <f>(AJ33-AJ32)/AJ32</f>
        <v/>
      </c>
      <c r="AM33" s="73">
        <f>(AJ33-AK33)/AK33</f>
        <v/>
      </c>
      <c r="AN33" s="574">
        <f>AJ33/AF33</f>
        <v/>
      </c>
      <c r="AO33" s="89">
        <f>AK33/AG33</f>
        <v/>
      </c>
      <c r="AP33" s="73">
        <f>(AN33-AN32)/AN32</f>
        <v/>
      </c>
      <c r="AQ33" s="73">
        <f>(AN33-AO33)/AO33</f>
        <v/>
      </c>
      <c r="AR33" s="571">
        <f>D33/AJ33</f>
        <v/>
      </c>
      <c r="AS33" s="571">
        <f>E33/AK33</f>
        <v/>
      </c>
      <c r="AT33" s="73">
        <f>(AR33-AR32)/AR32</f>
        <v/>
      </c>
      <c r="AU33" s="73">
        <f>(AR33-AS33)/AS33</f>
        <v/>
      </c>
      <c r="AV33" s="357" t="n"/>
    </row>
    <row customHeight="1" ht="15.75" r="34" s="452" spans="1:48">
      <c r="A34" s="49" t="s">
        <v>48</v>
      </c>
      <c r="B34" s="49" t="s">
        <v>117</v>
      </c>
      <c r="C34" s="50">
        <f>C33+7</f>
        <v/>
      </c>
      <c r="D34" s="565" t="n">
        <v>31691</v>
      </c>
      <c r="E34" s="566" t="n">
        <v>14750</v>
      </c>
      <c r="F34" s="52">
        <f>(D34-D33)/D33</f>
        <v/>
      </c>
      <c r="G34" s="52">
        <f>(D34-E34)/E34</f>
        <v/>
      </c>
      <c r="H34" s="566">
        <f>L34+P34+T34</f>
        <v/>
      </c>
      <c r="I34" s="566">
        <f>M34+Q34+U34</f>
        <v/>
      </c>
      <c r="J34" s="282">
        <f>(H34-H33)/H33</f>
        <v/>
      </c>
      <c r="K34" s="282">
        <f>(H34-I34)/I34</f>
        <v/>
      </c>
      <c r="L34" s="566" t="n">
        <v>2154.16</v>
      </c>
      <c r="M34" s="566" t="n">
        <v>1612.11</v>
      </c>
      <c r="N34" s="282">
        <f>(L34-L33)/L33</f>
        <v/>
      </c>
      <c r="O34" s="282">
        <f>(L34-M34)/M34</f>
        <v/>
      </c>
      <c r="P34" s="566" t="n">
        <v>0</v>
      </c>
      <c r="Q34" s="566" t="n">
        <v>943.2</v>
      </c>
      <c r="R34" s="282">
        <f>(P34-P33)/P33</f>
        <v/>
      </c>
      <c r="S34" s="282">
        <f>(P34-Q34)/Q34</f>
        <v/>
      </c>
      <c r="T34" s="578" t="n">
        <v>500</v>
      </c>
      <c r="U34" s="566">
        <f>2500/5</f>
        <v/>
      </c>
      <c r="V34" s="282">
        <f>(T34-T33)/T33</f>
        <v/>
      </c>
      <c r="W34" s="282">
        <f>(T34-U34)/U34</f>
        <v/>
      </c>
      <c r="X34" s="567">
        <f>D34/(L34+P34)</f>
        <v/>
      </c>
      <c r="Y34" s="567">
        <f>E34/(M34+Q34)</f>
        <v/>
      </c>
      <c r="Z34" s="52">
        <f>(X34-X33)/X33</f>
        <v/>
      </c>
      <c r="AA34" s="52">
        <f>(X34-Y34)/Y34</f>
        <v/>
      </c>
      <c r="AB34" s="567">
        <f>D34/(L34+P34+T34)</f>
        <v/>
      </c>
      <c r="AC34" s="567">
        <f>E34/(M34+Q34+U34)</f>
        <v/>
      </c>
      <c r="AD34" s="52">
        <f>(AB34-AB33)/AB33</f>
        <v/>
      </c>
      <c r="AE34" s="52">
        <f>(AB34-AC34)/AC34</f>
        <v/>
      </c>
      <c r="AF34" s="568" t="n">
        <v>2175</v>
      </c>
      <c r="AG34" s="568" t="n">
        <v>1299</v>
      </c>
      <c r="AH34" s="52">
        <f>(AF34-AF33)/AF33</f>
        <v/>
      </c>
      <c r="AI34" s="52">
        <f>(AF34-AG34)/AG34</f>
        <v/>
      </c>
      <c r="AJ34" s="568" t="n">
        <v>235</v>
      </c>
      <c r="AK34" s="568" t="n">
        <v>114</v>
      </c>
      <c r="AL34" s="52">
        <f>(AJ34-AJ33)/AJ33</f>
        <v/>
      </c>
      <c r="AM34" s="52">
        <f>(AJ34-AK34)/AK34</f>
        <v/>
      </c>
      <c r="AN34" s="569">
        <f>AJ34/AF34</f>
        <v/>
      </c>
      <c r="AO34" s="89">
        <f>AK34/AG34</f>
        <v/>
      </c>
      <c r="AP34" s="52">
        <f>(AN34-AN33)/AN33</f>
        <v/>
      </c>
      <c r="AQ34" s="52">
        <f>(AN34-AO34)/AO34</f>
        <v/>
      </c>
      <c r="AR34" s="566">
        <f>D34/AJ34</f>
        <v/>
      </c>
      <c r="AS34" s="566">
        <f>E34/AK34</f>
        <v/>
      </c>
      <c r="AT34" s="52">
        <f>(AR34-AR33)/AR33</f>
        <v/>
      </c>
      <c r="AU34" s="52">
        <f>(AR34-AS34)/AS34</f>
        <v/>
      </c>
    </row>
    <row customHeight="1" ht="15.75" r="35" s="452" spans="1:48">
      <c r="A35" s="49" t="s">
        <v>48</v>
      </c>
      <c r="B35" s="49" t="s">
        <v>118</v>
      </c>
      <c r="C35" s="50">
        <f>C34+7</f>
        <v/>
      </c>
      <c r="D35" s="565" t="n">
        <v>26508</v>
      </c>
      <c r="E35" s="566" t="n">
        <v>15993</v>
      </c>
      <c r="F35" s="52">
        <f>(D35-D34)/D34</f>
        <v/>
      </c>
      <c r="G35" s="52">
        <f>(D35-E35)/E35</f>
        <v/>
      </c>
      <c r="H35" s="566">
        <f>L35+P35+T35</f>
        <v/>
      </c>
      <c r="I35" s="566">
        <f>M35+Q35+U35</f>
        <v/>
      </c>
      <c r="J35" s="33">
        <f>(H35-H34)/H34</f>
        <v/>
      </c>
      <c r="K35" s="33">
        <f>(H35-I35)/I35</f>
        <v/>
      </c>
      <c r="L35" s="566" t="n">
        <v>1914.32</v>
      </c>
      <c r="M35" s="566" t="n">
        <v>1688.22</v>
      </c>
      <c r="N35" s="33">
        <f>(L35-L34)/L34</f>
        <v/>
      </c>
      <c r="O35" s="33">
        <f>(L35-M35)/M35</f>
        <v/>
      </c>
      <c r="P35" s="566" t="n">
        <v>0</v>
      </c>
      <c r="Q35" s="566" t="n">
        <v>943.2</v>
      </c>
      <c r="R35" s="33">
        <f>(P35-P34)/P34</f>
        <v/>
      </c>
      <c r="S35" s="33">
        <f>(P35-Q35)/Q35</f>
        <v/>
      </c>
      <c r="T35" s="578" t="n">
        <v>500</v>
      </c>
      <c r="U35" s="566">
        <f>2500/5</f>
        <v/>
      </c>
      <c r="V35" s="33">
        <f>(T35-T34)/T34</f>
        <v/>
      </c>
      <c r="W35" s="33">
        <f>(T35-U35)/U35</f>
        <v/>
      </c>
      <c r="X35" s="567">
        <f>D35/(L35+P35)</f>
        <v/>
      </c>
      <c r="Y35" s="567">
        <f>E35/(M35+Q35)</f>
        <v/>
      </c>
      <c r="Z35" s="52">
        <f>(X35-X34)/X34</f>
        <v/>
      </c>
      <c r="AA35" s="52">
        <f>(X35-Y35)/Y35</f>
        <v/>
      </c>
      <c r="AB35" s="567">
        <f>D35/(L35+P35+T35)</f>
        <v/>
      </c>
      <c r="AC35" s="567">
        <f>E35/(M35+Q35+U35)</f>
        <v/>
      </c>
      <c r="AD35" s="52">
        <f>(AB35-AB34)/AB34</f>
        <v/>
      </c>
      <c r="AE35" s="52">
        <f>(AB35-AC35)/AC35</f>
        <v/>
      </c>
      <c r="AF35" s="568" t="n">
        <v>2578</v>
      </c>
      <c r="AG35" s="568" t="n">
        <v>2844</v>
      </c>
      <c r="AH35" s="52">
        <f>(AF35-AF34)/AF34</f>
        <v/>
      </c>
      <c r="AI35" s="52">
        <f>(AF35-AG35)/AG35</f>
        <v/>
      </c>
      <c r="AJ35" s="568" t="n">
        <v>256</v>
      </c>
      <c r="AK35" s="568" t="n">
        <v>171</v>
      </c>
      <c r="AL35" s="52">
        <f>(AJ35-AJ34)/AJ34</f>
        <v/>
      </c>
      <c r="AM35" s="52">
        <f>(AJ35-AK35)/AK35</f>
        <v/>
      </c>
      <c r="AN35" s="569">
        <f>AJ35/AF35</f>
        <v/>
      </c>
      <c r="AO35" s="89">
        <f>AK35/AG35</f>
        <v/>
      </c>
      <c r="AP35" s="52">
        <f>(AN35-AN34)/AN34</f>
        <v/>
      </c>
      <c r="AQ35" s="52">
        <f>(AN35-AO35)/AO35</f>
        <v/>
      </c>
      <c r="AR35" s="566">
        <f>D35/AJ35</f>
        <v/>
      </c>
      <c r="AS35" s="566">
        <f>E35/AK35</f>
        <v/>
      </c>
      <c r="AT35" s="52">
        <f>(AR35-AR34)/AR34</f>
        <v/>
      </c>
      <c r="AU35" s="52">
        <f>(AR35-AS35)/AS35</f>
        <v/>
      </c>
    </row>
    <row customHeight="1" ht="15.75" r="36" s="452" spans="1:48">
      <c r="A36" s="49" t="s">
        <v>48</v>
      </c>
      <c r="B36" s="49" t="s">
        <v>119</v>
      </c>
      <c r="C36" s="50">
        <f>C35+7</f>
        <v/>
      </c>
      <c r="D36" s="565" t="n">
        <v>17884</v>
      </c>
      <c r="E36" s="566" t="n">
        <v>9369</v>
      </c>
      <c r="F36" s="52">
        <f>(D36-D35)/D35</f>
        <v/>
      </c>
      <c r="G36" s="52">
        <f>(D36-E36)/E36</f>
        <v/>
      </c>
      <c r="H36" s="566">
        <f>L36+P36+T36</f>
        <v/>
      </c>
      <c r="I36" s="566">
        <f>M36+Q36+U36</f>
        <v/>
      </c>
      <c r="J36" s="282">
        <f>(H36-H35)/H35</f>
        <v/>
      </c>
      <c r="K36" s="282">
        <f>(H36-I36)/I36</f>
        <v/>
      </c>
      <c r="L36" s="566" t="n">
        <v>1124.73</v>
      </c>
      <c r="M36" s="566" t="n">
        <v>1194.72</v>
      </c>
      <c r="N36" s="282">
        <f>(L36-L35)/L35</f>
        <v/>
      </c>
      <c r="O36" s="282">
        <f>(L36-M36)/M36</f>
        <v/>
      </c>
      <c r="P36" s="566" t="n">
        <v>0</v>
      </c>
      <c r="Q36" s="566" t="n">
        <v>943.2</v>
      </c>
      <c r="R36" s="282">
        <f>(P36-P35)/P35</f>
        <v/>
      </c>
      <c r="S36" s="282">
        <f>(P36-Q36)/Q36</f>
        <v/>
      </c>
      <c r="T36" s="578" t="n">
        <v>500</v>
      </c>
      <c r="U36" s="566">
        <f>2500/5</f>
        <v/>
      </c>
      <c r="V36" s="282">
        <f>(T36-T35)/T35</f>
        <v/>
      </c>
      <c r="W36" s="282">
        <f>(T36-U36)/U36</f>
        <v/>
      </c>
      <c r="X36" s="567">
        <f>D36/(L36+P36)</f>
        <v/>
      </c>
      <c r="Y36" s="567">
        <f>E36/(M36+Q36)</f>
        <v/>
      </c>
      <c r="Z36" s="52">
        <f>(X36-X35)/X35</f>
        <v/>
      </c>
      <c r="AA36" s="52">
        <f>(X36-Y36)/Y36</f>
        <v/>
      </c>
      <c r="AB36" s="567">
        <f>D36/(L36+P36+T36)</f>
        <v/>
      </c>
      <c r="AC36" s="567">
        <f>E36/(M36+Q36+U36)</f>
        <v/>
      </c>
      <c r="AD36" s="52">
        <f>(AB36-AB35)/AB35</f>
        <v/>
      </c>
      <c r="AE36" s="52">
        <f>(AB36-AC36)/AC36</f>
        <v/>
      </c>
      <c r="AF36" s="568" t="n">
        <v>1771</v>
      </c>
      <c r="AG36" s="568" t="n">
        <v>2615</v>
      </c>
      <c r="AH36" s="52">
        <f>(AF36-AF35)/AF35</f>
        <v/>
      </c>
      <c r="AI36" s="52">
        <f>(AF36-AG36)/AG36</f>
        <v/>
      </c>
      <c r="AJ36" s="568" t="n">
        <v>146</v>
      </c>
      <c r="AK36" s="568" t="n">
        <v>75</v>
      </c>
      <c r="AL36" s="52">
        <f>(AJ36-AJ35)/AJ35</f>
        <v/>
      </c>
      <c r="AM36" s="52">
        <f>(AJ36-AK36)/AK36</f>
        <v/>
      </c>
      <c r="AN36" s="569">
        <f>AJ36/AF36</f>
        <v/>
      </c>
      <c r="AO36" s="89">
        <f>AK36/AG36</f>
        <v/>
      </c>
      <c r="AP36" s="52">
        <f>(AN36-AN35)/AN35</f>
        <v/>
      </c>
      <c r="AQ36" s="52">
        <f>(AN36-AO36)/AO36</f>
        <v/>
      </c>
      <c r="AR36" s="566">
        <f>D36/AJ36</f>
        <v/>
      </c>
      <c r="AS36" s="566">
        <f>E36/AK36</f>
        <v/>
      </c>
      <c r="AT36" s="52">
        <f>(AR36-AR35)/AR35</f>
        <v/>
      </c>
      <c r="AU36" s="52">
        <f>(AR36-AS36)/AS36</f>
        <v/>
      </c>
    </row>
    <row customHeight="1" ht="15.75" r="37" s="452" spans="1:48">
      <c r="A37" s="69" t="s">
        <v>48</v>
      </c>
      <c r="B37" s="69" t="s">
        <v>120</v>
      </c>
      <c r="C37" s="70">
        <f>C36+7</f>
        <v/>
      </c>
      <c r="D37" s="570" t="n">
        <v>25069</v>
      </c>
      <c r="E37" s="571" t="n">
        <v>19175</v>
      </c>
      <c r="F37" s="73">
        <f>(D37-D36)/D36</f>
        <v/>
      </c>
      <c r="G37" s="73">
        <f>(D37-E37)/E37</f>
        <v/>
      </c>
      <c r="H37" s="571">
        <f>L37+P37+T37</f>
        <v/>
      </c>
      <c r="I37" s="571">
        <f>M37+Q37+U37</f>
        <v/>
      </c>
      <c r="J37" s="351">
        <f>(H37-H36)/H36</f>
        <v/>
      </c>
      <c r="K37" s="282">
        <f>(H37-I37)/I37</f>
        <v/>
      </c>
      <c r="L37" s="571" t="n">
        <v>1598.51</v>
      </c>
      <c r="M37" s="571" t="n">
        <v>2912.02</v>
      </c>
      <c r="N37" s="282">
        <f>(L37-L36)/L36</f>
        <v/>
      </c>
      <c r="O37" s="282">
        <f>(L37-M37)/M37</f>
        <v/>
      </c>
      <c r="P37" s="571" t="n">
        <v>0</v>
      </c>
      <c r="Q37" s="571" t="n">
        <v>1179</v>
      </c>
      <c r="R37" s="282">
        <f>(P37-P36)/P36</f>
        <v/>
      </c>
      <c r="S37" s="282">
        <f>(P37-Q37)/Q37</f>
        <v/>
      </c>
      <c r="T37" s="580" t="n">
        <v>659.73</v>
      </c>
      <c r="U37" s="571" t="n">
        <v>1125.96</v>
      </c>
      <c r="V37" s="282">
        <f>(T37-T36)/T36</f>
        <v/>
      </c>
      <c r="W37" s="282">
        <f>(T37-U37)/U37</f>
        <v/>
      </c>
      <c r="X37" s="572">
        <f>D37/(L37+P37)</f>
        <v/>
      </c>
      <c r="Y37" s="572">
        <f>E37/(M37+Q37)</f>
        <v/>
      </c>
      <c r="Z37" s="73">
        <f>(X37-X36)/X36</f>
        <v/>
      </c>
      <c r="AA37" s="73">
        <f>(X37-Y37)/Y37</f>
        <v/>
      </c>
      <c r="AB37" s="572">
        <f>D37/(L37+P37+T37)</f>
        <v/>
      </c>
      <c r="AC37" s="572">
        <f>E37/(M37+Q37+U37)</f>
        <v/>
      </c>
      <c r="AD37" s="73">
        <f>(AB37-AB36)/AB36</f>
        <v/>
      </c>
      <c r="AE37" s="73">
        <f>(AB37-AC37)/AC37</f>
        <v/>
      </c>
      <c r="AF37" s="573" t="n">
        <v>1794</v>
      </c>
      <c r="AG37" s="573" t="n">
        <v>2270</v>
      </c>
      <c r="AH37" s="73">
        <f>(AF37-AF36)/AF36</f>
        <v/>
      </c>
      <c r="AI37" s="73">
        <f>(AF37-AG37)/AG37</f>
        <v/>
      </c>
      <c r="AJ37" s="573" t="n">
        <v>203</v>
      </c>
      <c r="AK37" s="573" t="n">
        <v>153</v>
      </c>
      <c r="AL37" s="73">
        <f>(AJ37-AJ36)/AJ36</f>
        <v/>
      </c>
      <c r="AM37" s="73">
        <f>(AJ37-AK37)/AK37</f>
        <v/>
      </c>
      <c r="AN37" s="574">
        <f>AJ37/AF37</f>
        <v/>
      </c>
      <c r="AO37" s="89">
        <f>AK37/AG37</f>
        <v/>
      </c>
      <c r="AP37" s="73">
        <f>(AN37-AN36)/AN36</f>
        <v/>
      </c>
      <c r="AQ37" s="73">
        <f>(AN37-AO37)/AO37</f>
        <v/>
      </c>
      <c r="AR37" s="571">
        <f>D37/AJ37</f>
        <v/>
      </c>
      <c r="AS37" s="571">
        <f>E37/AK37</f>
        <v/>
      </c>
      <c r="AT37" s="73">
        <f>(AR37-AR36)/AR36</f>
        <v/>
      </c>
      <c r="AU37" s="73">
        <f>(AR37-AS37)/AS37</f>
        <v/>
      </c>
      <c r="AV37" s="357" t="n"/>
    </row>
    <row customHeight="1" ht="15.75" r="38" s="452" spans="1:48">
      <c r="A38" s="49" t="s">
        <v>49</v>
      </c>
      <c r="B38" s="49" t="s">
        <v>121</v>
      </c>
      <c r="C38" s="50">
        <f>C37+7</f>
        <v/>
      </c>
      <c r="D38" s="565" t="n">
        <v>32538</v>
      </c>
      <c r="E38" s="566" t="n">
        <v>15357</v>
      </c>
      <c r="F38" s="52">
        <f>(D38-D37)/D37</f>
        <v/>
      </c>
      <c r="G38" s="52">
        <f>(D38-E38)/E38</f>
        <v/>
      </c>
      <c r="H38" s="566">
        <f>L38+P38+T38</f>
        <v/>
      </c>
      <c r="I38" s="566">
        <f>M38+Q38+U38</f>
        <v/>
      </c>
      <c r="J38" s="33">
        <f>(H38-H37)/H37</f>
        <v/>
      </c>
      <c r="K38" s="33">
        <f>(H38-I38)/I38</f>
        <v/>
      </c>
      <c r="L38" s="566" t="n">
        <v>2404.77</v>
      </c>
      <c r="M38" s="566" t="n">
        <v>1960.59</v>
      </c>
      <c r="N38" s="33">
        <f>(L38-L37)/L37</f>
        <v/>
      </c>
      <c r="O38" s="33">
        <f>(L38-M38)/M38</f>
        <v/>
      </c>
      <c r="P38" s="566" t="n">
        <v>0</v>
      </c>
      <c r="Q38" s="566" t="n">
        <v>1179</v>
      </c>
      <c r="R38" s="33">
        <f>(P38-P37)/P37</f>
        <v/>
      </c>
      <c r="S38" s="33">
        <f>(P38-Q38)/Q38</f>
        <v/>
      </c>
      <c r="T38" s="581" t="n">
        <v>659.73</v>
      </c>
      <c r="U38" s="566" t="n">
        <v>1125.96</v>
      </c>
      <c r="V38" s="33">
        <f>(T38-T37)/T37</f>
        <v/>
      </c>
      <c r="W38" s="33">
        <f>(T38-U38)/U38</f>
        <v/>
      </c>
      <c r="X38" s="567">
        <f>D38/(L38+P38)</f>
        <v/>
      </c>
      <c r="Y38" s="567">
        <f>E38/(M38+Q38)</f>
        <v/>
      </c>
      <c r="Z38" s="52">
        <f>(X38-X37)/X37</f>
        <v/>
      </c>
      <c r="AA38" s="52">
        <f>(X38-Y38)/Y38</f>
        <v/>
      </c>
      <c r="AB38" s="567">
        <f>D38/(L38+P38+T38)</f>
        <v/>
      </c>
      <c r="AC38" s="567">
        <f>E38/(M38+Q38+U38)</f>
        <v/>
      </c>
      <c r="AD38" s="52">
        <f>(AB38-AB37)/AB37</f>
        <v/>
      </c>
      <c r="AE38" s="52">
        <f>(AB38-AC38)/AC38</f>
        <v/>
      </c>
      <c r="AF38" s="568" t="n">
        <v>1829</v>
      </c>
      <c r="AG38" s="568" t="n">
        <v>3133</v>
      </c>
      <c r="AH38" s="52">
        <f>(AF38-AF37)/AF37</f>
        <v/>
      </c>
      <c r="AI38" s="52">
        <f>(AF38-AG38)/AG38</f>
        <v/>
      </c>
      <c r="AJ38" s="568" t="n">
        <v>243</v>
      </c>
      <c r="AK38" s="568" t="n">
        <v>143</v>
      </c>
      <c r="AL38" s="52">
        <f>(AJ38-AJ37)/AJ37</f>
        <v/>
      </c>
      <c r="AM38" s="52">
        <f>(AJ38-AK38)/AK38</f>
        <v/>
      </c>
      <c r="AN38" s="569">
        <f>AJ38/AF38</f>
        <v/>
      </c>
      <c r="AO38" s="89">
        <f>AK38/AG38</f>
        <v/>
      </c>
      <c r="AP38" s="52">
        <f>(AN38-AN37)/AN37</f>
        <v/>
      </c>
      <c r="AQ38" s="52">
        <f>(AN38-AO38)/AO38</f>
        <v/>
      </c>
      <c r="AR38" s="566">
        <f>D38/AJ38</f>
        <v/>
      </c>
      <c r="AS38" s="566">
        <f>E38/AK38</f>
        <v/>
      </c>
      <c r="AT38" s="52">
        <f>(AR38-AR37)/AR37</f>
        <v/>
      </c>
      <c r="AU38" s="52">
        <f>(AR38-AS38)/AS38</f>
        <v/>
      </c>
    </row>
    <row customHeight="1" ht="15.75" r="39" s="452" spans="1:48">
      <c r="A39" s="49" t="s">
        <v>49</v>
      </c>
      <c r="B39" s="49" t="s">
        <v>122</v>
      </c>
      <c r="C39" s="50">
        <f>C38+7</f>
        <v/>
      </c>
      <c r="D39" s="565" t="n">
        <v>25384</v>
      </c>
      <c r="E39" s="566" t="n">
        <v>126350</v>
      </c>
      <c r="F39" s="52">
        <f>(D39-D38)/D38</f>
        <v/>
      </c>
      <c r="G39" s="52">
        <f>(D39-E39)/E39</f>
        <v/>
      </c>
      <c r="H39" s="566">
        <f>L39+P39+T39</f>
        <v/>
      </c>
      <c r="I39" s="566">
        <f>M39+Q39+U39</f>
        <v/>
      </c>
      <c r="J39" s="282">
        <f>(H39-H38)/H38</f>
        <v/>
      </c>
      <c r="K39" s="282">
        <f>(H39-I39)/I39</f>
        <v/>
      </c>
      <c r="L39" s="566" t="n">
        <v>1812.92</v>
      </c>
      <c r="M39" s="566" t="n">
        <v>17607.4</v>
      </c>
      <c r="N39" s="282">
        <f>(L39-L38)/L38</f>
        <v/>
      </c>
      <c r="O39" s="282">
        <f>(L39-M39)/M39</f>
        <v/>
      </c>
      <c r="P39" s="566" t="n">
        <v>0</v>
      </c>
      <c r="Q39" s="566" t="n">
        <v>1179</v>
      </c>
      <c r="R39" s="282">
        <f>(P39-P38)/P38</f>
        <v/>
      </c>
      <c r="S39" s="282">
        <f>(P39-Q39)/Q39</f>
        <v/>
      </c>
      <c r="T39" s="581" t="n">
        <v>659.73</v>
      </c>
      <c r="U39" s="566" t="n">
        <v>1125.96</v>
      </c>
      <c r="V39" s="282">
        <f>(T39-T38)/T38</f>
        <v/>
      </c>
      <c r="W39" s="282">
        <f>(T39-U39)/U39</f>
        <v/>
      </c>
      <c r="X39" s="567">
        <f>D39/(L39+P39)</f>
        <v/>
      </c>
      <c r="Y39" s="567">
        <f>E39/(M39+Q39)</f>
        <v/>
      </c>
      <c r="Z39" s="52">
        <f>(X39-X38)/X38</f>
        <v/>
      </c>
      <c r="AA39" s="52">
        <f>(X39-Y39)/Y39</f>
        <v/>
      </c>
      <c r="AB39" s="567">
        <f>D39/(L39+P39+T39)</f>
        <v/>
      </c>
      <c r="AC39" s="567">
        <f>E39/(M39+Q39+U39)</f>
        <v/>
      </c>
      <c r="AD39" s="52">
        <f>(AB39-AB38)/AB38</f>
        <v/>
      </c>
      <c r="AE39" s="52">
        <f>(AB39-AC39)/AC39</f>
        <v/>
      </c>
      <c r="AF39" s="568" t="n">
        <v>1957</v>
      </c>
      <c r="AG39" s="568" t="n">
        <v>6815</v>
      </c>
      <c r="AH39" s="52">
        <f>(AF39-AF38)/AF38</f>
        <v/>
      </c>
      <c r="AI39" s="52">
        <f>(AF39-AG39)/AG39</f>
        <v/>
      </c>
      <c r="AJ39" s="568" t="n">
        <v>214</v>
      </c>
      <c r="AK39" s="568" t="n">
        <v>715</v>
      </c>
      <c r="AL39" s="52">
        <f>(AJ39-AJ38)/AJ38</f>
        <v/>
      </c>
      <c r="AM39" s="52">
        <f>(AJ39-AK39)/AK39</f>
        <v/>
      </c>
      <c r="AN39" s="569">
        <f>AJ39/AF39</f>
        <v/>
      </c>
      <c r="AO39" s="569">
        <f>AK39/AG39</f>
        <v/>
      </c>
      <c r="AP39" s="52">
        <f>(AN39-AN38)/AN38</f>
        <v/>
      </c>
      <c r="AQ39" s="52">
        <f>(AN39-AO39)/AO39</f>
        <v/>
      </c>
      <c r="AR39" s="566">
        <f>D39/AJ39</f>
        <v/>
      </c>
      <c r="AS39" s="566">
        <f>E39/AK39</f>
        <v/>
      </c>
      <c r="AT39" s="52">
        <f>(AR39-AR38)/AR38</f>
        <v/>
      </c>
      <c r="AU39" s="52">
        <f>(AR39-AS39)/AS39</f>
        <v/>
      </c>
    </row>
    <row customHeight="1" ht="15.75" r="40" s="452" spans="1:48">
      <c r="A40" s="49" t="s">
        <v>49</v>
      </c>
      <c r="B40" s="49" t="s">
        <v>123</v>
      </c>
      <c r="C40" s="50">
        <f>C39+7</f>
        <v/>
      </c>
      <c r="D40" s="565" t="n">
        <v>84309</v>
      </c>
      <c r="E40" s="566" t="n">
        <v>22701</v>
      </c>
      <c r="F40" s="52">
        <f>(D40-D39)/D39</f>
        <v/>
      </c>
      <c r="G40" s="52">
        <f>(D40-E40)/E40</f>
        <v/>
      </c>
      <c r="H40" s="566">
        <f>L40+P40+T40</f>
        <v/>
      </c>
      <c r="I40" s="566">
        <f>M40+Q40+U40</f>
        <v/>
      </c>
      <c r="J40" s="282">
        <f>(H40-H39)/H39</f>
        <v/>
      </c>
      <c r="K40" s="282">
        <f>(H40-I40)/I40</f>
        <v/>
      </c>
      <c r="L40" s="566" t="n">
        <v>1763.01</v>
      </c>
      <c r="M40" s="566" t="n">
        <v>475.15</v>
      </c>
      <c r="N40" s="282">
        <f>(L40-L39)/L39</f>
        <v/>
      </c>
      <c r="O40" s="282">
        <f>(L40-M40)/M40</f>
        <v/>
      </c>
      <c r="P40" s="566" t="n"/>
      <c r="Q40" s="566" t="n">
        <v>1179</v>
      </c>
      <c r="R40" s="282">
        <f>(P40-P39)/P39</f>
        <v/>
      </c>
      <c r="S40" s="282">
        <f>(P40-Q40)/Q40</f>
        <v/>
      </c>
      <c r="T40" s="581" t="n">
        <v>659.73</v>
      </c>
      <c r="U40" s="566" t="n">
        <v>1125.96</v>
      </c>
      <c r="V40" s="282">
        <f>(T40-T39)/T39</f>
        <v/>
      </c>
      <c r="W40" s="282">
        <f>(T40-U40)/U40</f>
        <v/>
      </c>
      <c r="X40" s="567">
        <f>D40/(L40+P40)</f>
        <v/>
      </c>
      <c r="Y40" s="567">
        <f>E40/(M40+Q40)</f>
        <v/>
      </c>
      <c r="Z40" s="52">
        <f>(X40-X39)/X39</f>
        <v/>
      </c>
      <c r="AA40" s="52">
        <f>(X40-Y40)/Y40</f>
        <v/>
      </c>
      <c r="AB40" s="567">
        <f>D40/(L40+P40+T40)</f>
        <v/>
      </c>
      <c r="AC40" s="567">
        <f>E40/(M40+Q40+U40)</f>
        <v/>
      </c>
      <c r="AD40" s="52">
        <f>(AB40-AB39)/AB39</f>
        <v/>
      </c>
      <c r="AE40" s="52">
        <f>(AB40-AC40)/AC40</f>
        <v/>
      </c>
      <c r="AF40" s="568" t="n">
        <v>4155</v>
      </c>
      <c r="AG40" s="568" t="n">
        <v>1657</v>
      </c>
      <c r="AH40" s="52">
        <f>(AF40-AF39)/AF39</f>
        <v/>
      </c>
      <c r="AI40" s="52">
        <f>(AF40-AG40)/AG40</f>
        <v/>
      </c>
      <c r="AJ40" s="568" t="n">
        <v>565</v>
      </c>
      <c r="AK40" s="568" t="n">
        <v>74</v>
      </c>
      <c r="AL40" s="52">
        <f>(AJ40-AJ39)/AJ39</f>
        <v/>
      </c>
      <c r="AM40" s="52">
        <f>(AJ40-AK40)/AK40</f>
        <v/>
      </c>
      <c r="AN40" s="569">
        <f>AJ40/AF40</f>
        <v/>
      </c>
      <c r="AO40" s="89">
        <f>AK40/AG40</f>
        <v/>
      </c>
      <c r="AP40" s="52">
        <f>(AN40-AN39)/AN39</f>
        <v/>
      </c>
      <c r="AQ40" s="52">
        <f>(AN40-AO40)/AO40</f>
        <v/>
      </c>
      <c r="AR40" s="566">
        <f>D40/AJ40</f>
        <v/>
      </c>
      <c r="AS40" s="566">
        <f>E40/AK40</f>
        <v/>
      </c>
      <c r="AT40" s="52">
        <f>(AR40-AR39)/AR39</f>
        <v/>
      </c>
      <c r="AU40" s="52">
        <f>(AR40-AS40)/AS40</f>
        <v/>
      </c>
    </row>
    <row customHeight="1" ht="15.75" r="41" s="452" spans="1:48">
      <c r="A41" s="69" t="s">
        <v>49</v>
      </c>
      <c r="B41" s="69" t="s">
        <v>124</v>
      </c>
      <c r="C41" s="70">
        <f>C40+7</f>
        <v/>
      </c>
      <c r="D41" s="570" t="n">
        <v>10865</v>
      </c>
      <c r="E41" s="571" t="n">
        <v>25306</v>
      </c>
      <c r="F41" s="73">
        <f>(D41-D40)/D40</f>
        <v/>
      </c>
      <c r="G41" s="73">
        <f>(D41-E41)/E41</f>
        <v/>
      </c>
      <c r="H41" s="571">
        <f>L41+P41+T41</f>
        <v/>
      </c>
      <c r="I41" s="571">
        <f>M41+Q41+U41</f>
        <v/>
      </c>
      <c r="J41" s="33">
        <f>(H41-H40)/H40</f>
        <v/>
      </c>
      <c r="K41" s="33">
        <f>(H41-I41)/I41</f>
        <v/>
      </c>
      <c r="L41" s="571" t="n">
        <v>502.75</v>
      </c>
      <c r="M41" s="571" t="n">
        <v>1913.13</v>
      </c>
      <c r="N41" s="33">
        <f>(L41-L40)/L40</f>
        <v/>
      </c>
      <c r="O41" s="33">
        <f>(L41-M41)/M41</f>
        <v/>
      </c>
      <c r="P41" s="571" t="n">
        <v>2000</v>
      </c>
      <c r="Q41" s="571" t="n">
        <v>2640</v>
      </c>
      <c r="R41" s="33">
        <f>(P41-P40)/P40</f>
        <v/>
      </c>
      <c r="S41" s="33">
        <f>(P41-Q41)/Q41</f>
        <v/>
      </c>
      <c r="T41" s="582" t="n">
        <v>500</v>
      </c>
      <c r="U41" s="571" t="n">
        <v>500</v>
      </c>
      <c r="V41" s="33">
        <f>(T41-T40)/T40</f>
        <v/>
      </c>
      <c r="W41" s="33">
        <f>(T41-U41)/U41</f>
        <v/>
      </c>
      <c r="X41" s="572">
        <f>D41/(L41+P41)</f>
        <v/>
      </c>
      <c r="Y41" s="572">
        <f>E41/(M41+Q41)</f>
        <v/>
      </c>
      <c r="Z41" s="73">
        <f>(X41-X40)/X40</f>
        <v/>
      </c>
      <c r="AA41" s="73">
        <f>(X41-Y41)/Y41</f>
        <v/>
      </c>
      <c r="AB41" s="572">
        <f>D41/(L41+P41+T41)</f>
        <v/>
      </c>
      <c r="AC41" s="572">
        <f>E41/(M41+Q41+U41)</f>
        <v/>
      </c>
      <c r="AD41" s="73">
        <f>(AB41-AB40)/AB40</f>
        <v/>
      </c>
      <c r="AE41" s="73">
        <f>(AB41-AC41)/AC41</f>
        <v/>
      </c>
      <c r="AF41" s="573" t="n">
        <v>4127</v>
      </c>
      <c r="AG41" s="573" t="n">
        <v>2852</v>
      </c>
      <c r="AH41" s="73">
        <f>(AF41-AF40)/AF40</f>
        <v/>
      </c>
      <c r="AI41" s="73">
        <f>(AF41-AG41)/AG41</f>
        <v/>
      </c>
      <c r="AJ41" s="573" t="n">
        <v>100</v>
      </c>
      <c r="AK41" s="573" t="n">
        <v>165</v>
      </c>
      <c r="AL41" s="73">
        <f>(AJ41-AJ40)/AJ40</f>
        <v/>
      </c>
      <c r="AM41" s="73">
        <f>(AJ41-AK41)/AK41</f>
        <v/>
      </c>
      <c r="AN41" s="574">
        <f>AJ41/AF41</f>
        <v/>
      </c>
      <c r="AO41" s="89">
        <f>AK41/AG41</f>
        <v/>
      </c>
      <c r="AP41" s="73">
        <f>(AN41-AN40)/AN40</f>
        <v/>
      </c>
      <c r="AQ41" s="73">
        <f>(AN41-AO41)/AO41</f>
        <v/>
      </c>
      <c r="AR41" s="571">
        <f>D41/AJ41</f>
        <v/>
      </c>
      <c r="AS41" s="571">
        <f>E41/AK41</f>
        <v/>
      </c>
      <c r="AT41" s="73">
        <f>(AR41-AR40)/AR40</f>
        <v/>
      </c>
      <c r="AU41" s="73">
        <f>(AR41-AS41)/AS41</f>
        <v/>
      </c>
      <c r="AV41" s="357" t="s">
        <v>161</v>
      </c>
    </row>
    <row customHeight="1" ht="15.75" r="42" s="452" spans="1:48">
      <c r="A42" s="49" t="s">
        <v>50</v>
      </c>
      <c r="B42" s="49" t="s">
        <v>125</v>
      </c>
      <c r="C42" s="50">
        <f>C41+7</f>
        <v/>
      </c>
      <c r="D42" s="565" t="n">
        <v>49056</v>
      </c>
      <c r="E42" s="566" t="n">
        <v>36424</v>
      </c>
      <c r="F42" s="52">
        <f>(D42-D41)/D41</f>
        <v/>
      </c>
      <c r="G42" s="52">
        <f>(D42-E42)/E42</f>
        <v/>
      </c>
      <c r="H42" s="566">
        <f>L42+P42+T42</f>
        <v/>
      </c>
      <c r="I42" s="566">
        <f>M42+Q42+U42</f>
        <v/>
      </c>
      <c r="J42" s="282">
        <f>(H42-H41)/H41</f>
        <v/>
      </c>
      <c r="K42" s="282">
        <f>(H42-I42)/I42</f>
        <v/>
      </c>
      <c r="L42" s="566" t="n">
        <v>3638</v>
      </c>
      <c r="M42" s="566" t="n">
        <v>4334.48</v>
      </c>
      <c r="N42" s="282">
        <f>(L42-L41)/L41</f>
        <v/>
      </c>
      <c r="O42" s="282">
        <f>(L42-M42)/M42</f>
        <v/>
      </c>
      <c r="P42" s="566" t="n">
        <v>2000</v>
      </c>
      <c r="Q42" s="566" t="n">
        <v>2640</v>
      </c>
      <c r="R42" s="282">
        <f>(P42-P41)/P41</f>
        <v/>
      </c>
      <c r="S42" s="282">
        <f>(P42-Q42)/Q42</f>
        <v/>
      </c>
      <c r="T42" s="583" t="n">
        <v>500</v>
      </c>
      <c r="U42" s="566" t="n">
        <v>500</v>
      </c>
      <c r="V42" s="282">
        <f>(T42-T41)/T41</f>
        <v/>
      </c>
      <c r="W42" s="282">
        <f>(T42-U42)/U42</f>
        <v/>
      </c>
      <c r="X42" s="567">
        <f>D42/(L42+P42)</f>
        <v/>
      </c>
      <c r="Y42" s="567">
        <f>E42/(M42+Q42)</f>
        <v/>
      </c>
      <c r="Z42" s="52">
        <f>(X42-X41)/X41</f>
        <v/>
      </c>
      <c r="AA42" s="52">
        <f>(X42-Y42)/Y42</f>
        <v/>
      </c>
      <c r="AB42" s="567">
        <f>D42/(L42+P42+T42)</f>
        <v/>
      </c>
      <c r="AC42" s="567">
        <f>E42/(M42+Q42+U42)</f>
        <v/>
      </c>
      <c r="AD42" s="52">
        <f>(AB42-AB41)/AB41</f>
        <v/>
      </c>
      <c r="AE42" s="52">
        <f>(AB42-AC42)/AC42</f>
        <v/>
      </c>
      <c r="AF42" s="568" t="n">
        <v>2779</v>
      </c>
      <c r="AG42" s="568" t="n">
        <v>4064</v>
      </c>
      <c r="AH42" s="52">
        <f>(AF42-AF41)/AF41</f>
        <v/>
      </c>
      <c r="AI42" s="52">
        <f>(AF42-AG42)/AG42</f>
        <v/>
      </c>
      <c r="AJ42" s="568" t="n">
        <v>373</v>
      </c>
      <c r="AK42" s="568" t="n">
        <v>265</v>
      </c>
      <c r="AL42" s="52">
        <f>(AJ42-AJ41)/AJ41</f>
        <v/>
      </c>
      <c r="AM42" s="52">
        <f>(AJ42-AK42)/AK42</f>
        <v/>
      </c>
      <c r="AN42" s="569">
        <f>AJ42/AF42</f>
        <v/>
      </c>
      <c r="AO42" s="89">
        <f>AK42/AG42</f>
        <v/>
      </c>
      <c r="AP42" s="52">
        <f>(AN42-AN41)/AN41</f>
        <v/>
      </c>
      <c r="AQ42" s="52">
        <f>(AN42-AO42)/AO42</f>
        <v/>
      </c>
      <c r="AR42" s="566">
        <f>D42/AJ42</f>
        <v/>
      </c>
      <c r="AS42" s="566">
        <f>E42/AK42</f>
        <v/>
      </c>
      <c r="AT42" s="52">
        <f>(AR42-AR41)/AR41</f>
        <v/>
      </c>
      <c r="AU42" s="52">
        <f>(AR42-AS42)/AS42</f>
        <v/>
      </c>
      <c r="AV42" t="s">
        <v>161</v>
      </c>
    </row>
    <row customHeight="1" ht="15.75" r="43" s="452" spans="1:48">
      <c r="A43" s="49" t="s">
        <v>50</v>
      </c>
      <c r="B43" s="49" t="s">
        <v>126</v>
      </c>
      <c r="C43" s="50">
        <f>C42+7</f>
        <v/>
      </c>
      <c r="D43" s="565" t="n">
        <v>25791</v>
      </c>
      <c r="E43" s="566" t="n">
        <v>23817</v>
      </c>
      <c r="F43" s="52">
        <f>(D43-D42)/D42</f>
        <v/>
      </c>
      <c r="G43" s="52">
        <f>(D43-E43)/E43</f>
        <v/>
      </c>
      <c r="H43" s="566">
        <f>L43+P43+T43</f>
        <v/>
      </c>
      <c r="I43" s="566">
        <f>M43+Q43+U43</f>
        <v/>
      </c>
      <c r="J43" s="282">
        <f>(H43-H42)/H42</f>
        <v/>
      </c>
      <c r="K43" s="282">
        <f>(H43-I43)/I43</f>
        <v/>
      </c>
      <c r="L43" s="566" t="n">
        <v>1823.58</v>
      </c>
      <c r="M43" s="566" t="n">
        <v>2184.71</v>
      </c>
      <c r="N43" s="282">
        <f>(L43-L42)/L42</f>
        <v/>
      </c>
      <c r="O43" s="282">
        <f>(L43-M43)/M43</f>
        <v/>
      </c>
      <c r="P43" s="566" t="n">
        <v>2000</v>
      </c>
      <c r="Q43" s="566" t="n">
        <v>2640</v>
      </c>
      <c r="R43" s="282">
        <f>(P43-P42)/P42</f>
        <v/>
      </c>
      <c r="S43" s="282">
        <f>(P43-Q43)/Q43</f>
        <v/>
      </c>
      <c r="T43" s="583" t="n">
        <v>500</v>
      </c>
      <c r="U43" s="566" t="n">
        <v>500</v>
      </c>
      <c r="V43" s="282">
        <f>(T43-T42)/T42</f>
        <v/>
      </c>
      <c r="W43" s="282">
        <f>(T43-U43)/U43</f>
        <v/>
      </c>
      <c r="X43" s="567">
        <f>D43/(L43+P43)</f>
        <v/>
      </c>
      <c r="Y43" s="567">
        <f>E43/(M43+Q43)</f>
        <v/>
      </c>
      <c r="Z43" s="52">
        <f>(X43-X42)/X42</f>
        <v/>
      </c>
      <c r="AA43" s="52">
        <f>(X43-Y43)/Y43</f>
        <v/>
      </c>
      <c r="AB43" s="567">
        <f>D43/(L43+P43+T43)</f>
        <v/>
      </c>
      <c r="AC43" s="567">
        <f>E43/(M43+Q43+U43)</f>
        <v/>
      </c>
      <c r="AD43" s="52">
        <f>(AB43-AB42)/AB42</f>
        <v/>
      </c>
      <c r="AE43" s="52">
        <f>(AB43-AC43)/AC43</f>
        <v/>
      </c>
      <c r="AF43" s="568" t="n">
        <v>2690</v>
      </c>
      <c r="AG43" s="568" t="n">
        <v>2683</v>
      </c>
      <c r="AH43" s="52">
        <f>(AF43-AF42)/AF42</f>
        <v/>
      </c>
      <c r="AI43" s="52">
        <f>(AF43-AG43)/AG43</f>
        <v/>
      </c>
      <c r="AJ43" s="568" t="n">
        <v>244</v>
      </c>
      <c r="AK43" s="568" t="n">
        <v>200</v>
      </c>
      <c r="AL43" s="52">
        <f>(AJ43-AJ42)/AJ42</f>
        <v/>
      </c>
      <c r="AM43" s="52">
        <f>(AJ43-AK43)/AK43</f>
        <v/>
      </c>
      <c r="AN43" s="569">
        <f>AJ43/AF43</f>
        <v/>
      </c>
      <c r="AO43" s="89">
        <f>AK43/AG43</f>
        <v/>
      </c>
      <c r="AP43" s="52">
        <f>(AN43-AN42)/AN42</f>
        <v/>
      </c>
      <c r="AQ43" s="52">
        <f>(AN43-AO43)/AO43</f>
        <v/>
      </c>
      <c r="AR43" s="566">
        <f>D43/AJ43</f>
        <v/>
      </c>
      <c r="AS43" s="566">
        <f>E43/AK43</f>
        <v/>
      </c>
      <c r="AT43" s="52">
        <f>(AR43-AR42)/AR42</f>
        <v/>
      </c>
      <c r="AU43" s="52">
        <f>(AR43-AS43)/AS43</f>
        <v/>
      </c>
      <c r="AV43" t="s">
        <v>161</v>
      </c>
    </row>
    <row customHeight="1" ht="15.75" r="44" s="452" spans="1:48">
      <c r="A44" s="49" t="s">
        <v>50</v>
      </c>
      <c r="B44" s="49" t="s">
        <v>127</v>
      </c>
      <c r="C44" s="50">
        <f>C43+7</f>
        <v/>
      </c>
      <c r="D44" s="565" t="n">
        <v>63276</v>
      </c>
      <c r="E44" s="566" t="n">
        <v>36137</v>
      </c>
      <c r="F44" s="52">
        <f>(D44-D43)/D43</f>
        <v/>
      </c>
      <c r="G44" s="52">
        <f>(D44-E44)/E44</f>
        <v/>
      </c>
      <c r="H44" s="566">
        <f>L44+P44+T44</f>
        <v/>
      </c>
      <c r="I44" s="566">
        <f>M44+Q44+U44</f>
        <v/>
      </c>
      <c r="J44" s="33">
        <f>(H44-H43)/H43</f>
        <v/>
      </c>
      <c r="K44" s="33">
        <f>(H44-I44)/I44</f>
        <v/>
      </c>
      <c r="L44" s="566" t="n">
        <v>4787</v>
      </c>
      <c r="M44" s="566" t="n">
        <v>3528.69</v>
      </c>
      <c r="N44" s="33">
        <f>(L44-L43)/L43</f>
        <v/>
      </c>
      <c r="O44" s="33">
        <f>(L44-M44)/M44</f>
        <v/>
      </c>
      <c r="P44" s="566" t="n">
        <v>2000</v>
      </c>
      <c r="Q44" s="566" t="n">
        <v>2640</v>
      </c>
      <c r="R44" s="33">
        <f>(P44-P43)/P43</f>
        <v/>
      </c>
      <c r="S44" s="33">
        <f>(P44-Q44)/Q44</f>
        <v/>
      </c>
      <c r="T44" s="583" t="n">
        <v>500</v>
      </c>
      <c r="U44" s="566" t="n">
        <v>500</v>
      </c>
      <c r="V44" s="33">
        <f>(T44-T43)/T43</f>
        <v/>
      </c>
      <c r="W44" s="33">
        <f>(T44-U44)/U44</f>
        <v/>
      </c>
      <c r="X44" s="567">
        <f>D44/(L44+P44)</f>
        <v/>
      </c>
      <c r="Y44" s="567">
        <f>E44/(M44+Q44)</f>
        <v/>
      </c>
      <c r="Z44" s="52">
        <f>(X44-X43)/X43</f>
        <v/>
      </c>
      <c r="AA44" s="52">
        <f>(X44-Y44)/Y44</f>
        <v/>
      </c>
      <c r="AB44" s="567">
        <f>D44/(L44+P44+T44)</f>
        <v/>
      </c>
      <c r="AC44" s="567">
        <f>E44/(M44+Q44+U44)</f>
        <v/>
      </c>
      <c r="AD44" s="52">
        <f>(AB44-AB43)/AB43</f>
        <v/>
      </c>
      <c r="AE44" s="52">
        <f>(AB44-AC44)/AC44</f>
        <v/>
      </c>
      <c r="AF44" s="568" t="n">
        <v>7934</v>
      </c>
      <c r="AG44" s="568" t="n">
        <v>3786</v>
      </c>
      <c r="AH44" s="52">
        <f>(AF44-AF43)/AF43</f>
        <v/>
      </c>
      <c r="AI44" s="52">
        <f>(AF44-AG44)/AG44</f>
        <v/>
      </c>
      <c r="AJ44" s="568" t="n">
        <v>449</v>
      </c>
      <c r="AK44" s="568" t="n">
        <v>227</v>
      </c>
      <c r="AL44" s="52">
        <f>(AJ44-AJ43)/AJ43</f>
        <v/>
      </c>
      <c r="AM44" s="52">
        <f>(AJ44-AK44)/AK44</f>
        <v/>
      </c>
      <c r="AN44" s="569">
        <f>AJ44/AF44</f>
        <v/>
      </c>
      <c r="AO44" s="89">
        <f>AK44/AG44</f>
        <v/>
      </c>
      <c r="AP44" s="52">
        <f>(AN44-AN43)/AN43</f>
        <v/>
      </c>
      <c r="AQ44" s="52">
        <f>(AN44-AO44)/AO44</f>
        <v/>
      </c>
      <c r="AR44" s="566">
        <f>D44/AJ44</f>
        <v/>
      </c>
      <c r="AS44" s="566">
        <f>E44/AK44</f>
        <v/>
      </c>
      <c r="AT44" s="52">
        <f>(AR44-AR43)/AR43</f>
        <v/>
      </c>
      <c r="AU44" s="52">
        <f>(AR44-AS44)/AS44</f>
        <v/>
      </c>
      <c r="AV44" t="s">
        <v>161</v>
      </c>
    </row>
    <row customFormat="1" customHeight="1" ht="15.75" r="45" s="357" spans="1:48">
      <c r="A45" s="69" t="s">
        <v>50</v>
      </c>
      <c r="B45" s="69" t="s">
        <v>128</v>
      </c>
      <c r="C45" s="70">
        <f>C44+7</f>
        <v/>
      </c>
      <c r="D45" s="584" t="n">
        <v>57135</v>
      </c>
      <c r="E45" s="585" t="n">
        <v>10195</v>
      </c>
      <c r="F45" s="73">
        <f>(D45-D44)/D44</f>
        <v/>
      </c>
      <c r="G45" s="73">
        <f>(D45-E45)/E45</f>
        <v/>
      </c>
      <c r="H45" s="571">
        <f>L45+P45+T45</f>
        <v/>
      </c>
      <c r="I45" s="571">
        <f>M45+Q45+U45</f>
        <v/>
      </c>
      <c r="J45" s="282">
        <f>(H45-H44)/H44</f>
        <v/>
      </c>
      <c r="K45" s="282">
        <f>(H45-I45)/I45</f>
        <v/>
      </c>
      <c r="L45" s="571" t="n">
        <v>6132.34</v>
      </c>
      <c r="M45" s="571" t="n">
        <v>1220.42</v>
      </c>
      <c r="N45" s="282">
        <f>(L45-L44)/L44</f>
        <v/>
      </c>
      <c r="O45" s="282">
        <f>(L45-M45)/M45</f>
        <v/>
      </c>
      <c r="P45" s="571" t="n">
        <v>2000</v>
      </c>
      <c r="Q45" s="571" t="n">
        <v>2640</v>
      </c>
      <c r="R45" s="282">
        <f>(P45-P44)/P44</f>
        <v/>
      </c>
      <c r="S45" s="282">
        <f>(P45-Q45)/Q45</f>
        <v/>
      </c>
      <c r="T45" s="582" t="n">
        <v>500</v>
      </c>
      <c r="U45" s="571" t="n">
        <v>500</v>
      </c>
      <c r="V45" s="282">
        <f>(T45-T44)/T44</f>
        <v/>
      </c>
      <c r="W45" s="282">
        <f>(T45-U45)/U45</f>
        <v/>
      </c>
      <c r="X45" s="572">
        <f>D45/(L45+P45)</f>
        <v/>
      </c>
      <c r="Y45" s="572">
        <f>E45/(M45+Q45)</f>
        <v/>
      </c>
      <c r="Z45" s="73">
        <f>(X45-X44)/X44</f>
        <v/>
      </c>
      <c r="AA45" s="73">
        <f>(X45-Y45)/Y45</f>
        <v/>
      </c>
      <c r="AB45" s="572">
        <f>D45/(L45+P45+T45)</f>
        <v/>
      </c>
      <c r="AC45" s="572">
        <f>E45/(M45+Q45+U45)</f>
        <v/>
      </c>
      <c r="AD45" s="73">
        <f>(AB45-AB44)/AB44</f>
        <v/>
      </c>
      <c r="AE45" s="73">
        <f>(AB45-AC45)/AC45</f>
        <v/>
      </c>
      <c r="AF45" s="573" t="n">
        <v>7601</v>
      </c>
      <c r="AG45" s="573" t="n">
        <v>2297</v>
      </c>
      <c r="AH45" s="73">
        <f>(AF45-AF44)/AF44</f>
        <v/>
      </c>
      <c r="AI45" s="73">
        <f>(AF45-AG45)/AG45</f>
        <v/>
      </c>
      <c r="AJ45" s="573" t="n">
        <v>458</v>
      </c>
      <c r="AK45" s="573" t="n">
        <v>127</v>
      </c>
      <c r="AL45" s="73">
        <f>(AJ45-AJ44)/AJ44</f>
        <v/>
      </c>
      <c r="AM45" s="73">
        <f>(AJ45-AK45)/AK45</f>
        <v/>
      </c>
      <c r="AN45" s="574">
        <f>AJ45/AF45</f>
        <v/>
      </c>
      <c r="AO45" s="147">
        <f>AK45/AG45</f>
        <v/>
      </c>
      <c r="AP45" s="73">
        <f>(AN45-AN44)/AN44</f>
        <v/>
      </c>
      <c r="AQ45" s="73">
        <f>(AN45-AO45)/AO45</f>
        <v/>
      </c>
      <c r="AR45" s="571">
        <f>D45/AJ45</f>
        <v/>
      </c>
      <c r="AS45" s="571">
        <f>E45/AK45</f>
        <v/>
      </c>
      <c r="AT45" s="73">
        <f>(AR45-AR44)/AR44</f>
        <v/>
      </c>
      <c r="AU45" s="73">
        <f>(AR45-AS45)/AS45</f>
        <v/>
      </c>
      <c r="AV45" s="357" t="s">
        <v>161</v>
      </c>
    </row>
    <row customHeight="1" ht="15.75" r="46" s="452" spans="1:48">
      <c r="A46" s="49" t="s">
        <v>51</v>
      </c>
      <c r="B46" s="49" t="s">
        <v>129</v>
      </c>
      <c r="C46" s="50">
        <f>C45+7</f>
        <v/>
      </c>
      <c r="D46" s="586" t="n">
        <v>97018</v>
      </c>
      <c r="E46" s="587" t="n">
        <v>22751</v>
      </c>
      <c r="F46" s="52">
        <f>(D46-D45)/D45</f>
        <v/>
      </c>
      <c r="G46" s="52">
        <f>(D46-E46)/E46</f>
        <v/>
      </c>
      <c r="H46" s="566">
        <f>L46+P46+T46</f>
        <v/>
      </c>
      <c r="I46" s="566">
        <f>M46+Q46+U46</f>
        <v/>
      </c>
      <c r="J46" s="282">
        <f>(H46-H45)/H45</f>
        <v/>
      </c>
      <c r="K46" s="282">
        <f>(H46-I46)/I46</f>
        <v/>
      </c>
      <c r="L46" s="566" t="n">
        <v>9153.709999999999</v>
      </c>
      <c r="M46" s="566" t="n">
        <v>2308.72</v>
      </c>
      <c r="N46" s="282">
        <f>(L46-L45)/L45</f>
        <v/>
      </c>
      <c r="O46" s="282">
        <f>(L46-M46)/M46</f>
        <v/>
      </c>
      <c r="P46" s="566" t="n">
        <v>17112.5</v>
      </c>
      <c r="Q46" s="566">
        <f>7370+1600</f>
        <v/>
      </c>
      <c r="R46" s="282">
        <f>(P46-P45)/P45</f>
        <v/>
      </c>
      <c r="S46" s="282">
        <f>(P46-Q46)/Q46</f>
        <v/>
      </c>
      <c r="T46" s="566" t="n">
        <v>2000</v>
      </c>
      <c r="U46" s="566" t="n">
        <v>2003</v>
      </c>
      <c r="V46" s="282">
        <f>(T46-T45)/T45</f>
        <v/>
      </c>
      <c r="W46" s="282">
        <f>(T46-U46)/U46</f>
        <v/>
      </c>
      <c r="X46" s="567">
        <f>D46/(L46+P46)</f>
        <v/>
      </c>
      <c r="Y46" s="567">
        <f>E46/(M46+Q46)</f>
        <v/>
      </c>
      <c r="Z46" s="52">
        <f>(X46-X45)/X45</f>
        <v/>
      </c>
      <c r="AA46" s="52">
        <f>(X46-Y46)/Y46</f>
        <v/>
      </c>
      <c r="AB46" s="567">
        <f>D46/(L46+P46+T46)</f>
        <v/>
      </c>
      <c r="AC46" s="567">
        <f>E46/(M46+Q46+U46)</f>
        <v/>
      </c>
      <c r="AD46" s="52">
        <f>(AB46-AB45)/AB45</f>
        <v/>
      </c>
      <c r="AE46" s="52">
        <f>(AB46-AC46)/AC46</f>
        <v/>
      </c>
      <c r="AF46" s="568" t="n">
        <v>10432</v>
      </c>
      <c r="AG46" s="568" t="n">
        <v>2036</v>
      </c>
      <c r="AH46" s="52">
        <f>(AF46-AF45)/AF45</f>
        <v/>
      </c>
      <c r="AI46" s="52">
        <f>(AF46-AG46)/AG46</f>
        <v/>
      </c>
      <c r="AJ46" s="568" t="n">
        <v>738</v>
      </c>
      <c r="AK46" s="568" t="n">
        <v>163</v>
      </c>
      <c r="AL46" s="52">
        <f>(AJ46-AJ45)/AJ45</f>
        <v/>
      </c>
      <c r="AM46" s="52">
        <f>(AJ46-AK46)/AK46</f>
        <v/>
      </c>
      <c r="AN46" s="569">
        <f>AJ46/AF46</f>
        <v/>
      </c>
      <c r="AO46" s="89">
        <f>AK46/AG46</f>
        <v/>
      </c>
      <c r="AP46" s="52">
        <f>(AN46-AN45)/AN45</f>
        <v/>
      </c>
      <c r="AQ46" s="52">
        <f>(AN46-AO46)/AO46</f>
        <v/>
      </c>
      <c r="AR46" s="566">
        <f>D46/AJ46</f>
        <v/>
      </c>
      <c r="AS46" s="566">
        <f>E46/AK46</f>
        <v/>
      </c>
      <c r="AT46" s="52">
        <f>(AR46-AR45)/AR45</f>
        <v/>
      </c>
      <c r="AU46" s="52">
        <f>(AR46-AS46)/AS46</f>
        <v/>
      </c>
      <c r="AV46" t="s">
        <v>162</v>
      </c>
    </row>
    <row customHeight="1" ht="15.75" r="47" s="452" spans="1:48">
      <c r="A47" s="49" t="s">
        <v>51</v>
      </c>
      <c r="B47" s="49" t="s">
        <v>130</v>
      </c>
      <c r="C47" s="50">
        <f>C46+7</f>
        <v/>
      </c>
      <c r="D47" s="586" t="n">
        <v>41481</v>
      </c>
      <c r="E47" s="587" t="n">
        <v>22668</v>
      </c>
      <c r="F47" s="52">
        <f>(D47-D46)/D46</f>
        <v/>
      </c>
      <c r="G47" s="52">
        <f>(D47-E47)/E47</f>
        <v/>
      </c>
      <c r="H47" s="566">
        <f>L47+P47+T47</f>
        <v/>
      </c>
      <c r="I47" s="566">
        <f>M47+Q47+U47</f>
        <v/>
      </c>
      <c r="J47" s="33">
        <f>(H47-H46)/H46</f>
        <v/>
      </c>
      <c r="K47" s="33">
        <f>(H47-I47)/I47</f>
        <v/>
      </c>
      <c r="L47" s="566" t="n">
        <v>3503.47</v>
      </c>
      <c r="M47" s="566" t="n">
        <v>3562.37</v>
      </c>
      <c r="N47" s="33">
        <f>(L47-L46)/L46</f>
        <v/>
      </c>
      <c r="O47" s="33">
        <f>(L47-M47)/M47</f>
        <v/>
      </c>
      <c r="P47" s="566" t="n">
        <v>17112.5</v>
      </c>
      <c r="Q47" s="566">
        <f>7370+1600</f>
        <v/>
      </c>
      <c r="R47" s="33">
        <f>(P47-P46)/P46</f>
        <v/>
      </c>
      <c r="S47" s="33">
        <f>(P47-Q47)/Q47</f>
        <v/>
      </c>
      <c r="T47" s="566" t="n">
        <v>2000</v>
      </c>
      <c r="U47" s="566" t="n">
        <v>2003</v>
      </c>
      <c r="V47" s="33">
        <f>(T47-T46)/T46</f>
        <v/>
      </c>
      <c r="W47" s="33">
        <f>(T47-U47)/U47</f>
        <v/>
      </c>
      <c r="X47" s="567">
        <f>D47/(L47+P47)</f>
        <v/>
      </c>
      <c r="Y47" s="567">
        <f>E47/(M47+Q47)</f>
        <v/>
      </c>
      <c r="Z47" s="52">
        <f>(X47-X46)/X46</f>
        <v/>
      </c>
      <c r="AA47" s="52">
        <f>(X47-Y47)/Y47</f>
        <v/>
      </c>
      <c r="AB47" s="567">
        <f>D47/(L47+P47+T47)</f>
        <v/>
      </c>
      <c r="AC47" s="567">
        <f>E47/(M47+Q47+U47)</f>
        <v/>
      </c>
      <c r="AD47" s="52">
        <f>(AB47-AB46)/AB46</f>
        <v/>
      </c>
      <c r="AE47" s="52">
        <f>(AB47-AC47)/AC47</f>
        <v/>
      </c>
      <c r="AF47" s="568" t="n">
        <v>6021</v>
      </c>
      <c r="AG47" s="568" t="n">
        <v>5427</v>
      </c>
      <c r="AH47" s="52">
        <f>(AF47-AF46)/AF46</f>
        <v/>
      </c>
      <c r="AI47" s="52">
        <f>(AF47-AG47)/AG47</f>
        <v/>
      </c>
      <c r="AJ47" s="588" t="n">
        <v>383</v>
      </c>
      <c r="AK47" s="588" t="n">
        <v>207</v>
      </c>
      <c r="AL47" s="52">
        <f>(AJ47-AJ46)/AJ46</f>
        <v/>
      </c>
      <c r="AM47" s="52">
        <f>(AJ47-AK47)/AK47</f>
        <v/>
      </c>
      <c r="AN47" s="569">
        <f>AJ47/AF47</f>
        <v/>
      </c>
      <c r="AO47" s="89">
        <f>AK47/AG47</f>
        <v/>
      </c>
      <c r="AP47" s="52">
        <f>(AN47-AN46)/AN46</f>
        <v/>
      </c>
      <c r="AQ47" s="52">
        <f>(AN47-AO47)/AO47</f>
        <v/>
      </c>
      <c r="AR47" s="566">
        <f>D47/AJ47</f>
        <v/>
      </c>
      <c r="AS47" s="566">
        <f>E47/AK47</f>
        <v/>
      </c>
      <c r="AT47" s="52">
        <f>(AR47-AR46)/AR46</f>
        <v/>
      </c>
      <c r="AU47" s="52">
        <f>(AR47-AS47)/AS47</f>
        <v/>
      </c>
      <c r="AV47" t="s">
        <v>162</v>
      </c>
    </row>
    <row customHeight="1" ht="15.75" r="48" s="452" spans="1:48">
      <c r="A48" s="49" t="s">
        <v>51</v>
      </c>
      <c r="B48" s="49" t="s">
        <v>131</v>
      </c>
      <c r="C48" s="50">
        <f>C47+7</f>
        <v/>
      </c>
      <c r="D48" s="586" t="n">
        <v>109892</v>
      </c>
      <c r="E48" s="587" t="n">
        <v>61678</v>
      </c>
      <c r="F48" s="52">
        <f>(D48-D47)/D47</f>
        <v/>
      </c>
      <c r="G48" s="52">
        <f>(D48-E48)/E48</f>
        <v/>
      </c>
      <c r="H48" s="566">
        <f>L48+P48+T48</f>
        <v/>
      </c>
      <c r="I48" s="566">
        <f>M48+Q48+U48</f>
        <v/>
      </c>
      <c r="J48" s="282">
        <f>(H48-H47)/H47</f>
        <v/>
      </c>
      <c r="K48" s="282">
        <f>(H48-I48)/I48</f>
        <v/>
      </c>
      <c r="L48" s="566" t="n">
        <v>9890.700000000001</v>
      </c>
      <c r="M48" s="566" t="n">
        <v>9455.66</v>
      </c>
      <c r="N48" s="282">
        <f>(L48-L47)/L47</f>
        <v/>
      </c>
      <c r="O48" s="282">
        <f>(L48-M48)/M48</f>
        <v/>
      </c>
      <c r="P48" s="566" t="n">
        <v>17112.5</v>
      </c>
      <c r="Q48" s="566">
        <f>7370+1600</f>
        <v/>
      </c>
      <c r="R48" s="282">
        <f>(P48-P47)/P47</f>
        <v/>
      </c>
      <c r="S48" s="282">
        <f>(P48-Q48)/Q48</f>
        <v/>
      </c>
      <c r="T48" s="566" t="n">
        <v>2000</v>
      </c>
      <c r="U48" s="566" t="n">
        <v>2003</v>
      </c>
      <c r="V48" s="282">
        <f>(T48-T47)/T47</f>
        <v/>
      </c>
      <c r="W48" s="282">
        <f>(T48-U48)/U48</f>
        <v/>
      </c>
      <c r="X48" s="567">
        <f>D48/(L48+P48)</f>
        <v/>
      </c>
      <c r="Y48" s="567">
        <f>E48/(M48+Q48)</f>
        <v/>
      </c>
      <c r="Z48" s="52">
        <f>(X48-X47)/X47</f>
        <v/>
      </c>
      <c r="AA48" s="52">
        <f>(X48-Y48)/Y48</f>
        <v/>
      </c>
      <c r="AB48" s="567">
        <f>D48/(L48+P48+T48)</f>
        <v/>
      </c>
      <c r="AC48" s="567">
        <f>E48/(M48+Q48+U48)</f>
        <v/>
      </c>
      <c r="AD48" s="52">
        <f>(AB48-AB47)/AB47</f>
        <v/>
      </c>
      <c r="AE48" s="52">
        <f>(AB48-AC48)/AC48</f>
        <v/>
      </c>
      <c r="AF48" s="568" t="n">
        <v>13549</v>
      </c>
      <c r="AG48" s="568" t="n">
        <v>10169</v>
      </c>
      <c r="AH48" s="52">
        <f>(AF48-AF47)/AF47</f>
        <v/>
      </c>
      <c r="AI48" s="52">
        <f>(AF48-AG48)/AG48</f>
        <v/>
      </c>
      <c r="AJ48" s="588" t="n">
        <v>873</v>
      </c>
      <c r="AK48" s="588" t="n">
        <v>552</v>
      </c>
      <c r="AL48" s="52">
        <f>(AJ48-AJ47)/AJ47</f>
        <v/>
      </c>
      <c r="AM48" s="52">
        <f>(AJ48-AK48)/AK48</f>
        <v/>
      </c>
      <c r="AN48" s="569">
        <f>AJ48/AF48</f>
        <v/>
      </c>
      <c r="AO48" s="89">
        <f>AK48/AG48</f>
        <v/>
      </c>
      <c r="AP48" s="52">
        <f>(AN48-AN47)/AN47</f>
        <v/>
      </c>
      <c r="AQ48" s="52">
        <f>(AN48-AO48)/AO48</f>
        <v/>
      </c>
      <c r="AR48" s="566">
        <f>D48/AJ48</f>
        <v/>
      </c>
      <c r="AS48" s="566">
        <f>E48/AK48</f>
        <v/>
      </c>
      <c r="AT48" s="52">
        <f>(AR48-AR47)/AR47</f>
        <v/>
      </c>
      <c r="AU48" s="52">
        <f>(AR48-AS48)/AS48</f>
        <v/>
      </c>
      <c r="AV48" t="s">
        <v>162</v>
      </c>
    </row>
    <row customFormat="1" customHeight="1" ht="15.75" r="49" s="357" spans="1:48">
      <c r="A49" s="69" t="s">
        <v>51</v>
      </c>
      <c r="B49" s="69" t="s">
        <v>53</v>
      </c>
      <c r="C49" s="70">
        <f>C48+7</f>
        <v/>
      </c>
      <c r="D49" s="584" t="n">
        <v>312551</v>
      </c>
      <c r="E49" s="585" t="n">
        <v>168094</v>
      </c>
      <c r="F49" s="73">
        <f>(D49-D48)/D48</f>
        <v/>
      </c>
      <c r="G49" s="73">
        <f>(D49-E49)/E49</f>
        <v/>
      </c>
      <c r="H49" s="571">
        <f>L49+P49+T49</f>
        <v/>
      </c>
      <c r="I49" s="571">
        <f>M49+Q49+U49</f>
        <v/>
      </c>
      <c r="J49" s="282">
        <f>(H49-H48)/H48</f>
        <v/>
      </c>
      <c r="K49" s="282">
        <f>(H49-I49)/I49</f>
        <v/>
      </c>
      <c r="L49" s="571" t="n">
        <v>18554.79</v>
      </c>
      <c r="M49" s="571" t="n">
        <v>27112.64</v>
      </c>
      <c r="N49" s="282">
        <f>(L49-L48)/L48</f>
        <v/>
      </c>
      <c r="O49" s="282">
        <f>(L49-M49)/M49</f>
        <v/>
      </c>
      <c r="P49" s="571" t="n">
        <v>17112.5</v>
      </c>
      <c r="Q49" s="571">
        <f>7370+1600</f>
        <v/>
      </c>
      <c r="R49" s="282">
        <f>(P49-P48)/P48</f>
        <v/>
      </c>
      <c r="S49" s="282">
        <f>(P49-Q49)/Q49</f>
        <v/>
      </c>
      <c r="T49" s="571" t="n">
        <v>2000</v>
      </c>
      <c r="U49" s="571" t="n">
        <v>2003</v>
      </c>
      <c r="V49" s="282">
        <f>(T49-T48)/T48</f>
        <v/>
      </c>
      <c r="W49" s="282">
        <f>(T49-U49)/U49</f>
        <v/>
      </c>
      <c r="X49" s="572">
        <f>D49/(L49+P49)</f>
        <v/>
      </c>
      <c r="Y49" s="572">
        <f>E49/(M49+Q49)</f>
        <v/>
      </c>
      <c r="Z49" s="73">
        <f>(X49-X48)/X48</f>
        <v/>
      </c>
      <c r="AA49" s="73">
        <f>(X49-Y49)/Y49</f>
        <v/>
      </c>
      <c r="AB49" s="572">
        <f>D49/(L49+P49+T49)</f>
        <v/>
      </c>
      <c r="AC49" s="572">
        <f>E49/(M49+Q49+U49)</f>
        <v/>
      </c>
      <c r="AD49" s="73">
        <f>(AB49-AB48)/AB48</f>
        <v/>
      </c>
      <c r="AE49" s="73">
        <f>(AB49-AC49)/AC49</f>
        <v/>
      </c>
      <c r="AF49" s="573" t="n">
        <v>28217</v>
      </c>
      <c r="AG49" s="573" t="n">
        <v>15087</v>
      </c>
      <c r="AH49" s="73">
        <f>(AF49-AF48)/AF48</f>
        <v/>
      </c>
      <c r="AI49" s="73">
        <f>(AF49-AG49)/AG49</f>
        <v/>
      </c>
      <c r="AJ49" s="589" t="n">
        <v>2168</v>
      </c>
      <c r="AK49" s="589" t="n">
        <v>1193</v>
      </c>
      <c r="AL49" s="73">
        <f>(AJ49-AJ48)/AJ48</f>
        <v/>
      </c>
      <c r="AM49" s="73">
        <f>(AJ49-AK49)/AK49</f>
        <v/>
      </c>
      <c r="AN49" s="574">
        <f>AJ49/AF49</f>
        <v/>
      </c>
      <c r="AO49" s="147">
        <f>AK49/AG49</f>
        <v/>
      </c>
      <c r="AP49" s="73">
        <f>(AN49-AN48)/AN48</f>
        <v/>
      </c>
      <c r="AQ49" s="73">
        <f>(AN49-AO49)/AO49</f>
        <v/>
      </c>
      <c r="AR49" s="571">
        <f>D49/AJ49</f>
        <v/>
      </c>
      <c r="AS49" s="571">
        <f>E49/AK49</f>
        <v/>
      </c>
      <c r="AT49" s="73">
        <f>(AR49-AR48)/AR48</f>
        <v/>
      </c>
      <c r="AU49" s="73">
        <f>(AR49-AS49)/AS49</f>
        <v/>
      </c>
      <c r="AV49" s="357" t="s">
        <v>162</v>
      </c>
    </row>
    <row customHeight="1" ht="15.75" r="50" s="452" spans="1:48">
      <c r="A50" s="49" t="s">
        <v>52</v>
      </c>
      <c r="B50" s="49" t="s">
        <v>132</v>
      </c>
      <c r="C50" s="50">
        <f>C49+7</f>
        <v/>
      </c>
      <c r="D50" s="590" t="n"/>
      <c r="E50" s="591" t="n">
        <v>33890</v>
      </c>
      <c r="F50" s="52">
        <f>(D50-D49)/D49</f>
        <v/>
      </c>
      <c r="G50" s="52">
        <f>(D50-E50)/E50</f>
        <v/>
      </c>
      <c r="H50" s="566">
        <f>L50+P50+T50</f>
        <v/>
      </c>
      <c r="I50" s="566">
        <f>M50+Q50+U50</f>
        <v/>
      </c>
      <c r="J50" s="33">
        <f>(H50-H49)/H49</f>
        <v/>
      </c>
      <c r="K50" s="33">
        <f>(H50-I50)/I50</f>
        <v/>
      </c>
      <c r="L50" s="566" t="n"/>
      <c r="M50" s="592">
        <f>2546.2</f>
        <v/>
      </c>
      <c r="N50" s="33">
        <f>(L50-L49)/L49</f>
        <v/>
      </c>
      <c r="O50" s="33">
        <f>(L50-M50)/M50</f>
        <v/>
      </c>
      <c r="P50" s="566" t="n">
        <v>5000</v>
      </c>
      <c r="Q50" s="566" t="n">
        <v>1600</v>
      </c>
      <c r="R50" s="33">
        <f>(P50-P49)/P49</f>
        <v/>
      </c>
      <c r="S50" s="33">
        <f>(P50-Q50)/Q50</f>
        <v/>
      </c>
      <c r="T50" s="566" t="n"/>
      <c r="U50" s="566" t="n">
        <v>1086.75</v>
      </c>
      <c r="V50" s="33">
        <f>(T50-T49)/T49</f>
        <v/>
      </c>
      <c r="W50" s="33">
        <f>(T50-U50)/U50</f>
        <v/>
      </c>
      <c r="X50" s="567">
        <f>D50/(L50+P50)</f>
        <v/>
      </c>
      <c r="Y50" s="567">
        <f>E50/(M50+Q50)</f>
        <v/>
      </c>
      <c r="Z50" s="52">
        <f>(X50-X49)/X49</f>
        <v/>
      </c>
      <c r="AA50" s="52">
        <f>(X50-Y50)/Y50</f>
        <v/>
      </c>
      <c r="AB50" s="567">
        <f>D50/(L50+P50+T50)</f>
        <v/>
      </c>
      <c r="AC50" s="567">
        <f>E50/(M50+Q50+U50)</f>
        <v/>
      </c>
      <c r="AD50" s="52">
        <f>(AB50-AB49)/AB49</f>
        <v/>
      </c>
      <c r="AE50" s="52">
        <f>(AB50-AC50)/AC50</f>
        <v/>
      </c>
      <c r="AF50" s="568" t="n"/>
      <c r="AG50" s="593" t="n">
        <v>6121</v>
      </c>
      <c r="AH50" s="52">
        <f>(AF50-AF49)/AF49</f>
        <v/>
      </c>
      <c r="AI50" s="52">
        <f>(AF50-AG50)/AG50</f>
        <v/>
      </c>
      <c r="AJ50" s="588" t="n"/>
      <c r="AK50" s="594" t="n">
        <v>364</v>
      </c>
      <c r="AL50" s="52">
        <f>(AJ50-AJ49)/AJ49</f>
        <v/>
      </c>
      <c r="AM50" s="52">
        <f>(AJ50-AK50)/AK50</f>
        <v/>
      </c>
      <c r="AN50" s="569">
        <f>AJ50/AF50</f>
        <v/>
      </c>
      <c r="AO50" s="89">
        <f>AK50/AG50</f>
        <v/>
      </c>
      <c r="AP50" s="52">
        <f>(AN50-AN49)/AN49</f>
        <v/>
      </c>
      <c r="AQ50" s="52">
        <f>(AN50-AO50)/AO50</f>
        <v/>
      </c>
      <c r="AR50" s="566">
        <f>D50/AJ50</f>
        <v/>
      </c>
      <c r="AS50" s="566">
        <f>E50/AK50</f>
        <v/>
      </c>
      <c r="AT50" s="52">
        <f>(AR50-AR49)/AR49</f>
        <v/>
      </c>
      <c r="AU50" s="52">
        <f>(AR50-AS50)/AS50</f>
        <v/>
      </c>
      <c r="AV50" t="s">
        <v>163</v>
      </c>
    </row>
    <row customHeight="1" ht="15.75" r="51" s="452" spans="1:48">
      <c r="A51" s="49" t="s">
        <v>52</v>
      </c>
      <c r="B51" s="49" t="s">
        <v>133</v>
      </c>
      <c r="C51" s="50">
        <f>C50+7</f>
        <v/>
      </c>
      <c r="D51" s="590" t="n"/>
      <c r="E51" s="591" t="n">
        <v>21674</v>
      </c>
      <c r="F51" s="52">
        <f>(D51-D50)/D50</f>
        <v/>
      </c>
      <c r="G51" s="52">
        <f>(D51-E51)/E51</f>
        <v/>
      </c>
      <c r="H51" s="566">
        <f>L51+P51+T51</f>
        <v/>
      </c>
      <c r="I51" s="566">
        <f>M51+Q51+U51</f>
        <v/>
      </c>
      <c r="J51" s="282">
        <f>(H51-H50)/H50</f>
        <v/>
      </c>
      <c r="K51" s="282">
        <f>(H51-I51)/I51</f>
        <v/>
      </c>
      <c r="L51" s="566" t="n"/>
      <c r="M51" s="592">
        <f>1704.02</f>
        <v/>
      </c>
      <c r="N51" s="282">
        <f>(L51-L50)/L50</f>
        <v/>
      </c>
      <c r="O51" s="282">
        <f>(L51-M51)/M51</f>
        <v/>
      </c>
      <c r="P51" s="566" t="n">
        <v>5000</v>
      </c>
      <c r="Q51" s="566" t="n">
        <v>1600</v>
      </c>
      <c r="R51" s="282">
        <f>(P51-P50)/P50</f>
        <v/>
      </c>
      <c r="S51" s="282">
        <f>(P51-Q51)/Q51</f>
        <v/>
      </c>
      <c r="T51" s="566" t="n"/>
      <c r="U51" s="566" t="n">
        <v>1086.75</v>
      </c>
      <c r="V51" s="282">
        <f>(T51-T50)/T50</f>
        <v/>
      </c>
      <c r="W51" s="282">
        <f>(T51-U51)/U51</f>
        <v/>
      </c>
      <c r="X51" s="567">
        <f>D51/(L51+P51)</f>
        <v/>
      </c>
      <c r="Y51" s="567">
        <f>E51/(M51+Q51)</f>
        <v/>
      </c>
      <c r="Z51" s="52">
        <f>(X51-X50)/X50</f>
        <v/>
      </c>
      <c r="AA51" s="52">
        <f>(X51-Y51)/Y51</f>
        <v/>
      </c>
      <c r="AB51" s="567">
        <f>D51/(L51+P51+T51)</f>
        <v/>
      </c>
      <c r="AC51" s="567">
        <f>E51/(M51+Q51+U51)</f>
        <v/>
      </c>
      <c r="AD51" s="52">
        <f>(AB51-AB50)/AB50</f>
        <v/>
      </c>
      <c r="AE51" s="52">
        <f>(AB51-AC51)/AC51</f>
        <v/>
      </c>
      <c r="AF51" s="568" t="n"/>
      <c r="AG51" s="593" t="n">
        <v>5649</v>
      </c>
      <c r="AH51" s="52">
        <f>(AF51-AF50)/AF50</f>
        <v/>
      </c>
      <c r="AI51" s="52">
        <f>(AF51-AG51)/AG51</f>
        <v/>
      </c>
      <c r="AJ51" s="588" t="n"/>
      <c r="AK51" s="594" t="n">
        <v>196</v>
      </c>
      <c r="AL51" s="52">
        <f>(AJ51-AJ50)/AJ50</f>
        <v/>
      </c>
      <c r="AM51" s="52">
        <f>(AJ51-AK51)/AK51</f>
        <v/>
      </c>
      <c r="AN51" s="569">
        <f>AJ51/AF51</f>
        <v/>
      </c>
      <c r="AO51" s="89">
        <f>AK51/AG51</f>
        <v/>
      </c>
      <c r="AP51" s="52">
        <f>(AN51-AN50)/AN50</f>
        <v/>
      </c>
      <c r="AQ51" s="52">
        <f>(AN51-AO51)/AO51</f>
        <v/>
      </c>
      <c r="AR51" s="566">
        <f>D51/AJ51</f>
        <v/>
      </c>
      <c r="AS51" s="566">
        <f>E51/AK51</f>
        <v/>
      </c>
      <c r="AT51" s="52">
        <f>(AR51-AR50)/AR50</f>
        <v/>
      </c>
      <c r="AU51" s="52">
        <f>(AR51-AS51)/AS51</f>
        <v/>
      </c>
      <c r="AV51" t="s">
        <v>163</v>
      </c>
    </row>
    <row customHeight="1" ht="15.75" r="52" s="452" spans="1:48">
      <c r="A52" s="49" t="s">
        <v>52</v>
      </c>
      <c r="B52" s="49" t="s">
        <v>134</v>
      </c>
      <c r="C52" s="50">
        <f>C51+7</f>
        <v/>
      </c>
      <c r="D52" s="590" t="n"/>
      <c r="E52" s="591" t="n">
        <v>34976</v>
      </c>
      <c r="F52" s="52">
        <f>(D52-D51)/D51</f>
        <v/>
      </c>
      <c r="G52" s="52">
        <f>(D52-E52)/E52</f>
        <v/>
      </c>
      <c r="H52" s="566">
        <f>L52+P52+T52</f>
        <v/>
      </c>
      <c r="I52" s="566">
        <f>M52+Q52+U52</f>
        <v/>
      </c>
      <c r="J52" s="282">
        <f>(H52-H51)/H51</f>
        <v/>
      </c>
      <c r="K52" s="282">
        <f>(H52-I52)/I52</f>
        <v/>
      </c>
      <c r="L52" s="566" t="n"/>
      <c r="M52" s="592">
        <f>991.78</f>
        <v/>
      </c>
      <c r="N52" s="282">
        <f>(L52-L51)/L51</f>
        <v/>
      </c>
      <c r="O52" s="282">
        <f>(L52-M52)/M52</f>
        <v/>
      </c>
      <c r="P52" s="566" t="n">
        <v>5000</v>
      </c>
      <c r="Q52" s="566" t="n">
        <v>1600</v>
      </c>
      <c r="R52" s="282">
        <f>(P52-P51)/P51</f>
        <v/>
      </c>
      <c r="S52" s="282">
        <f>(P52-Q52)/Q52</f>
        <v/>
      </c>
      <c r="T52" s="566" t="n"/>
      <c r="U52" s="566" t="n">
        <v>1086.75</v>
      </c>
      <c r="V52" s="282">
        <f>(T52-T51)/T51</f>
        <v/>
      </c>
      <c r="W52" s="282">
        <f>(T52-U52)/U52</f>
        <v/>
      </c>
      <c r="X52" s="567">
        <f>D52/(L52+P52)</f>
        <v/>
      </c>
      <c r="Y52" s="567">
        <f>E52/(M52+Q52)</f>
        <v/>
      </c>
      <c r="Z52" s="52">
        <f>(X52-X51)/X51</f>
        <v/>
      </c>
      <c r="AA52" s="52">
        <f>(X52-Y52)/Y52</f>
        <v/>
      </c>
      <c r="AB52" s="567">
        <f>D52/(L52+P52+T52)</f>
        <v/>
      </c>
      <c r="AC52" s="567">
        <f>E52/(M52+Q52+U52)</f>
        <v/>
      </c>
      <c r="AD52" s="52">
        <f>(AB52-AB51)/AB51</f>
        <v/>
      </c>
      <c r="AE52" s="52">
        <f>(AB52-AC52)/AC52</f>
        <v/>
      </c>
      <c r="AF52" s="568" t="n"/>
      <c r="AG52" s="593" t="n">
        <v>5021</v>
      </c>
      <c r="AH52" s="52">
        <f>(AF52-AF51)/AF51</f>
        <v/>
      </c>
      <c r="AI52" s="52">
        <f>(AF52-AG52)/AG52</f>
        <v/>
      </c>
      <c r="AJ52" s="588" t="n"/>
      <c r="AK52" s="594" t="n">
        <v>249</v>
      </c>
      <c r="AL52" s="52">
        <f>(AJ52-AJ51)/AJ51</f>
        <v/>
      </c>
      <c r="AM52" s="52">
        <f>(AJ52-AK52)/AK52</f>
        <v/>
      </c>
      <c r="AN52" s="569">
        <f>AJ52/AF52</f>
        <v/>
      </c>
      <c r="AO52" s="89">
        <f>AK52/AG52</f>
        <v/>
      </c>
      <c r="AP52" s="52">
        <f>(AN52-AN51)/AN51</f>
        <v/>
      </c>
      <c r="AQ52" s="52">
        <f>(AN52-AO52)/AO52</f>
        <v/>
      </c>
      <c r="AR52" s="566">
        <f>D52/AJ52</f>
        <v/>
      </c>
      <c r="AS52" s="566">
        <f>E52/AK52</f>
        <v/>
      </c>
      <c r="AT52" s="52">
        <f>(AR52-AR51)/AR51</f>
        <v/>
      </c>
      <c r="AU52" s="52">
        <f>(AR52-AS52)/AS52</f>
        <v/>
      </c>
      <c r="AV52" t="s">
        <v>163</v>
      </c>
    </row>
    <row customHeight="1" ht="15.75" r="53" s="452" spans="1:48">
      <c r="A53" s="59" t="s">
        <v>52</v>
      </c>
      <c r="B53" s="59" t="s">
        <v>135</v>
      </c>
      <c r="C53" s="60">
        <f>C52+7</f>
        <v/>
      </c>
      <c r="D53" s="595" t="n"/>
      <c r="E53" s="596" t="n">
        <v>49491</v>
      </c>
      <c r="F53" s="62">
        <f>(D53-D52)/D52</f>
        <v/>
      </c>
      <c r="G53" s="62">
        <f>(D53-E53)/E53</f>
        <v/>
      </c>
      <c r="H53" s="566">
        <f>L53+P53+T53</f>
        <v/>
      </c>
      <c r="I53" s="566">
        <f>M53+Q53+U53</f>
        <v/>
      </c>
      <c r="J53" s="33">
        <f>(H53-H52)/H52</f>
        <v/>
      </c>
      <c r="K53" s="33">
        <f>(H53-I53)/I53</f>
        <v/>
      </c>
      <c r="L53" s="597" t="n"/>
      <c r="M53" s="592">
        <f>831.48</f>
        <v/>
      </c>
      <c r="N53" s="33">
        <f>(L53-L52)/L52</f>
        <v/>
      </c>
      <c r="O53" s="33">
        <f>(L53-M53)/M53</f>
        <v/>
      </c>
      <c r="P53" s="597" t="n">
        <v>5000</v>
      </c>
      <c r="Q53" s="597" t="n">
        <v>1600</v>
      </c>
      <c r="R53" s="33">
        <f>(P53-P52)/P52</f>
        <v/>
      </c>
      <c r="S53" s="33">
        <f>(P53-Q53)/Q53</f>
        <v/>
      </c>
      <c r="T53" s="597" t="n"/>
      <c r="U53" s="571" t="n">
        <v>1086.75</v>
      </c>
      <c r="V53" s="33">
        <f>(T53-T52)/T52</f>
        <v/>
      </c>
      <c r="W53" s="33">
        <f>(T53-U53)/U53</f>
        <v/>
      </c>
      <c r="X53" s="598">
        <f>D53/(L53+P53)</f>
        <v/>
      </c>
      <c r="Y53" s="598">
        <f>E53/(M53+Q53)</f>
        <v/>
      </c>
      <c r="Z53" s="62">
        <f>(X53-X52)/X52</f>
        <v/>
      </c>
      <c r="AA53" s="73">
        <f>(X53-Y53)/Y53</f>
        <v/>
      </c>
      <c r="AB53" s="572">
        <f>D53/(L53+P53+T53)</f>
        <v/>
      </c>
      <c r="AC53" s="572">
        <f>E53/(M53+Q53+U53)</f>
        <v/>
      </c>
      <c r="AD53" s="73">
        <f>(AB53-AB52)/AB52</f>
        <v/>
      </c>
      <c r="AE53" s="73">
        <f>(AB53-AC53)/AC53</f>
        <v/>
      </c>
      <c r="AF53" s="599" t="n"/>
      <c r="AG53" s="600" t="n">
        <v>8718</v>
      </c>
      <c r="AH53" s="62">
        <f>(AF53-AF52)/AF52</f>
        <v/>
      </c>
      <c r="AI53" s="62">
        <f>(AF53-AG53)/AG53</f>
        <v/>
      </c>
      <c r="AJ53" s="601" t="n"/>
      <c r="AK53" s="602" t="n">
        <v>476</v>
      </c>
      <c r="AL53" s="62">
        <f>(AJ53-AJ52)/AJ52</f>
        <v/>
      </c>
      <c r="AM53" s="62">
        <f>(AJ53-AK53)/AK53</f>
        <v/>
      </c>
      <c r="AN53" s="603">
        <f>AJ53/AF53</f>
        <v/>
      </c>
      <c r="AO53" s="148">
        <f>AK53/AG53</f>
        <v/>
      </c>
      <c r="AP53" s="62">
        <f>(AN53-AN52)/AN52</f>
        <v/>
      </c>
      <c r="AQ53" s="62">
        <f>(AN53-AO53)/AO53</f>
        <v/>
      </c>
      <c r="AR53" s="597">
        <f>D53/AJ53</f>
        <v/>
      </c>
      <c r="AS53" s="597">
        <f>E53/AK53</f>
        <v/>
      </c>
      <c r="AT53" s="62">
        <f>(AR53-AR52)/AR52</f>
        <v/>
      </c>
      <c r="AU53" s="62">
        <f>(AR53-AS53)/AS53</f>
        <v/>
      </c>
      <c r="AV53" s="357" t="s">
        <v>163</v>
      </c>
    </row>
    <row customFormat="1" customHeight="1" ht="19.5" r="54" s="437" spans="1:48">
      <c r="A54" s="428" t="s">
        <v>137</v>
      </c>
      <c r="B54" s="298" t="n"/>
      <c r="C54" s="429" t="n"/>
      <c r="D54" s="604">
        <f>SUM(D2:D53)</f>
        <v/>
      </c>
      <c r="E54" s="604">
        <f>SUM(E2:E53)</f>
        <v/>
      </c>
      <c r="F54" s="431" t="n"/>
      <c r="G54" s="432">
        <f>(D54-E54)/E54</f>
        <v/>
      </c>
      <c r="H54" s="604">
        <f>SUM(H2:H53)</f>
        <v/>
      </c>
      <c r="I54" s="604">
        <f>SUM(I2:I53)</f>
        <v/>
      </c>
      <c r="J54" s="431" t="n"/>
      <c r="K54" s="33">
        <f>(H54-I54)/I54</f>
        <v/>
      </c>
      <c r="L54" s="604">
        <f>SUM(L2:L53)</f>
        <v/>
      </c>
      <c r="M54" s="604">
        <f>SUM(M2:M53)</f>
        <v/>
      </c>
      <c r="N54" s="431" t="n"/>
      <c r="O54" s="33">
        <f>(L54-M54)/M54</f>
        <v/>
      </c>
      <c r="P54" s="604">
        <f>SUM(P2:P53)</f>
        <v/>
      </c>
      <c r="Q54" s="604">
        <f>SUM(Q2:Q53)</f>
        <v/>
      </c>
      <c r="R54" s="431" t="n"/>
      <c r="S54" s="33">
        <f>(P54-Q54)/Q54</f>
        <v/>
      </c>
      <c r="T54" s="604">
        <f>SUM(T2:T53)</f>
        <v/>
      </c>
      <c r="U54" s="604">
        <f>SUM(U2:U53)</f>
        <v/>
      </c>
      <c r="V54" s="431" t="n"/>
      <c r="W54" s="33">
        <f>(T54-U54)/U54</f>
        <v/>
      </c>
      <c r="X54" s="605">
        <f>D54/(L54+P54)</f>
        <v/>
      </c>
      <c r="Y54" s="605">
        <f>E54/(M54+Q54)</f>
        <v/>
      </c>
      <c r="Z54" s="431" t="n"/>
      <c r="AA54" s="240">
        <f>(X54-Y54)/Y54</f>
        <v/>
      </c>
      <c r="AB54" s="605">
        <f>D54/(L54+P54+T54)</f>
        <v/>
      </c>
      <c r="AC54" s="605">
        <f>I54/(Q54+Y54)</f>
        <v/>
      </c>
      <c r="AD54" s="431" t="n"/>
      <c r="AE54" s="240">
        <f>(AB54-AC54)/AC54</f>
        <v/>
      </c>
      <c r="AF54" s="606">
        <f>SUM(AF2:AF53)</f>
        <v/>
      </c>
      <c r="AG54" s="606">
        <f>SUM(AG2:AG53)</f>
        <v/>
      </c>
      <c r="AH54" s="431" t="n"/>
      <c r="AI54" s="432">
        <f>(AF54-AG54)/AG54</f>
        <v/>
      </c>
      <c r="AJ54" s="606">
        <f>SUM(AJ2:AJ53)</f>
        <v/>
      </c>
      <c r="AK54" s="606">
        <f>SUM(AK2:AK53)</f>
        <v/>
      </c>
      <c r="AL54" s="431" t="n"/>
      <c r="AM54" s="432">
        <f>(AJ54-AK54)/AK54</f>
        <v/>
      </c>
      <c r="AN54" s="607">
        <f>AJ54/AF54</f>
        <v/>
      </c>
      <c r="AO54" s="607">
        <f>AK54/AG54</f>
        <v/>
      </c>
      <c r="AP54" s="431" t="n"/>
      <c r="AQ54" s="432">
        <f>(AN54-AO54)/AO54</f>
        <v/>
      </c>
      <c r="AR54" s="604">
        <f>D54/AJ54</f>
        <v/>
      </c>
      <c r="AS54" s="604">
        <f>E54/AK54</f>
        <v/>
      </c>
      <c r="AT54" s="431" t="n"/>
      <c r="AU54" s="432">
        <f>(AR54-AS54)/AS54</f>
        <v/>
      </c>
      <c r="AV54" s="437" t="n"/>
    </row>
    <row customHeight="1" ht="15.75" r="55" s="452" spans="1:48">
      <c r="A55" s="44" t="s">
        <v>164</v>
      </c>
      <c r="B55" s="221" t="n"/>
      <c r="C55" s="221" t="n"/>
      <c r="D55" s="535" t="n"/>
      <c r="E55" s="535" t="n"/>
      <c r="F55" s="282" t="n"/>
      <c r="G55" s="282" t="n"/>
      <c r="H55" s="536">
        <f>2500</f>
        <v/>
      </c>
      <c r="I55" s="536" t="n"/>
      <c r="J55" s="282" t="n"/>
      <c r="K55" s="282" t="n"/>
      <c r="L55" s="536">
        <f>2500</f>
        <v/>
      </c>
      <c r="M55" s="535" t="n"/>
      <c r="N55" s="282" t="n"/>
      <c r="O55" s="282" t="n"/>
      <c r="P55" s="535" t="n"/>
      <c r="Q55" s="535" t="n"/>
      <c r="R55" s="282" t="n"/>
      <c r="S55" s="282" t="n"/>
      <c r="T55" s="535" t="n"/>
      <c r="U55" s="535" t="n"/>
      <c r="V55" s="282" t="n"/>
      <c r="W55" s="282" t="n"/>
      <c r="X55" s="536" t="n"/>
      <c r="Y55" s="536" t="n"/>
      <c r="Z55" s="282" t="n"/>
      <c r="AA55" s="282" t="n"/>
      <c r="AB55" s="536" t="n"/>
      <c r="AC55" s="536" t="n"/>
      <c r="AD55" s="282" t="n"/>
      <c r="AE55" s="282" t="n"/>
      <c r="AF55" s="537" t="n"/>
      <c r="AG55" s="537" t="n"/>
      <c r="AH55" s="282" t="n"/>
      <c r="AI55" s="282" t="n"/>
      <c r="AJ55" s="537" t="n"/>
      <c r="AK55" s="537" t="n"/>
      <c r="AL55" s="282" t="n"/>
      <c r="AM55" s="282" t="n"/>
      <c r="AN55" s="282" t="n"/>
      <c r="AO55" s="282" t="n"/>
      <c r="AP55" s="282" t="n"/>
      <c r="AQ55" s="282" t="n"/>
      <c r="AR55" s="535" t="n"/>
      <c r="AS55" s="535" t="n"/>
      <c r="AT55" s="282" t="n"/>
      <c r="AU55" s="282" t="n"/>
    </row>
    <row customHeight="1" ht="15.75" r="56" s="452" spans="1:48">
      <c r="A56" s="44" t="n"/>
      <c r="D56" s="535" t="n"/>
      <c r="E56" s="535" t="n"/>
      <c r="F56" s="282" t="n"/>
      <c r="G56" s="282" t="n"/>
      <c r="H56" s="536" t="n"/>
      <c r="I56" s="535" t="n"/>
      <c r="J56" s="282" t="n"/>
      <c r="K56" s="282" t="n"/>
      <c r="L56" s="536" t="n"/>
      <c r="M56" s="535" t="n"/>
      <c r="N56" s="282" t="n"/>
      <c r="O56" s="282" t="n"/>
      <c r="P56" s="535" t="n"/>
      <c r="Q56" s="535" t="n"/>
      <c r="R56" s="282" t="n"/>
      <c r="S56" s="282" t="n"/>
      <c r="T56" s="535" t="n"/>
      <c r="U56" s="535" t="n"/>
      <c r="V56" s="282" t="n"/>
      <c r="W56" s="282" t="n"/>
      <c r="X56" s="536" t="n"/>
      <c r="Y56" s="536" t="n"/>
      <c r="Z56" s="282" t="n"/>
      <c r="AA56" s="282" t="n"/>
      <c r="AB56" s="536" t="n"/>
      <c r="AC56" s="536" t="n"/>
      <c r="AD56" s="282" t="n"/>
      <c r="AE56" s="282" t="n"/>
      <c r="AF56" s="537" t="n"/>
      <c r="AG56" s="537" t="n"/>
      <c r="AH56" s="282" t="n"/>
      <c r="AI56" s="282" t="n"/>
      <c r="AJ56" s="537" t="n"/>
      <c r="AK56" s="537" t="n"/>
      <c r="AL56" s="282" t="n"/>
      <c r="AM56" s="282" t="n"/>
      <c r="AN56" s="282" t="n"/>
      <c r="AO56" s="282" t="n"/>
      <c r="AP56" s="282" t="n"/>
      <c r="AQ56" s="282" t="n"/>
      <c r="AR56" s="535" t="n"/>
      <c r="AS56" s="535" t="n"/>
      <c r="AT56" s="282" t="n"/>
      <c r="AU56" s="282" t="n"/>
    </row>
    <row customHeight="1" ht="15.75" r="57" s="452" spans="1:48">
      <c r="A57" s="44" t="n"/>
      <c r="B57" s="44" t="n"/>
      <c r="C57" s="46" t="n"/>
      <c r="D57" s="535" t="n"/>
      <c r="E57" s="535" t="n"/>
      <c r="F57" s="282" t="n"/>
      <c r="G57" s="282" t="n"/>
      <c r="H57" s="536" t="n"/>
      <c r="I57" s="535" t="n"/>
      <c r="J57" s="282" t="n"/>
      <c r="K57" s="282" t="n"/>
      <c r="L57" s="536" t="n"/>
      <c r="M57" s="535" t="n"/>
      <c r="N57" s="282" t="n"/>
      <c r="O57" s="282" t="n"/>
      <c r="P57" s="535" t="n"/>
      <c r="Q57" s="535" t="n"/>
      <c r="R57" s="282" t="n"/>
      <c r="S57" s="282" t="n"/>
      <c r="T57" s="535" t="n"/>
      <c r="U57" s="535" t="n"/>
      <c r="V57" s="282" t="n"/>
      <c r="W57" s="282" t="n"/>
      <c r="X57" s="536" t="n"/>
      <c r="Y57" s="536" t="n"/>
      <c r="Z57" s="282" t="n"/>
      <c r="AA57" s="282" t="n"/>
      <c r="AB57" s="536" t="n"/>
      <c r="AC57" s="536" t="n"/>
      <c r="AD57" s="282" t="n"/>
      <c r="AE57" s="282" t="n"/>
      <c r="AF57" s="537" t="n"/>
      <c r="AG57" s="537" t="n"/>
      <c r="AH57" s="282" t="n"/>
      <c r="AI57" s="282" t="n"/>
      <c r="AJ57" s="537" t="n"/>
      <c r="AK57" s="537" t="n"/>
      <c r="AL57" s="282" t="n"/>
      <c r="AM57" s="282" t="n"/>
      <c r="AN57" s="282" t="n"/>
      <c r="AO57" s="282" t="n"/>
      <c r="AP57" s="282" t="n"/>
      <c r="AQ57" s="282" t="n"/>
      <c r="AR57" s="535" t="n"/>
      <c r="AS57" s="535" t="n"/>
      <c r="AT57" s="282" t="n"/>
      <c r="AU57" s="282" t="n"/>
    </row>
    <row customHeight="1" ht="15.75" r="58" s="452" spans="1:48">
      <c r="A58" s="44" t="n"/>
      <c r="D58" s="535" t="n"/>
      <c r="E58" s="535" t="n"/>
      <c r="F58" s="282" t="n"/>
      <c r="G58" s="282" t="n"/>
      <c r="H58" s="536" t="n"/>
      <c r="I58" s="535" t="n"/>
      <c r="J58" s="282" t="n"/>
      <c r="K58" s="282" t="n"/>
      <c r="L58" s="536" t="n"/>
      <c r="M58" s="535" t="n"/>
      <c r="N58" s="282" t="n"/>
      <c r="O58" s="282" t="n"/>
      <c r="P58" s="535" t="n"/>
      <c r="Q58" s="535" t="n"/>
      <c r="R58" s="282" t="n"/>
      <c r="S58" s="282" t="n"/>
      <c r="T58" s="535" t="n"/>
      <c r="U58" s="535" t="n"/>
      <c r="V58" s="282" t="n"/>
      <c r="W58" s="282" t="n"/>
      <c r="X58" s="536" t="n"/>
      <c r="Y58" s="536" t="n"/>
      <c r="Z58" s="282" t="n"/>
      <c r="AA58" s="282" t="n"/>
      <c r="AB58" s="536" t="n"/>
      <c r="AC58" s="536" t="n"/>
      <c r="AD58" s="282" t="n"/>
      <c r="AE58" s="282" t="n"/>
      <c r="AF58" s="537" t="n"/>
      <c r="AG58" s="537" t="n"/>
      <c r="AH58" s="282" t="n"/>
      <c r="AI58" s="282" t="n"/>
      <c r="AJ58" s="537" t="n"/>
      <c r="AK58" s="537" t="n"/>
      <c r="AL58" s="282" t="n"/>
      <c r="AM58" s="282" t="n"/>
      <c r="AN58" s="282" t="n"/>
      <c r="AO58" s="282" t="n"/>
      <c r="AP58" s="282" t="n"/>
      <c r="AQ58" s="282" t="n"/>
      <c r="AR58" s="535" t="n"/>
      <c r="AS58" s="535" t="n"/>
      <c r="AT58" s="282" t="n"/>
      <c r="AU58" s="282" t="n"/>
    </row>
    <row customHeight="1" ht="15.75" r="59" s="452" spans="1:48">
      <c r="A59" s="44" t="n"/>
      <c r="D59" s="535" t="n"/>
      <c r="E59" s="535" t="n"/>
      <c r="F59" s="282" t="n"/>
      <c r="G59" s="282" t="n"/>
      <c r="H59" s="536" t="n"/>
      <c r="I59" s="535" t="n"/>
      <c r="J59" s="282" t="n"/>
      <c r="K59" s="282" t="n"/>
      <c r="L59" s="536" t="n"/>
      <c r="M59" s="535" t="n"/>
      <c r="N59" s="282" t="n"/>
      <c r="O59" s="282" t="n"/>
      <c r="P59" s="535" t="n"/>
      <c r="Q59" s="535" t="n"/>
      <c r="R59" s="282" t="n"/>
      <c r="S59" s="282" t="n"/>
      <c r="T59" s="535" t="n"/>
      <c r="U59" s="535" t="n"/>
      <c r="V59" s="282" t="n"/>
      <c r="W59" s="282" t="n"/>
      <c r="X59" s="536" t="n"/>
      <c r="Y59" s="536" t="n"/>
      <c r="Z59" s="282" t="n"/>
      <c r="AA59" s="282" t="n"/>
      <c r="AB59" s="536" t="n"/>
      <c r="AC59" s="536" t="n"/>
      <c r="AD59" s="282" t="n"/>
      <c r="AE59" s="282" t="n"/>
      <c r="AF59" s="537" t="n"/>
      <c r="AG59" s="537" t="n"/>
      <c r="AH59" s="282" t="n"/>
      <c r="AI59" s="282" t="n"/>
      <c r="AJ59" s="537" t="n"/>
      <c r="AK59" s="537" t="n"/>
      <c r="AL59" s="282" t="n"/>
      <c r="AM59" s="282" t="n"/>
      <c r="AN59" s="282" t="n"/>
      <c r="AO59" s="282" t="n"/>
      <c r="AP59" s="282" t="n"/>
      <c r="AQ59" s="282" t="n"/>
      <c r="AR59" s="535" t="n"/>
      <c r="AS59" s="535" t="n"/>
      <c r="AT59" s="282" t="n"/>
      <c r="AU59" s="282" t="n"/>
    </row>
    <row customHeight="1" ht="15.75" r="60" s="452" spans="1:48">
      <c r="A60" s="44" t="n"/>
      <c r="D60" s="535" t="n"/>
      <c r="E60" s="535" t="n"/>
      <c r="F60" s="282" t="n"/>
      <c r="G60" s="282" t="n"/>
      <c r="H60" s="536" t="n"/>
      <c r="I60" s="535" t="n"/>
      <c r="J60" s="282" t="n"/>
      <c r="K60" s="282" t="n"/>
      <c r="L60" s="536" t="n"/>
      <c r="M60" s="535" t="n"/>
      <c r="N60" s="282" t="n"/>
      <c r="O60" s="282" t="n"/>
      <c r="P60" s="535" t="n"/>
      <c r="Q60" s="535" t="n"/>
      <c r="R60" s="282" t="n"/>
      <c r="S60" s="282" t="n"/>
      <c r="T60" s="535" t="n"/>
      <c r="U60" s="535" t="n"/>
      <c r="V60" s="282" t="n"/>
      <c r="W60" s="282" t="n"/>
      <c r="X60" s="536" t="n"/>
      <c r="Y60" s="536" t="n"/>
      <c r="Z60" s="282" t="n"/>
      <c r="AA60" s="282" t="n"/>
      <c r="AB60" s="536" t="n"/>
      <c r="AC60" s="536" t="n"/>
      <c r="AD60" s="282" t="n"/>
      <c r="AE60" s="282" t="n"/>
      <c r="AF60" s="537" t="n"/>
      <c r="AG60" s="537" t="n"/>
      <c r="AH60" s="282" t="n"/>
      <c r="AI60" s="282" t="n"/>
      <c r="AJ60" s="537" t="n"/>
      <c r="AK60" s="537" t="n"/>
      <c r="AL60" s="282" t="n"/>
      <c r="AM60" s="282" t="n"/>
      <c r="AN60" s="282" t="n"/>
      <c r="AO60" s="282" t="n"/>
      <c r="AP60" s="282" t="n"/>
      <c r="AQ60" s="282" t="n"/>
      <c r="AR60" s="535" t="n"/>
      <c r="AS60" s="535" t="n"/>
      <c r="AT60" s="282" t="n"/>
      <c r="AU60" s="282" t="n"/>
    </row>
    <row customHeight="1" ht="15.75" r="61" s="452" spans="1:48">
      <c r="A61" s="44" t="n"/>
      <c r="D61" s="535" t="n"/>
      <c r="E61" s="535" t="n"/>
      <c r="F61" s="282" t="n"/>
      <c r="G61" s="282" t="n"/>
      <c r="H61" s="536" t="n"/>
      <c r="I61" s="535" t="n"/>
      <c r="J61" s="282" t="n"/>
      <c r="K61" s="282" t="n"/>
      <c r="L61" s="536" t="n"/>
      <c r="M61" s="535" t="n"/>
      <c r="N61" s="282" t="n"/>
      <c r="O61" s="282" t="n"/>
      <c r="P61" s="535" t="n"/>
      <c r="Q61" s="535" t="n"/>
      <c r="R61" s="282" t="n"/>
      <c r="S61" s="282" t="n"/>
      <c r="T61" s="535" t="n"/>
      <c r="U61" s="535" t="n"/>
      <c r="V61" s="282" t="n"/>
      <c r="W61" s="282" t="n"/>
      <c r="X61" s="536" t="n"/>
      <c r="Y61" s="536" t="n"/>
      <c r="Z61" s="282" t="n"/>
      <c r="AA61" s="282" t="n"/>
      <c r="AB61" s="536" t="n"/>
      <c r="AC61" s="536" t="n"/>
      <c r="AD61" s="282" t="n"/>
      <c r="AE61" s="282" t="n"/>
      <c r="AF61" s="537" t="n"/>
      <c r="AG61" s="537" t="n"/>
      <c r="AH61" s="282" t="n"/>
      <c r="AI61" s="282" t="n"/>
      <c r="AJ61" s="537" t="n"/>
      <c r="AK61" s="537" t="n"/>
      <c r="AL61" s="282" t="n"/>
      <c r="AM61" s="282" t="n"/>
      <c r="AN61" s="282" t="n"/>
      <c r="AO61" s="282" t="n"/>
      <c r="AP61" s="282" t="n"/>
      <c r="AQ61" s="282" t="n"/>
      <c r="AR61" s="535" t="n"/>
      <c r="AS61" s="535" t="n"/>
      <c r="AT61" s="282" t="n"/>
      <c r="AU61" s="282" t="n"/>
    </row>
    <row customHeight="1" ht="15.75" r="62" s="452" spans="1:48">
      <c r="A62" s="44" t="n"/>
      <c r="D62" s="535" t="n"/>
      <c r="E62" s="535" t="n"/>
      <c r="F62" s="282" t="n"/>
      <c r="G62" s="282" t="n"/>
      <c r="H62" s="536" t="n"/>
      <c r="I62" s="535" t="n"/>
      <c r="J62" s="282" t="n"/>
      <c r="K62" s="282" t="n"/>
      <c r="L62" s="536" t="n"/>
      <c r="M62" s="535" t="n"/>
      <c r="N62" s="282" t="n"/>
      <c r="O62" s="282" t="n"/>
      <c r="P62" s="535" t="n"/>
      <c r="Q62" s="535" t="n"/>
      <c r="R62" s="282" t="n"/>
      <c r="S62" s="282" t="n"/>
      <c r="T62" s="535" t="n"/>
      <c r="U62" s="535" t="n"/>
      <c r="V62" s="282" t="n"/>
      <c r="W62" s="282" t="n"/>
      <c r="X62" s="536" t="n"/>
      <c r="Y62" s="536" t="n"/>
      <c r="Z62" s="282" t="n"/>
      <c r="AA62" s="282" t="n"/>
      <c r="AB62" s="536" t="n"/>
      <c r="AC62" s="536" t="n"/>
      <c r="AD62" s="282" t="n"/>
      <c r="AE62" s="282" t="n"/>
      <c r="AF62" s="537" t="n"/>
      <c r="AG62" s="537" t="n"/>
      <c r="AH62" s="282" t="n"/>
      <c r="AI62" s="282" t="n"/>
      <c r="AJ62" s="537" t="n"/>
      <c r="AK62" s="537" t="n"/>
      <c r="AL62" s="282" t="n"/>
      <c r="AM62" s="282" t="n"/>
      <c r="AN62" s="282" t="n"/>
      <c r="AO62" s="282" t="n"/>
      <c r="AP62" s="282" t="n"/>
      <c r="AQ62" s="282" t="n"/>
      <c r="AR62" s="535" t="n"/>
      <c r="AS62" s="535" t="n"/>
      <c r="AT62" s="282" t="n"/>
      <c r="AU62" s="282" t="n"/>
    </row>
    <row customHeight="1" ht="15.75" r="63" s="452" spans="1:48">
      <c r="A63" s="44" t="n"/>
      <c r="D63" s="535" t="n"/>
      <c r="E63" s="535" t="n"/>
      <c r="F63" s="282" t="n"/>
      <c r="G63" s="282" t="n"/>
      <c r="H63" s="536" t="n"/>
      <c r="I63" s="535" t="n"/>
      <c r="J63" s="282" t="n"/>
      <c r="K63" s="282" t="n"/>
      <c r="L63" s="536" t="n"/>
      <c r="M63" s="535" t="n"/>
      <c r="N63" s="282" t="n"/>
      <c r="O63" s="282" t="n"/>
      <c r="P63" s="535" t="n"/>
      <c r="Q63" s="535" t="n"/>
      <c r="R63" s="282" t="n"/>
      <c r="S63" s="282" t="n"/>
      <c r="T63" s="535" t="n"/>
      <c r="U63" s="535" t="n"/>
      <c r="V63" s="282" t="n"/>
      <c r="W63" s="282" t="n"/>
      <c r="X63" s="536" t="n"/>
      <c r="Y63" s="536" t="n"/>
      <c r="Z63" s="282" t="n"/>
      <c r="AA63" s="282" t="n"/>
      <c r="AB63" s="536" t="n"/>
      <c r="AC63" s="536" t="n"/>
      <c r="AD63" s="282" t="n"/>
      <c r="AE63" s="282" t="n"/>
      <c r="AF63" s="537" t="n"/>
      <c r="AG63" s="537" t="n"/>
      <c r="AH63" s="282" t="n"/>
      <c r="AI63" s="282" t="n"/>
      <c r="AJ63" s="537" t="n"/>
      <c r="AK63" s="537" t="n"/>
      <c r="AL63" s="282" t="n"/>
      <c r="AM63" s="282" t="n"/>
      <c r="AN63" s="282" t="n"/>
      <c r="AO63" s="282" t="n"/>
      <c r="AP63" s="282" t="n"/>
      <c r="AQ63" s="282" t="n"/>
      <c r="AR63" s="535" t="n"/>
      <c r="AS63" s="535" t="n"/>
      <c r="AT63" s="282" t="n"/>
      <c r="AU63" s="282" t="n"/>
    </row>
    <row customHeight="1" ht="15.75" r="64" s="452" spans="1:48">
      <c r="A64" s="44" t="n"/>
      <c r="D64" s="535" t="n"/>
      <c r="E64" s="535" t="n"/>
      <c r="F64" s="282" t="n"/>
      <c r="G64" s="282" t="n"/>
      <c r="H64" s="536" t="n"/>
      <c r="I64" s="535" t="n"/>
      <c r="J64" s="282" t="n"/>
      <c r="K64" s="282" t="n"/>
      <c r="L64" s="536" t="n"/>
      <c r="M64" s="535" t="n"/>
      <c r="N64" s="282" t="n"/>
      <c r="O64" s="282" t="n"/>
      <c r="P64" s="535" t="n"/>
      <c r="Q64" s="535" t="n"/>
      <c r="R64" s="282" t="n"/>
      <c r="S64" s="282" t="n"/>
      <c r="T64" s="535" t="n"/>
      <c r="U64" s="535" t="n"/>
      <c r="V64" s="282" t="n"/>
      <c r="W64" s="282" t="n"/>
      <c r="X64" s="536" t="n"/>
      <c r="Y64" s="536" t="n"/>
      <c r="Z64" s="282" t="n"/>
      <c r="AA64" s="282" t="n"/>
      <c r="AB64" s="536" t="n"/>
      <c r="AC64" s="536" t="n"/>
      <c r="AD64" s="282" t="n"/>
      <c r="AE64" s="282" t="n"/>
      <c r="AF64" s="537" t="n"/>
      <c r="AG64" s="537" t="n"/>
      <c r="AH64" s="282" t="n"/>
      <c r="AI64" s="282" t="n"/>
      <c r="AJ64" s="537" t="n"/>
      <c r="AK64" s="537" t="n"/>
      <c r="AL64" s="282" t="n"/>
      <c r="AM64" s="282" t="n"/>
      <c r="AN64" s="282" t="n"/>
      <c r="AO64" s="282" t="n"/>
      <c r="AP64" s="282" t="n"/>
      <c r="AQ64" s="282" t="n"/>
      <c r="AR64" s="535" t="n"/>
      <c r="AS64" s="535" t="n"/>
      <c r="AT64" s="282" t="n"/>
      <c r="AU64" s="282" t="n"/>
    </row>
    <row customHeight="1" ht="15.75" r="65" s="452" spans="1:48">
      <c r="A65" s="44" t="n"/>
      <c r="D65" s="535" t="n"/>
      <c r="E65" s="535" t="n"/>
      <c r="F65" s="282" t="n"/>
      <c r="G65" s="282" t="n"/>
      <c r="H65" s="536" t="n"/>
      <c r="I65" s="535" t="n"/>
      <c r="J65" s="282" t="n"/>
      <c r="K65" s="282" t="n"/>
      <c r="L65" s="536" t="n"/>
      <c r="M65" s="535" t="n"/>
      <c r="N65" s="282" t="n"/>
      <c r="O65" s="282" t="n"/>
      <c r="P65" s="535" t="n"/>
      <c r="Q65" s="535" t="n"/>
      <c r="R65" s="282" t="n"/>
      <c r="S65" s="282" t="n"/>
      <c r="T65" s="535" t="n"/>
      <c r="U65" s="535" t="n"/>
      <c r="V65" s="282" t="n"/>
      <c r="W65" s="282" t="n"/>
      <c r="X65" s="536" t="n"/>
      <c r="Y65" s="536" t="n"/>
      <c r="Z65" s="282" t="n"/>
      <c r="AA65" s="282" t="n"/>
      <c r="AB65" s="536" t="n"/>
      <c r="AC65" s="536" t="n"/>
      <c r="AD65" s="282" t="n"/>
      <c r="AE65" s="282" t="n"/>
      <c r="AF65" s="537" t="n"/>
      <c r="AG65" s="537" t="n"/>
      <c r="AH65" s="282" t="n"/>
      <c r="AI65" s="282" t="n"/>
      <c r="AJ65" s="537" t="n"/>
      <c r="AK65" s="537" t="n"/>
      <c r="AL65" s="282" t="n"/>
      <c r="AM65" s="282" t="n"/>
      <c r="AN65" s="282" t="n"/>
      <c r="AO65" s="282" t="n"/>
      <c r="AP65" s="282" t="n"/>
      <c r="AQ65" s="282" t="n"/>
      <c r="AR65" s="535" t="n"/>
      <c r="AS65" s="535" t="n"/>
      <c r="AT65" s="282" t="n"/>
      <c r="AU65" s="282" t="n"/>
    </row>
    <row customHeight="1" ht="15.75" r="66" s="452" spans="1:48">
      <c r="A66" s="44" t="n"/>
      <c r="D66" s="535" t="n"/>
      <c r="E66" s="535" t="n"/>
      <c r="F66" s="282" t="n"/>
      <c r="G66" s="282" t="n"/>
      <c r="H66" s="536" t="n"/>
      <c r="I66" s="535" t="n"/>
      <c r="J66" s="282" t="n"/>
      <c r="K66" s="282" t="n"/>
      <c r="L66" s="536" t="n"/>
      <c r="M66" s="535" t="n"/>
      <c r="N66" s="282" t="n"/>
      <c r="O66" s="282" t="n"/>
      <c r="P66" s="535" t="n"/>
      <c r="Q66" s="535" t="n"/>
      <c r="R66" s="282" t="n"/>
      <c r="S66" s="282" t="n"/>
      <c r="T66" s="535" t="n"/>
      <c r="U66" s="535" t="n"/>
      <c r="V66" s="282" t="n"/>
      <c r="W66" s="282" t="n"/>
      <c r="X66" s="536" t="n"/>
      <c r="Y66" s="536" t="n"/>
      <c r="Z66" s="282" t="n"/>
      <c r="AA66" s="282" t="n"/>
      <c r="AB66" s="536" t="n"/>
      <c r="AC66" s="536" t="n"/>
      <c r="AD66" s="282" t="n"/>
      <c r="AE66" s="282" t="n"/>
      <c r="AF66" s="537" t="n"/>
      <c r="AG66" s="537" t="n"/>
      <c r="AH66" s="282" t="n"/>
      <c r="AI66" s="282" t="n"/>
      <c r="AJ66" s="537" t="n"/>
      <c r="AK66" s="537" t="n"/>
      <c r="AL66" s="282" t="n"/>
      <c r="AM66" s="282" t="n"/>
      <c r="AN66" s="282" t="n"/>
      <c r="AO66" s="282" t="n"/>
      <c r="AP66" s="282" t="n"/>
      <c r="AQ66" s="282" t="n"/>
      <c r="AR66" s="535" t="n"/>
      <c r="AS66" s="535" t="n"/>
      <c r="AT66" s="282" t="n"/>
      <c r="AU66" s="282" t="n"/>
    </row>
    <row customHeight="1" ht="15.75" r="67" s="452" spans="1:48">
      <c r="A67" s="44" t="n"/>
      <c r="D67" s="535" t="n"/>
      <c r="E67" s="535" t="n"/>
      <c r="F67" s="282" t="n"/>
      <c r="G67" s="282" t="n"/>
      <c r="H67" s="536" t="n"/>
      <c r="I67" s="535" t="n"/>
      <c r="J67" s="282" t="n"/>
      <c r="K67" s="282" t="n"/>
      <c r="L67" s="536" t="n"/>
      <c r="M67" s="535" t="n"/>
      <c r="N67" s="282" t="n"/>
      <c r="O67" s="282" t="n"/>
      <c r="P67" s="535" t="n"/>
      <c r="Q67" s="535" t="n"/>
      <c r="R67" s="282" t="n"/>
      <c r="S67" s="282" t="n"/>
      <c r="T67" s="535" t="n"/>
      <c r="U67" s="535" t="n"/>
      <c r="V67" s="282" t="n"/>
      <c r="W67" s="282" t="n"/>
      <c r="X67" s="536" t="n"/>
      <c r="Y67" s="536" t="n"/>
      <c r="Z67" s="282" t="n"/>
      <c r="AA67" s="282" t="n"/>
      <c r="AB67" s="536" t="n"/>
      <c r="AC67" s="536" t="n"/>
      <c r="AD67" s="282" t="n"/>
      <c r="AE67" s="282" t="n"/>
      <c r="AF67" s="537" t="n"/>
      <c r="AG67" s="537" t="n"/>
      <c r="AH67" s="282" t="n"/>
      <c r="AI67" s="282" t="n"/>
      <c r="AJ67" s="537" t="n"/>
      <c r="AK67" s="537" t="n"/>
      <c r="AL67" s="282" t="n"/>
      <c r="AM67" s="282" t="n"/>
      <c r="AN67" s="282" t="n"/>
      <c r="AO67" s="282" t="n"/>
      <c r="AP67" s="282" t="n"/>
      <c r="AQ67" s="282" t="n"/>
      <c r="AR67" s="535" t="n"/>
      <c r="AS67" s="535" t="n"/>
      <c r="AT67" s="282" t="n"/>
      <c r="AU67" s="282" t="n"/>
    </row>
    <row customHeight="1" ht="15.75" r="68" s="452" spans="1:48">
      <c r="A68" s="44" t="n"/>
      <c r="D68" s="535" t="n"/>
      <c r="E68" s="535" t="n"/>
      <c r="F68" s="282" t="n"/>
      <c r="G68" s="282" t="n"/>
      <c r="H68" s="536" t="n"/>
      <c r="I68" s="535" t="n"/>
      <c r="J68" s="282" t="n"/>
      <c r="K68" s="282" t="n"/>
      <c r="L68" s="536" t="n"/>
      <c r="M68" s="535" t="n"/>
      <c r="N68" s="282" t="n"/>
      <c r="O68" s="282" t="n"/>
      <c r="P68" s="535" t="n"/>
      <c r="Q68" s="535" t="n"/>
      <c r="R68" s="282" t="n"/>
      <c r="S68" s="282" t="n"/>
      <c r="T68" s="535" t="n"/>
      <c r="U68" s="535" t="n"/>
      <c r="V68" s="282" t="n"/>
      <c r="W68" s="282" t="n"/>
      <c r="X68" s="536" t="n"/>
      <c r="Y68" s="536" t="n"/>
      <c r="Z68" s="282" t="n"/>
      <c r="AA68" s="282" t="n"/>
      <c r="AB68" s="536" t="n"/>
      <c r="AC68" s="536" t="n"/>
      <c r="AD68" s="282" t="n"/>
      <c r="AE68" s="282" t="n"/>
      <c r="AF68" s="537" t="n"/>
      <c r="AG68" s="537" t="n"/>
      <c r="AH68" s="282" t="n"/>
      <c r="AI68" s="282" t="n"/>
      <c r="AJ68" s="537" t="n"/>
      <c r="AK68" s="537" t="n"/>
      <c r="AL68" s="282" t="n"/>
      <c r="AM68" s="282" t="n"/>
      <c r="AN68" s="282" t="n"/>
      <c r="AO68" s="282" t="n"/>
      <c r="AP68" s="282" t="n"/>
      <c r="AQ68" s="282" t="n"/>
      <c r="AR68" s="535" t="n"/>
      <c r="AS68" s="535" t="n"/>
      <c r="AT68" s="282" t="n"/>
      <c r="AU68" s="282" t="n"/>
    </row>
    <row customHeight="1" ht="15.75" r="69" s="452" spans="1:48">
      <c r="A69" s="44" t="n"/>
      <c r="D69" s="535" t="n"/>
      <c r="E69" s="535" t="n"/>
      <c r="F69" s="282" t="n"/>
      <c r="G69" s="282" t="n"/>
      <c r="H69" s="536" t="n"/>
      <c r="I69" s="535" t="n"/>
      <c r="J69" s="282" t="n"/>
      <c r="K69" s="282" t="n"/>
      <c r="L69" s="536" t="n"/>
      <c r="M69" s="535" t="n"/>
      <c r="N69" s="282" t="n"/>
      <c r="O69" s="282" t="n"/>
      <c r="P69" s="535" t="n"/>
      <c r="Q69" s="535" t="n"/>
      <c r="R69" s="282" t="n"/>
      <c r="S69" s="282" t="n"/>
      <c r="T69" s="535" t="n"/>
      <c r="U69" s="535" t="n"/>
      <c r="V69" s="282" t="n"/>
      <c r="W69" s="282" t="n"/>
      <c r="X69" s="536" t="n"/>
      <c r="Y69" s="536" t="n"/>
      <c r="Z69" s="282" t="n"/>
      <c r="AA69" s="282" t="n"/>
      <c r="AB69" s="536" t="n"/>
      <c r="AC69" s="536" t="n"/>
      <c r="AD69" s="282" t="n"/>
      <c r="AE69" s="282" t="n"/>
      <c r="AF69" s="537" t="n"/>
      <c r="AG69" s="537" t="n"/>
      <c r="AH69" s="282" t="n"/>
      <c r="AI69" s="282" t="n"/>
      <c r="AJ69" s="537" t="n"/>
      <c r="AK69" s="537" t="n"/>
      <c r="AL69" s="282" t="n"/>
      <c r="AM69" s="282" t="n"/>
      <c r="AN69" s="282" t="n"/>
      <c r="AO69" s="282" t="n"/>
      <c r="AP69" s="282" t="n"/>
      <c r="AQ69" s="282" t="n"/>
      <c r="AR69" s="535" t="n"/>
      <c r="AS69" s="535" t="n"/>
      <c r="AT69" s="282" t="n"/>
      <c r="AU69" s="282" t="n"/>
    </row>
    <row customHeight="1" ht="15.75" r="70" s="452" spans="1:48">
      <c r="A70" s="44" t="n"/>
      <c r="D70" s="535" t="n"/>
      <c r="E70" s="535" t="n"/>
      <c r="F70" s="282" t="n"/>
      <c r="G70" s="282" t="n"/>
      <c r="H70" s="536" t="n"/>
      <c r="I70" s="535" t="n"/>
      <c r="J70" s="282" t="n"/>
      <c r="K70" s="282" t="n"/>
      <c r="L70" s="536" t="n"/>
      <c r="M70" s="535" t="n"/>
      <c r="N70" s="282" t="n"/>
      <c r="O70" s="282" t="n"/>
      <c r="P70" s="535" t="n"/>
      <c r="Q70" s="535" t="n"/>
      <c r="R70" s="282" t="n"/>
      <c r="S70" s="282" t="n"/>
      <c r="T70" s="535" t="n"/>
      <c r="U70" s="535" t="n"/>
      <c r="V70" s="282" t="n"/>
      <c r="W70" s="282" t="n"/>
      <c r="X70" s="536" t="n"/>
      <c r="Y70" s="536" t="n"/>
      <c r="Z70" s="282" t="n"/>
      <c r="AA70" s="282" t="n"/>
      <c r="AB70" s="536" t="n"/>
      <c r="AC70" s="536" t="n"/>
      <c r="AD70" s="282" t="n"/>
      <c r="AE70" s="282" t="n"/>
      <c r="AF70" s="537" t="n"/>
      <c r="AG70" s="537" t="n"/>
      <c r="AH70" s="282" t="n"/>
      <c r="AI70" s="282" t="n"/>
      <c r="AJ70" s="537" t="n"/>
      <c r="AK70" s="537" t="n"/>
      <c r="AL70" s="282" t="n"/>
      <c r="AM70" s="282" t="n"/>
      <c r="AN70" s="282" t="n"/>
      <c r="AO70" s="282" t="n"/>
      <c r="AP70" s="282" t="n"/>
      <c r="AQ70" s="282" t="n"/>
      <c r="AR70" s="535" t="n"/>
      <c r="AS70" s="535" t="n"/>
      <c r="AT70" s="282" t="n"/>
      <c r="AU70" s="282" t="n"/>
    </row>
    <row customHeight="1" ht="15.75" r="71" s="452" spans="1:48">
      <c r="A71" s="44" t="n"/>
      <c r="D71" s="535" t="n"/>
      <c r="E71" s="535" t="n"/>
      <c r="F71" s="282" t="n"/>
      <c r="G71" s="282" t="n"/>
      <c r="H71" s="536" t="n"/>
      <c r="I71" s="535" t="n"/>
      <c r="J71" s="282" t="n"/>
      <c r="K71" s="282" t="n"/>
      <c r="L71" s="536" t="n"/>
      <c r="M71" s="535" t="n"/>
      <c r="N71" s="282" t="n"/>
      <c r="O71" s="282" t="n"/>
      <c r="P71" s="535" t="n"/>
      <c r="Q71" s="535" t="n"/>
      <c r="R71" s="282" t="n"/>
      <c r="S71" s="282" t="n"/>
      <c r="T71" s="535" t="n"/>
      <c r="U71" s="535" t="n"/>
      <c r="V71" s="282" t="n"/>
      <c r="W71" s="282" t="n"/>
      <c r="X71" s="536" t="n"/>
      <c r="Y71" s="536" t="n"/>
      <c r="Z71" s="282" t="n"/>
      <c r="AA71" s="282" t="n"/>
      <c r="AB71" s="536" t="n"/>
      <c r="AC71" s="536" t="n"/>
      <c r="AD71" s="282" t="n"/>
      <c r="AE71" s="282" t="n"/>
      <c r="AF71" s="537" t="n"/>
      <c r="AG71" s="537" t="n"/>
      <c r="AH71" s="282" t="n"/>
      <c r="AI71" s="282" t="n"/>
      <c r="AJ71" s="537" t="n"/>
      <c r="AK71" s="537" t="n"/>
      <c r="AL71" s="282" t="n"/>
      <c r="AM71" s="282" t="n"/>
      <c r="AN71" s="282" t="n"/>
      <c r="AO71" s="282" t="n"/>
      <c r="AP71" s="282" t="n"/>
      <c r="AQ71" s="282" t="n"/>
      <c r="AR71" s="535" t="n"/>
      <c r="AS71" s="535" t="n"/>
      <c r="AT71" s="282" t="n"/>
      <c r="AU71" s="282" t="n"/>
    </row>
    <row customHeight="1" ht="15.75" r="72" s="452" spans="1:48">
      <c r="A72" s="44" t="n"/>
      <c r="D72" s="535" t="n"/>
      <c r="E72" s="535" t="n"/>
      <c r="F72" s="282" t="n"/>
      <c r="G72" s="282" t="n"/>
      <c r="H72" s="536" t="n"/>
      <c r="I72" s="535" t="n"/>
      <c r="J72" s="282" t="n"/>
      <c r="K72" s="282" t="n"/>
      <c r="L72" s="536" t="n"/>
      <c r="M72" s="535" t="n"/>
      <c r="N72" s="282" t="n"/>
      <c r="O72" s="282" t="n"/>
      <c r="P72" s="535" t="n"/>
      <c r="Q72" s="535" t="n"/>
      <c r="R72" s="282" t="n"/>
      <c r="S72" s="282" t="n"/>
      <c r="T72" s="535" t="n"/>
      <c r="U72" s="535" t="n"/>
      <c r="V72" s="282" t="n"/>
      <c r="W72" s="282" t="n"/>
      <c r="X72" s="536" t="n"/>
      <c r="Y72" s="536" t="n"/>
      <c r="Z72" s="282" t="n"/>
      <c r="AA72" s="282" t="n"/>
      <c r="AB72" s="536" t="n"/>
      <c r="AC72" s="536" t="n"/>
      <c r="AD72" s="282" t="n"/>
      <c r="AE72" s="282" t="n"/>
      <c r="AF72" s="537" t="n"/>
      <c r="AG72" s="537" t="n"/>
      <c r="AH72" s="282" t="n"/>
      <c r="AI72" s="282" t="n"/>
      <c r="AJ72" s="537" t="n"/>
      <c r="AK72" s="537" t="n"/>
      <c r="AL72" s="282" t="n"/>
      <c r="AM72" s="282" t="n"/>
      <c r="AN72" s="282" t="n"/>
      <c r="AO72" s="282" t="n"/>
      <c r="AP72" s="282" t="n"/>
      <c r="AQ72" s="282" t="n"/>
      <c r="AR72" s="535" t="n"/>
      <c r="AS72" s="535" t="n"/>
      <c r="AT72" s="282" t="n"/>
      <c r="AU72" s="282" t="n"/>
    </row>
    <row customHeight="1" ht="15.75" r="73" s="452" spans="1:48">
      <c r="A73" s="44" t="n"/>
      <c r="D73" s="535" t="n"/>
      <c r="E73" s="535" t="n"/>
      <c r="F73" s="282" t="n"/>
      <c r="G73" s="282" t="n"/>
      <c r="H73" s="536" t="n"/>
      <c r="I73" s="535" t="n"/>
      <c r="J73" s="282" t="n"/>
      <c r="K73" s="282" t="n"/>
      <c r="L73" s="536" t="n"/>
      <c r="M73" s="535" t="n"/>
      <c r="N73" s="282" t="n"/>
      <c r="O73" s="282" t="n"/>
      <c r="P73" s="535" t="n"/>
      <c r="Q73" s="535" t="n"/>
      <c r="R73" s="282" t="n"/>
      <c r="S73" s="282" t="n"/>
      <c r="T73" s="535" t="n"/>
      <c r="U73" s="535" t="n"/>
      <c r="V73" s="282" t="n"/>
      <c r="W73" s="282" t="n"/>
      <c r="X73" s="536" t="n"/>
      <c r="Y73" s="536" t="n"/>
      <c r="Z73" s="282" t="n"/>
      <c r="AA73" s="282" t="n"/>
      <c r="AB73" s="536" t="n"/>
      <c r="AC73" s="536" t="n"/>
      <c r="AD73" s="282" t="n"/>
      <c r="AE73" s="282" t="n"/>
      <c r="AF73" s="537" t="n"/>
      <c r="AG73" s="537" t="n"/>
      <c r="AH73" s="282" t="n"/>
      <c r="AI73" s="282" t="n"/>
      <c r="AJ73" s="537" t="n"/>
      <c r="AK73" s="537" t="n"/>
      <c r="AL73" s="282" t="n"/>
      <c r="AM73" s="282" t="n"/>
      <c r="AN73" s="282" t="n"/>
      <c r="AO73" s="282" t="n"/>
      <c r="AP73" s="282" t="n"/>
      <c r="AQ73" s="282" t="n"/>
      <c r="AR73" s="535" t="n"/>
      <c r="AS73" s="535" t="n"/>
      <c r="AT73" s="282" t="n"/>
      <c r="AU73" s="282" t="n"/>
    </row>
    <row customHeight="1" ht="15.75" r="74" s="452" spans="1:48">
      <c r="A74" s="44" t="n"/>
      <c r="D74" s="535" t="n"/>
      <c r="E74" s="535" t="n"/>
      <c r="F74" s="282" t="n"/>
      <c r="G74" s="282" t="n"/>
      <c r="H74" s="536" t="n"/>
      <c r="I74" s="535" t="n"/>
      <c r="J74" s="282" t="n"/>
      <c r="K74" s="282" t="n"/>
      <c r="L74" s="536" t="n"/>
      <c r="M74" s="535" t="n"/>
      <c r="N74" s="282" t="n"/>
      <c r="O74" s="282" t="n"/>
      <c r="P74" s="535" t="n"/>
      <c r="Q74" s="535" t="n"/>
      <c r="R74" s="282" t="n"/>
      <c r="S74" s="282" t="n"/>
      <c r="T74" s="535" t="n"/>
      <c r="U74" s="535" t="n"/>
      <c r="V74" s="282" t="n"/>
      <c r="W74" s="282" t="n"/>
      <c r="X74" s="536" t="n"/>
      <c r="Y74" s="536" t="n"/>
      <c r="Z74" s="282" t="n"/>
      <c r="AA74" s="282" t="n"/>
      <c r="AB74" s="536" t="n"/>
      <c r="AC74" s="536" t="n"/>
      <c r="AD74" s="282" t="n"/>
      <c r="AE74" s="282" t="n"/>
      <c r="AF74" s="537" t="n"/>
      <c r="AG74" s="537" t="n"/>
      <c r="AH74" s="282" t="n"/>
      <c r="AI74" s="282" t="n"/>
      <c r="AJ74" s="537" t="n"/>
      <c r="AK74" s="537" t="n"/>
      <c r="AL74" s="282" t="n"/>
      <c r="AM74" s="282" t="n"/>
      <c r="AN74" s="282" t="n"/>
      <c r="AO74" s="282" t="n"/>
      <c r="AP74" s="282" t="n"/>
      <c r="AQ74" s="282" t="n"/>
      <c r="AR74" s="535" t="n"/>
      <c r="AS74" s="535" t="n"/>
      <c r="AT74" s="282" t="n"/>
      <c r="AU74" s="282" t="n"/>
    </row>
    <row customHeight="1" ht="15.75" r="75" s="452" spans="1:48">
      <c r="A75" s="44" t="n"/>
      <c r="D75" s="535" t="n"/>
      <c r="E75" s="535" t="n"/>
      <c r="F75" s="282" t="n"/>
      <c r="G75" s="282" t="n"/>
      <c r="H75" s="536" t="n"/>
      <c r="I75" s="535" t="n"/>
      <c r="J75" s="282" t="n"/>
      <c r="K75" s="282" t="n"/>
      <c r="L75" s="536" t="n"/>
      <c r="M75" s="535" t="n"/>
      <c r="N75" s="282" t="n"/>
      <c r="O75" s="282" t="n"/>
      <c r="P75" s="535" t="n"/>
      <c r="Q75" s="535" t="n"/>
      <c r="R75" s="282" t="n"/>
      <c r="S75" s="282" t="n"/>
      <c r="T75" s="535" t="n"/>
      <c r="U75" s="535" t="n"/>
      <c r="V75" s="282" t="n"/>
      <c r="W75" s="282" t="n"/>
      <c r="X75" s="536" t="n"/>
      <c r="Y75" s="536" t="n"/>
      <c r="Z75" s="282" t="n"/>
      <c r="AA75" s="282" t="n"/>
      <c r="AB75" s="536" t="n"/>
      <c r="AC75" s="536" t="n"/>
      <c r="AD75" s="282" t="n"/>
      <c r="AE75" s="282" t="n"/>
      <c r="AF75" s="537" t="n"/>
      <c r="AG75" s="537" t="n"/>
      <c r="AH75" s="282" t="n"/>
      <c r="AI75" s="282" t="n"/>
      <c r="AJ75" s="537" t="n"/>
      <c r="AK75" s="537" t="n"/>
      <c r="AL75" s="282" t="n"/>
      <c r="AM75" s="282" t="n"/>
      <c r="AN75" s="282" t="n"/>
      <c r="AO75" s="282" t="n"/>
      <c r="AP75" s="282" t="n"/>
      <c r="AQ75" s="282" t="n"/>
      <c r="AR75" s="535" t="n"/>
      <c r="AS75" s="535" t="n"/>
      <c r="AT75" s="282" t="n"/>
      <c r="AU75" s="282" t="n"/>
    </row>
    <row customHeight="1" ht="15.75" r="76" s="452" spans="1:48">
      <c r="A76" s="44" t="n"/>
      <c r="D76" s="535" t="n"/>
      <c r="E76" s="535" t="n"/>
      <c r="F76" s="282" t="n"/>
      <c r="G76" s="282" t="n"/>
      <c r="H76" s="536" t="n"/>
      <c r="I76" s="535" t="n"/>
      <c r="J76" s="282" t="n"/>
      <c r="K76" s="282" t="n"/>
      <c r="L76" s="536" t="n"/>
      <c r="M76" s="535" t="n"/>
      <c r="N76" s="282" t="n"/>
      <c r="O76" s="282" t="n"/>
      <c r="P76" s="535" t="n"/>
      <c r="Q76" s="535" t="n"/>
      <c r="R76" s="282" t="n"/>
      <c r="S76" s="282" t="n"/>
      <c r="T76" s="535" t="n"/>
      <c r="U76" s="535" t="n"/>
      <c r="V76" s="282" t="n"/>
      <c r="W76" s="282" t="n"/>
      <c r="X76" s="536" t="n"/>
      <c r="Y76" s="536" t="n"/>
      <c r="Z76" s="282" t="n"/>
      <c r="AA76" s="282" t="n"/>
      <c r="AB76" s="536" t="n"/>
      <c r="AC76" s="536" t="n"/>
      <c r="AD76" s="282" t="n"/>
      <c r="AE76" s="282" t="n"/>
      <c r="AF76" s="537" t="n"/>
      <c r="AG76" s="537" t="n"/>
      <c r="AH76" s="282" t="n"/>
      <c r="AI76" s="282" t="n"/>
      <c r="AJ76" s="537" t="n"/>
      <c r="AK76" s="537" t="n"/>
      <c r="AL76" s="282" t="n"/>
      <c r="AM76" s="282" t="n"/>
      <c r="AN76" s="282" t="n"/>
      <c r="AO76" s="282" t="n"/>
      <c r="AP76" s="282" t="n"/>
      <c r="AQ76" s="282" t="n"/>
      <c r="AR76" s="535" t="n"/>
      <c r="AS76" s="535" t="n"/>
      <c r="AT76" s="282" t="n"/>
      <c r="AU76" s="282" t="n"/>
    </row>
    <row customHeight="1" ht="15.75" r="77" s="452" spans="1:48">
      <c r="A77" s="44" t="n"/>
      <c r="D77" s="535" t="n"/>
      <c r="E77" s="535" t="n"/>
      <c r="F77" s="282" t="n"/>
      <c r="G77" s="282" t="n"/>
      <c r="H77" s="536" t="n"/>
      <c r="I77" s="535" t="n"/>
      <c r="J77" s="282" t="n"/>
      <c r="K77" s="282" t="n"/>
      <c r="L77" s="536" t="n"/>
      <c r="M77" s="535" t="n"/>
      <c r="N77" s="282" t="n"/>
      <c r="O77" s="282" t="n"/>
      <c r="P77" s="535" t="n"/>
      <c r="Q77" s="535" t="n"/>
      <c r="R77" s="282" t="n"/>
      <c r="S77" s="282" t="n"/>
      <c r="T77" s="535" t="n"/>
      <c r="U77" s="535" t="n"/>
      <c r="V77" s="282" t="n"/>
      <c r="W77" s="282" t="n"/>
      <c r="X77" s="536" t="n"/>
      <c r="Y77" s="536" t="n"/>
      <c r="Z77" s="282" t="n"/>
      <c r="AA77" s="282" t="n"/>
      <c r="AB77" s="536" t="n"/>
      <c r="AC77" s="536" t="n"/>
      <c r="AD77" s="282" t="n"/>
      <c r="AE77" s="282" t="n"/>
      <c r="AF77" s="537" t="n"/>
      <c r="AG77" s="537" t="n"/>
      <c r="AH77" s="282" t="n"/>
      <c r="AI77" s="282" t="n"/>
      <c r="AJ77" s="537" t="n"/>
      <c r="AK77" s="537" t="n"/>
      <c r="AL77" s="282" t="n"/>
      <c r="AM77" s="282" t="n"/>
      <c r="AN77" s="282" t="n"/>
      <c r="AO77" s="282" t="n"/>
      <c r="AP77" s="282" t="n"/>
      <c r="AQ77" s="282" t="n"/>
      <c r="AR77" s="535" t="n"/>
      <c r="AS77" s="535" t="n"/>
      <c r="AT77" s="282" t="n"/>
      <c r="AU77" s="282" t="n"/>
    </row>
    <row customHeight="1" ht="15.75" r="78" s="452" spans="1:48">
      <c r="A78" s="44" t="n"/>
      <c r="D78" s="535" t="n"/>
      <c r="E78" s="535" t="n"/>
      <c r="F78" s="282" t="n"/>
      <c r="G78" s="282" t="n"/>
      <c r="H78" s="536" t="n"/>
      <c r="I78" s="535" t="n"/>
      <c r="J78" s="282" t="n"/>
      <c r="K78" s="282" t="n"/>
      <c r="L78" s="536" t="n"/>
      <c r="M78" s="535" t="n"/>
      <c r="N78" s="282" t="n"/>
      <c r="O78" s="282" t="n"/>
      <c r="P78" s="535" t="n"/>
      <c r="Q78" s="535" t="n"/>
      <c r="R78" s="282" t="n"/>
      <c r="S78" s="282" t="n"/>
      <c r="T78" s="535" t="n"/>
      <c r="U78" s="535" t="n"/>
      <c r="V78" s="282" t="n"/>
      <c r="W78" s="282" t="n"/>
      <c r="X78" s="536" t="n"/>
      <c r="Y78" s="536" t="n"/>
      <c r="Z78" s="282" t="n"/>
      <c r="AA78" s="282" t="n"/>
      <c r="AB78" s="536" t="n"/>
      <c r="AC78" s="536" t="n"/>
      <c r="AD78" s="282" t="n"/>
      <c r="AE78" s="282" t="n"/>
      <c r="AF78" s="537" t="n"/>
      <c r="AG78" s="537" t="n"/>
      <c r="AH78" s="282" t="n"/>
      <c r="AI78" s="282" t="n"/>
      <c r="AJ78" s="537" t="n"/>
      <c r="AK78" s="537" t="n"/>
      <c r="AL78" s="282" t="n"/>
      <c r="AM78" s="282" t="n"/>
      <c r="AN78" s="282" t="n"/>
      <c r="AO78" s="282" t="n"/>
      <c r="AP78" s="282" t="n"/>
      <c r="AQ78" s="282" t="n"/>
      <c r="AR78" s="535" t="n"/>
      <c r="AS78" s="535" t="n"/>
      <c r="AT78" s="282" t="n"/>
      <c r="AU78" s="282" t="n"/>
    </row>
    <row customHeight="1" ht="15.75" r="79" s="452" spans="1:48">
      <c r="A79" s="44" t="n"/>
      <c r="D79" s="535" t="n"/>
      <c r="E79" s="535" t="n"/>
      <c r="F79" s="282" t="n"/>
      <c r="G79" s="282" t="n"/>
      <c r="H79" s="536" t="n"/>
      <c r="I79" s="535" t="n"/>
      <c r="J79" s="282" t="n"/>
      <c r="K79" s="282" t="n"/>
      <c r="L79" s="536" t="n"/>
      <c r="M79" s="535" t="n"/>
      <c r="N79" s="282" t="n"/>
      <c r="O79" s="282" t="n"/>
      <c r="P79" s="535" t="n"/>
      <c r="Q79" s="535" t="n"/>
      <c r="R79" s="282" t="n"/>
      <c r="S79" s="282" t="n"/>
      <c r="T79" s="535" t="n"/>
      <c r="U79" s="535" t="n"/>
      <c r="V79" s="282" t="n"/>
      <c r="W79" s="282" t="n"/>
      <c r="X79" s="536" t="n"/>
      <c r="Y79" s="536" t="n"/>
      <c r="Z79" s="282" t="n"/>
      <c r="AA79" s="282" t="n"/>
      <c r="AB79" s="536" t="n"/>
      <c r="AC79" s="536" t="n"/>
      <c r="AD79" s="282" t="n"/>
      <c r="AE79" s="282" t="n"/>
      <c r="AF79" s="537" t="n"/>
      <c r="AG79" s="537" t="n"/>
      <c r="AH79" s="282" t="n"/>
      <c r="AI79" s="282" t="n"/>
      <c r="AJ79" s="537" t="n"/>
      <c r="AK79" s="537" t="n"/>
      <c r="AL79" s="282" t="n"/>
      <c r="AM79" s="282" t="n"/>
      <c r="AN79" s="282" t="n"/>
      <c r="AO79" s="282" t="n"/>
      <c r="AP79" s="282" t="n"/>
      <c r="AQ79" s="282" t="n"/>
      <c r="AR79" s="535" t="n"/>
      <c r="AS79" s="535" t="n"/>
      <c r="AT79" s="282" t="n"/>
      <c r="AU79" s="282" t="n"/>
    </row>
    <row customHeight="1" ht="15.75" r="80" s="452" spans="1:48">
      <c r="A80" s="44" t="n"/>
      <c r="D80" s="535" t="n"/>
      <c r="E80" s="535" t="n"/>
      <c r="F80" s="282" t="n"/>
      <c r="G80" s="282" t="n"/>
      <c r="H80" s="536" t="n"/>
      <c r="I80" s="535" t="n"/>
      <c r="J80" s="282" t="n"/>
      <c r="K80" s="282" t="n"/>
      <c r="L80" s="536" t="n"/>
      <c r="M80" s="535" t="n"/>
      <c r="N80" s="282" t="n"/>
      <c r="O80" s="282" t="n"/>
      <c r="P80" s="535" t="n"/>
      <c r="Q80" s="535" t="n"/>
      <c r="R80" s="282" t="n"/>
      <c r="S80" s="282" t="n"/>
      <c r="T80" s="535" t="n"/>
      <c r="U80" s="535" t="n"/>
      <c r="V80" s="282" t="n"/>
      <c r="W80" s="282" t="n"/>
      <c r="X80" s="536" t="n"/>
      <c r="Y80" s="536" t="n"/>
      <c r="Z80" s="282" t="n"/>
      <c r="AA80" s="282" t="n"/>
      <c r="AB80" s="536" t="n"/>
      <c r="AC80" s="536" t="n"/>
      <c r="AD80" s="282" t="n"/>
      <c r="AE80" s="282" t="n"/>
      <c r="AF80" s="537" t="n"/>
      <c r="AG80" s="537" t="n"/>
      <c r="AH80" s="282" t="n"/>
      <c r="AI80" s="282" t="n"/>
      <c r="AJ80" s="537" t="n"/>
      <c r="AK80" s="537" t="n"/>
      <c r="AL80" s="282" t="n"/>
      <c r="AM80" s="282" t="n"/>
      <c r="AN80" s="282" t="n"/>
      <c r="AO80" s="282" t="n"/>
      <c r="AP80" s="282" t="n"/>
      <c r="AQ80" s="282" t="n"/>
      <c r="AR80" s="535" t="n"/>
      <c r="AS80" s="535" t="n"/>
      <c r="AT80" s="282" t="n"/>
      <c r="AU80" s="282" t="n"/>
    </row>
    <row customHeight="1" ht="15.75" r="81" s="452" spans="1:48">
      <c r="A81" s="44" t="n"/>
      <c r="D81" s="535" t="n"/>
      <c r="E81" s="535" t="n"/>
      <c r="F81" s="282" t="n"/>
      <c r="G81" s="282" t="n"/>
      <c r="H81" s="536" t="n"/>
      <c r="I81" s="535" t="n"/>
      <c r="J81" s="282" t="n"/>
      <c r="K81" s="282" t="n"/>
      <c r="L81" s="536" t="n"/>
      <c r="M81" s="535" t="n"/>
      <c r="N81" s="282" t="n"/>
      <c r="O81" s="282" t="n"/>
      <c r="P81" s="535" t="n"/>
      <c r="Q81" s="535" t="n"/>
      <c r="R81" s="282" t="n"/>
      <c r="S81" s="282" t="n"/>
      <c r="T81" s="535" t="n"/>
      <c r="U81" s="535" t="n"/>
      <c r="V81" s="282" t="n"/>
      <c r="W81" s="282" t="n"/>
      <c r="X81" s="536" t="n"/>
      <c r="Y81" s="536" t="n"/>
      <c r="Z81" s="282" t="n"/>
      <c r="AA81" s="282" t="n"/>
      <c r="AB81" s="536" t="n"/>
      <c r="AC81" s="536" t="n"/>
      <c r="AD81" s="282" t="n"/>
      <c r="AE81" s="282" t="n"/>
      <c r="AF81" s="537" t="n"/>
      <c r="AG81" s="537" t="n"/>
      <c r="AH81" s="282" t="n"/>
      <c r="AI81" s="282" t="n"/>
      <c r="AJ81" s="537" t="n"/>
      <c r="AK81" s="537" t="n"/>
      <c r="AL81" s="282" t="n"/>
      <c r="AM81" s="282" t="n"/>
      <c r="AN81" s="282" t="n"/>
      <c r="AO81" s="282" t="n"/>
      <c r="AP81" s="282" t="n"/>
      <c r="AQ81" s="282" t="n"/>
      <c r="AR81" s="535" t="n"/>
      <c r="AS81" s="535" t="n"/>
      <c r="AT81" s="282" t="n"/>
      <c r="AU81" s="282" t="n"/>
    </row>
    <row customHeight="1" ht="15.75" r="82" s="452" spans="1:48">
      <c r="A82" s="44" t="n"/>
      <c r="D82" s="535" t="n"/>
      <c r="E82" s="535" t="n"/>
      <c r="F82" s="282" t="n"/>
      <c r="G82" s="282" t="n"/>
      <c r="H82" s="536" t="n"/>
      <c r="I82" s="535" t="n"/>
      <c r="J82" s="282" t="n"/>
      <c r="K82" s="282" t="n"/>
      <c r="L82" s="536" t="n"/>
      <c r="M82" s="535" t="n"/>
      <c r="N82" s="282" t="n"/>
      <c r="O82" s="282" t="n"/>
      <c r="P82" s="535" t="n"/>
      <c r="Q82" s="535" t="n"/>
      <c r="R82" s="282" t="n"/>
      <c r="S82" s="282" t="n"/>
      <c r="T82" s="535" t="n"/>
      <c r="U82" s="535" t="n"/>
      <c r="V82" s="282" t="n"/>
      <c r="W82" s="282" t="n"/>
      <c r="X82" s="536" t="n"/>
      <c r="Y82" s="536" t="n"/>
      <c r="Z82" s="282" t="n"/>
      <c r="AA82" s="282" t="n"/>
      <c r="AB82" s="536" t="n"/>
      <c r="AC82" s="536" t="n"/>
      <c r="AD82" s="282" t="n"/>
      <c r="AE82" s="282" t="n"/>
      <c r="AF82" s="537" t="n"/>
      <c r="AG82" s="537" t="n"/>
      <c r="AH82" s="282" t="n"/>
      <c r="AI82" s="282" t="n"/>
      <c r="AJ82" s="537" t="n"/>
      <c r="AK82" s="537" t="n"/>
      <c r="AL82" s="282" t="n"/>
      <c r="AM82" s="282" t="n"/>
      <c r="AN82" s="282" t="n"/>
      <c r="AO82" s="282" t="n"/>
      <c r="AP82" s="282" t="n"/>
      <c r="AQ82" s="282" t="n"/>
      <c r="AR82" s="535" t="n"/>
      <c r="AS82" s="535" t="n"/>
      <c r="AT82" s="282" t="n"/>
      <c r="AU82" s="282" t="n"/>
    </row>
    <row customHeight="1" ht="15.75" r="83" s="452" spans="1:48">
      <c r="A83" s="44" t="n"/>
      <c r="D83" s="535" t="n"/>
      <c r="E83" s="535" t="n"/>
      <c r="F83" s="282" t="n"/>
      <c r="G83" s="282" t="n"/>
      <c r="H83" s="536" t="n"/>
      <c r="I83" s="535" t="n"/>
      <c r="J83" s="282" t="n"/>
      <c r="K83" s="282" t="n"/>
      <c r="L83" s="536" t="n"/>
      <c r="M83" s="535" t="n"/>
      <c r="N83" s="282" t="n"/>
      <c r="O83" s="282" t="n"/>
      <c r="P83" s="535" t="n"/>
      <c r="Q83" s="535" t="n"/>
      <c r="R83" s="282" t="n"/>
      <c r="S83" s="282" t="n"/>
      <c r="T83" s="535" t="n"/>
      <c r="U83" s="535" t="n"/>
      <c r="V83" s="282" t="n"/>
      <c r="W83" s="282" t="n"/>
      <c r="X83" s="536" t="n"/>
      <c r="Y83" s="536" t="n"/>
      <c r="Z83" s="282" t="n"/>
      <c r="AA83" s="282" t="n"/>
      <c r="AB83" s="536" t="n"/>
      <c r="AC83" s="536" t="n"/>
      <c r="AD83" s="282" t="n"/>
      <c r="AE83" s="282" t="n"/>
      <c r="AF83" s="537" t="n"/>
      <c r="AG83" s="537" t="n"/>
      <c r="AH83" s="282" t="n"/>
      <c r="AI83" s="282" t="n"/>
      <c r="AJ83" s="537" t="n"/>
      <c r="AK83" s="537" t="n"/>
      <c r="AL83" s="282" t="n"/>
      <c r="AM83" s="282" t="n"/>
      <c r="AN83" s="282" t="n"/>
      <c r="AO83" s="282" t="n"/>
      <c r="AP83" s="282" t="n"/>
      <c r="AQ83" s="282" t="n"/>
      <c r="AR83" s="535" t="n"/>
      <c r="AS83" s="535" t="n"/>
      <c r="AT83" s="282" t="n"/>
      <c r="AU83" s="282" t="n"/>
    </row>
    <row customHeight="1" ht="15.75" r="84" s="452" spans="1:48">
      <c r="A84" s="44" t="n"/>
      <c r="D84" s="535" t="n"/>
      <c r="E84" s="535" t="n"/>
      <c r="F84" s="282" t="n"/>
      <c r="G84" s="282" t="n"/>
      <c r="H84" s="536" t="n"/>
      <c r="I84" s="535" t="n"/>
      <c r="J84" s="282" t="n"/>
      <c r="K84" s="282" t="n"/>
      <c r="L84" s="536" t="n"/>
      <c r="M84" s="535" t="n"/>
      <c r="N84" s="282" t="n"/>
      <c r="O84" s="282" t="n"/>
      <c r="P84" s="535" t="n"/>
      <c r="Q84" s="535" t="n"/>
      <c r="R84" s="282" t="n"/>
      <c r="S84" s="282" t="n"/>
      <c r="T84" s="535" t="n"/>
      <c r="U84" s="535" t="n"/>
      <c r="V84" s="282" t="n"/>
      <c r="W84" s="282" t="n"/>
      <c r="X84" s="536" t="n"/>
      <c r="Y84" s="536" t="n"/>
      <c r="Z84" s="282" t="n"/>
      <c r="AA84" s="282" t="n"/>
      <c r="AB84" s="536" t="n"/>
      <c r="AC84" s="536" t="n"/>
      <c r="AD84" s="282" t="n"/>
      <c r="AE84" s="282" t="n"/>
      <c r="AF84" s="537" t="n"/>
      <c r="AG84" s="537" t="n"/>
      <c r="AH84" s="282" t="n"/>
      <c r="AI84" s="282" t="n"/>
      <c r="AJ84" s="537" t="n"/>
      <c r="AK84" s="537" t="n"/>
      <c r="AL84" s="282" t="n"/>
      <c r="AM84" s="282" t="n"/>
      <c r="AN84" s="282" t="n"/>
      <c r="AO84" s="282" t="n"/>
      <c r="AP84" s="282" t="n"/>
      <c r="AQ84" s="282" t="n"/>
      <c r="AR84" s="535" t="n"/>
      <c r="AS84" s="535" t="n"/>
      <c r="AT84" s="282" t="n"/>
      <c r="AU84" s="282" t="n"/>
    </row>
    <row customHeight="1" ht="15.75" r="85" s="452" spans="1:48">
      <c r="A85" s="44" t="n"/>
      <c r="D85" s="535" t="n"/>
      <c r="E85" s="535" t="n"/>
      <c r="F85" s="282" t="n"/>
      <c r="G85" s="282" t="n"/>
      <c r="H85" s="536" t="n"/>
      <c r="I85" s="535" t="n"/>
      <c r="J85" s="282" t="n"/>
      <c r="K85" s="282" t="n"/>
      <c r="L85" s="536" t="n"/>
      <c r="M85" s="535" t="n"/>
      <c r="N85" s="282" t="n"/>
      <c r="O85" s="282" t="n"/>
      <c r="P85" s="535" t="n"/>
      <c r="Q85" s="535" t="n"/>
      <c r="R85" s="282" t="n"/>
      <c r="S85" s="282" t="n"/>
      <c r="T85" s="535" t="n"/>
      <c r="U85" s="535" t="n"/>
      <c r="V85" s="282" t="n"/>
      <c r="W85" s="282" t="n"/>
      <c r="X85" s="536" t="n"/>
      <c r="Y85" s="536" t="n"/>
      <c r="Z85" s="282" t="n"/>
      <c r="AA85" s="282" t="n"/>
      <c r="AB85" s="536" t="n"/>
      <c r="AC85" s="536" t="n"/>
      <c r="AD85" s="282" t="n"/>
      <c r="AE85" s="282" t="n"/>
      <c r="AF85" s="537" t="n"/>
      <c r="AG85" s="537" t="n"/>
      <c r="AH85" s="282" t="n"/>
      <c r="AI85" s="282" t="n"/>
      <c r="AJ85" s="537" t="n"/>
      <c r="AK85" s="537" t="n"/>
      <c r="AL85" s="282" t="n"/>
      <c r="AM85" s="282" t="n"/>
      <c r="AN85" s="282" t="n"/>
      <c r="AO85" s="282" t="n"/>
      <c r="AP85" s="282" t="n"/>
      <c r="AQ85" s="282" t="n"/>
      <c r="AR85" s="535" t="n"/>
      <c r="AS85" s="535" t="n"/>
      <c r="AT85" s="282" t="n"/>
      <c r="AU85" s="282" t="n"/>
    </row>
    <row customHeight="1" ht="15.75" r="86" s="452" spans="1:48">
      <c r="A86" s="44" t="n"/>
      <c r="D86" s="535" t="n"/>
      <c r="E86" s="535" t="n"/>
      <c r="F86" s="282" t="n"/>
      <c r="G86" s="282" t="n"/>
      <c r="H86" s="536" t="n"/>
      <c r="I86" s="535" t="n"/>
      <c r="J86" s="282" t="n"/>
      <c r="K86" s="282" t="n"/>
      <c r="L86" s="536" t="n"/>
      <c r="M86" s="535" t="n"/>
      <c r="N86" s="282" t="n"/>
      <c r="O86" s="282" t="n"/>
      <c r="P86" s="535" t="n"/>
      <c r="Q86" s="535" t="n"/>
      <c r="R86" s="282" t="n"/>
      <c r="S86" s="282" t="n"/>
      <c r="T86" s="535" t="n"/>
      <c r="U86" s="535" t="n"/>
      <c r="V86" s="282" t="n"/>
      <c r="W86" s="282" t="n"/>
      <c r="X86" s="536" t="n"/>
      <c r="Y86" s="536" t="n"/>
      <c r="Z86" s="282" t="n"/>
      <c r="AA86" s="282" t="n"/>
      <c r="AB86" s="536" t="n"/>
      <c r="AC86" s="536" t="n"/>
      <c r="AD86" s="282" t="n"/>
      <c r="AE86" s="282" t="n"/>
      <c r="AF86" s="537" t="n"/>
      <c r="AG86" s="537" t="n"/>
      <c r="AH86" s="282" t="n"/>
      <c r="AI86" s="282" t="n"/>
      <c r="AJ86" s="537" t="n"/>
      <c r="AK86" s="537" t="n"/>
      <c r="AL86" s="282" t="n"/>
      <c r="AM86" s="282" t="n"/>
      <c r="AN86" s="282" t="n"/>
      <c r="AO86" s="282" t="n"/>
      <c r="AP86" s="282" t="n"/>
      <c r="AQ86" s="282" t="n"/>
      <c r="AR86" s="535" t="n"/>
      <c r="AS86" s="535" t="n"/>
      <c r="AT86" s="282" t="n"/>
      <c r="AU86" s="282" t="n"/>
    </row>
    <row customHeight="1" ht="15.75" r="87" s="452" spans="1:48">
      <c r="A87" s="44" t="n"/>
      <c r="D87" s="535" t="n"/>
      <c r="E87" s="535" t="n"/>
      <c r="F87" s="282" t="n"/>
      <c r="G87" s="282" t="n"/>
      <c r="H87" s="536" t="n"/>
      <c r="I87" s="535" t="n"/>
      <c r="J87" s="282" t="n"/>
      <c r="K87" s="282" t="n"/>
      <c r="L87" s="536" t="n"/>
      <c r="M87" s="535" t="n"/>
      <c r="N87" s="282" t="n"/>
      <c r="O87" s="282" t="n"/>
      <c r="P87" s="535" t="n"/>
      <c r="Q87" s="535" t="n"/>
      <c r="R87" s="282" t="n"/>
      <c r="S87" s="282" t="n"/>
      <c r="T87" s="535" t="n"/>
      <c r="U87" s="535" t="n"/>
      <c r="V87" s="282" t="n"/>
      <c r="W87" s="282" t="n"/>
      <c r="X87" s="536" t="n"/>
      <c r="Y87" s="536" t="n"/>
      <c r="Z87" s="282" t="n"/>
      <c r="AA87" s="282" t="n"/>
      <c r="AB87" s="536" t="n"/>
      <c r="AC87" s="536" t="n"/>
      <c r="AD87" s="282" t="n"/>
      <c r="AE87" s="282" t="n"/>
      <c r="AF87" s="537" t="n"/>
      <c r="AG87" s="537" t="n"/>
      <c r="AH87" s="282" t="n"/>
      <c r="AI87" s="282" t="n"/>
      <c r="AJ87" s="537" t="n"/>
      <c r="AK87" s="537" t="n"/>
      <c r="AL87" s="282" t="n"/>
      <c r="AM87" s="282" t="n"/>
      <c r="AN87" s="282" t="n"/>
      <c r="AO87" s="282" t="n"/>
      <c r="AP87" s="282" t="n"/>
      <c r="AQ87" s="282" t="n"/>
      <c r="AR87" s="535" t="n"/>
      <c r="AS87" s="535" t="n"/>
      <c r="AT87" s="282" t="n"/>
      <c r="AU87" s="282" t="n"/>
    </row>
    <row customHeight="1" ht="15.75" r="88" s="452" spans="1:48">
      <c r="A88" s="44" t="n"/>
      <c r="D88" s="535" t="n"/>
      <c r="E88" s="535" t="n"/>
      <c r="F88" s="282" t="n"/>
      <c r="G88" s="282" t="n"/>
      <c r="H88" s="536" t="n"/>
      <c r="I88" s="535" t="n"/>
      <c r="J88" s="282" t="n"/>
      <c r="K88" s="282" t="n"/>
      <c r="L88" s="536" t="n"/>
      <c r="M88" s="535" t="n"/>
      <c r="N88" s="282" t="n"/>
      <c r="O88" s="282" t="n"/>
      <c r="P88" s="535" t="n"/>
      <c r="Q88" s="535" t="n"/>
      <c r="R88" s="282" t="n"/>
      <c r="S88" s="282" t="n"/>
      <c r="T88" s="535" t="n"/>
      <c r="U88" s="535" t="n"/>
      <c r="V88" s="282" t="n"/>
      <c r="W88" s="282" t="n"/>
      <c r="X88" s="536" t="n"/>
      <c r="Y88" s="536" t="n"/>
      <c r="Z88" s="282" t="n"/>
      <c r="AA88" s="282" t="n"/>
      <c r="AB88" s="536" t="n"/>
      <c r="AC88" s="536" t="n"/>
      <c r="AD88" s="282" t="n"/>
      <c r="AE88" s="282" t="n"/>
      <c r="AF88" s="537" t="n"/>
      <c r="AG88" s="537" t="n"/>
      <c r="AH88" s="282" t="n"/>
      <c r="AI88" s="282" t="n"/>
      <c r="AJ88" s="537" t="n"/>
      <c r="AK88" s="537" t="n"/>
      <c r="AL88" s="282" t="n"/>
      <c r="AM88" s="282" t="n"/>
      <c r="AN88" s="282" t="n"/>
      <c r="AO88" s="282" t="n"/>
      <c r="AP88" s="282" t="n"/>
      <c r="AQ88" s="282" t="n"/>
      <c r="AR88" s="535" t="n"/>
      <c r="AS88" s="535" t="n"/>
      <c r="AT88" s="282" t="n"/>
      <c r="AU88" s="282" t="n"/>
    </row>
    <row customHeight="1" ht="15.75" r="89" s="452" spans="1:48">
      <c r="A89" s="44" t="n"/>
      <c r="D89" s="535" t="n"/>
      <c r="E89" s="535" t="n"/>
      <c r="F89" s="282" t="n"/>
      <c r="G89" s="282" t="n"/>
      <c r="H89" s="536" t="n"/>
      <c r="I89" s="535" t="n"/>
      <c r="J89" s="282" t="n"/>
      <c r="K89" s="282" t="n"/>
      <c r="L89" s="536" t="n"/>
      <c r="M89" s="535" t="n"/>
      <c r="N89" s="282" t="n"/>
      <c r="O89" s="282" t="n"/>
      <c r="P89" s="535" t="n"/>
      <c r="Q89" s="535" t="n"/>
      <c r="R89" s="282" t="n"/>
      <c r="S89" s="282" t="n"/>
      <c r="T89" s="535" t="n"/>
      <c r="U89" s="535" t="n"/>
      <c r="V89" s="282" t="n"/>
      <c r="W89" s="282" t="n"/>
      <c r="X89" s="536" t="n"/>
      <c r="Y89" s="536" t="n"/>
      <c r="Z89" s="282" t="n"/>
      <c r="AA89" s="282" t="n"/>
      <c r="AB89" s="536" t="n"/>
      <c r="AC89" s="536" t="n"/>
      <c r="AD89" s="282" t="n"/>
      <c r="AE89" s="282" t="n"/>
      <c r="AF89" s="537" t="n"/>
      <c r="AG89" s="537" t="n"/>
      <c r="AH89" s="282" t="n"/>
      <c r="AI89" s="282" t="n"/>
      <c r="AJ89" s="537" t="n"/>
      <c r="AK89" s="537" t="n"/>
      <c r="AL89" s="282" t="n"/>
      <c r="AM89" s="282" t="n"/>
      <c r="AN89" s="282" t="n"/>
      <c r="AO89" s="282" t="n"/>
      <c r="AP89" s="282" t="n"/>
      <c r="AQ89" s="282" t="n"/>
      <c r="AR89" s="535" t="n"/>
      <c r="AS89" s="535" t="n"/>
      <c r="AT89" s="282" t="n"/>
      <c r="AU89" s="282" t="n"/>
    </row>
    <row customHeight="1" ht="15.75" r="90" s="452" spans="1:48">
      <c r="A90" s="44" t="n"/>
      <c r="D90" s="535" t="n"/>
      <c r="E90" s="535" t="n"/>
      <c r="F90" s="282" t="n"/>
      <c r="G90" s="282" t="n"/>
      <c r="H90" s="536" t="n"/>
      <c r="I90" s="535" t="n"/>
      <c r="J90" s="282" t="n"/>
      <c r="K90" s="282" t="n"/>
      <c r="L90" s="536" t="n"/>
      <c r="M90" s="535" t="n"/>
      <c r="N90" s="282" t="n"/>
      <c r="O90" s="282" t="n"/>
      <c r="P90" s="535" t="n"/>
      <c r="Q90" s="535" t="n"/>
      <c r="R90" s="282" t="n"/>
      <c r="S90" s="282" t="n"/>
      <c r="T90" s="535" t="n"/>
      <c r="U90" s="535" t="n"/>
      <c r="V90" s="282" t="n"/>
      <c r="W90" s="282" t="n"/>
      <c r="X90" s="536" t="n"/>
      <c r="Y90" s="536" t="n"/>
      <c r="Z90" s="282" t="n"/>
      <c r="AA90" s="282" t="n"/>
      <c r="AB90" s="536" t="n"/>
      <c r="AC90" s="536" t="n"/>
      <c r="AD90" s="282" t="n"/>
      <c r="AE90" s="282" t="n"/>
      <c r="AF90" s="537" t="n"/>
      <c r="AG90" s="537" t="n"/>
      <c r="AH90" s="282" t="n"/>
      <c r="AI90" s="282" t="n"/>
      <c r="AJ90" s="537" t="n"/>
      <c r="AK90" s="537" t="n"/>
      <c r="AL90" s="282" t="n"/>
      <c r="AM90" s="282" t="n"/>
      <c r="AN90" s="282" t="n"/>
      <c r="AO90" s="282" t="n"/>
      <c r="AP90" s="282" t="n"/>
      <c r="AQ90" s="282" t="n"/>
      <c r="AR90" s="535" t="n"/>
      <c r="AS90" s="535" t="n"/>
      <c r="AT90" s="282" t="n"/>
      <c r="AU90" s="282" t="n"/>
    </row>
    <row customHeight="1" ht="15.75" r="91" s="452" spans="1:48">
      <c r="A91" s="44" t="n"/>
      <c r="D91" s="535" t="n"/>
      <c r="E91" s="535" t="n"/>
      <c r="F91" s="282" t="n"/>
      <c r="G91" s="282" t="n"/>
      <c r="H91" s="536" t="n"/>
      <c r="I91" s="535" t="n"/>
      <c r="J91" s="282" t="n"/>
      <c r="K91" s="282" t="n"/>
      <c r="L91" s="536" t="n"/>
      <c r="M91" s="535" t="n"/>
      <c r="N91" s="282" t="n"/>
      <c r="O91" s="282" t="n"/>
      <c r="P91" s="535" t="n"/>
      <c r="Q91" s="535" t="n"/>
      <c r="R91" s="282" t="n"/>
      <c r="S91" s="282" t="n"/>
      <c r="T91" s="535" t="n"/>
      <c r="U91" s="535" t="n"/>
      <c r="V91" s="282" t="n"/>
      <c r="W91" s="282" t="n"/>
      <c r="X91" s="536" t="n"/>
      <c r="Y91" s="536" t="n"/>
      <c r="Z91" s="282" t="n"/>
      <c r="AA91" s="282" t="n"/>
      <c r="AB91" s="536" t="n"/>
      <c r="AC91" s="536" t="n"/>
      <c r="AD91" s="282" t="n"/>
      <c r="AE91" s="282" t="n"/>
      <c r="AF91" s="537" t="n"/>
      <c r="AG91" s="537" t="n"/>
      <c r="AH91" s="282" t="n"/>
      <c r="AI91" s="282" t="n"/>
      <c r="AJ91" s="537" t="n"/>
      <c r="AK91" s="537" t="n"/>
      <c r="AL91" s="282" t="n"/>
      <c r="AM91" s="282" t="n"/>
      <c r="AN91" s="282" t="n"/>
      <c r="AO91" s="282" t="n"/>
      <c r="AP91" s="282" t="n"/>
      <c r="AQ91" s="282" t="n"/>
      <c r="AR91" s="535" t="n"/>
      <c r="AS91" s="535" t="n"/>
      <c r="AT91" s="282" t="n"/>
      <c r="AU91" s="282" t="n"/>
    </row>
    <row customHeight="1" ht="15.75" r="92" s="452" spans="1:48">
      <c r="A92" s="44" t="n"/>
      <c r="D92" s="535" t="n"/>
      <c r="E92" s="535" t="n"/>
      <c r="F92" s="282" t="n"/>
      <c r="G92" s="282" t="n"/>
      <c r="H92" s="536" t="n"/>
      <c r="I92" s="535" t="n"/>
      <c r="J92" s="282" t="n"/>
      <c r="K92" s="282" t="n"/>
      <c r="L92" s="536" t="n"/>
      <c r="M92" s="535" t="n"/>
      <c r="N92" s="282" t="n"/>
      <c r="O92" s="282" t="n"/>
      <c r="P92" s="535" t="n"/>
      <c r="Q92" s="535" t="n"/>
      <c r="R92" s="282" t="n"/>
      <c r="S92" s="282" t="n"/>
      <c r="T92" s="535" t="n"/>
      <c r="U92" s="535" t="n"/>
      <c r="V92" s="282" t="n"/>
      <c r="W92" s="282" t="n"/>
      <c r="X92" s="536" t="n"/>
      <c r="Y92" s="536" t="n"/>
      <c r="Z92" s="282" t="n"/>
      <c r="AA92" s="282" t="n"/>
      <c r="AB92" s="536" t="n"/>
      <c r="AC92" s="536" t="n"/>
      <c r="AD92" s="282" t="n"/>
      <c r="AE92" s="282" t="n"/>
      <c r="AF92" s="537" t="n"/>
      <c r="AG92" s="537" t="n"/>
      <c r="AH92" s="282" t="n"/>
      <c r="AI92" s="282" t="n"/>
      <c r="AJ92" s="537" t="n"/>
      <c r="AK92" s="537" t="n"/>
      <c r="AL92" s="282" t="n"/>
      <c r="AM92" s="282" t="n"/>
      <c r="AN92" s="282" t="n"/>
      <c r="AO92" s="282" t="n"/>
      <c r="AP92" s="282" t="n"/>
      <c r="AQ92" s="282" t="n"/>
      <c r="AR92" s="535" t="n"/>
      <c r="AS92" s="535" t="n"/>
      <c r="AT92" s="282" t="n"/>
      <c r="AU92" s="282" t="n"/>
    </row>
    <row customHeight="1" ht="15.75" r="93" s="452" spans="1:48">
      <c r="A93" s="44" t="n"/>
      <c r="D93" s="535" t="n"/>
      <c r="E93" s="535" t="n"/>
      <c r="F93" s="282" t="n"/>
      <c r="G93" s="282" t="n"/>
      <c r="H93" s="536" t="n"/>
      <c r="I93" s="535" t="n"/>
      <c r="J93" s="282" t="n"/>
      <c r="K93" s="282" t="n"/>
      <c r="L93" s="536" t="n"/>
      <c r="M93" s="535" t="n"/>
      <c r="N93" s="282" t="n"/>
      <c r="O93" s="282" t="n"/>
      <c r="P93" s="535" t="n"/>
      <c r="Q93" s="535" t="n"/>
      <c r="R93" s="282" t="n"/>
      <c r="S93" s="282" t="n"/>
      <c r="T93" s="535" t="n"/>
      <c r="U93" s="535" t="n"/>
      <c r="V93" s="282" t="n"/>
      <c r="W93" s="282" t="n"/>
      <c r="X93" s="536" t="n"/>
      <c r="Y93" s="536" t="n"/>
      <c r="Z93" s="282" t="n"/>
      <c r="AA93" s="282" t="n"/>
      <c r="AB93" s="536" t="n"/>
      <c r="AC93" s="536" t="n"/>
      <c r="AD93" s="282" t="n"/>
      <c r="AE93" s="282" t="n"/>
      <c r="AF93" s="537" t="n"/>
      <c r="AG93" s="537" t="n"/>
      <c r="AH93" s="282" t="n"/>
      <c r="AI93" s="282" t="n"/>
      <c r="AJ93" s="537" t="n"/>
      <c r="AK93" s="537" t="n"/>
      <c r="AL93" s="282" t="n"/>
      <c r="AM93" s="282" t="n"/>
      <c r="AN93" s="282" t="n"/>
      <c r="AO93" s="282" t="n"/>
      <c r="AP93" s="282" t="n"/>
      <c r="AQ93" s="282" t="n"/>
      <c r="AR93" s="535" t="n"/>
      <c r="AS93" s="535" t="n"/>
      <c r="AT93" s="282" t="n"/>
      <c r="AU93" s="282" t="n"/>
    </row>
    <row customHeight="1" ht="15.75" r="94" s="452" spans="1:48">
      <c r="A94" s="44" t="n"/>
      <c r="D94" s="535" t="n"/>
      <c r="E94" s="535" t="n"/>
      <c r="F94" s="282" t="n"/>
      <c r="G94" s="282" t="n"/>
      <c r="H94" s="536" t="n"/>
      <c r="I94" s="535" t="n"/>
      <c r="J94" s="282" t="n"/>
      <c r="K94" s="282" t="n"/>
      <c r="L94" s="536" t="n"/>
      <c r="M94" s="535" t="n"/>
      <c r="N94" s="282" t="n"/>
      <c r="O94" s="282" t="n"/>
      <c r="P94" s="535" t="n"/>
      <c r="Q94" s="535" t="n"/>
      <c r="R94" s="282" t="n"/>
      <c r="S94" s="282" t="n"/>
      <c r="T94" s="535" t="n"/>
      <c r="U94" s="535" t="n"/>
      <c r="V94" s="282" t="n"/>
      <c r="W94" s="282" t="n"/>
      <c r="X94" s="536" t="n"/>
      <c r="Y94" s="536" t="n"/>
      <c r="Z94" s="282" t="n"/>
      <c r="AA94" s="282" t="n"/>
      <c r="AB94" s="536" t="n"/>
      <c r="AC94" s="536" t="n"/>
      <c r="AD94" s="282" t="n"/>
      <c r="AE94" s="282" t="n"/>
      <c r="AF94" s="537" t="n"/>
      <c r="AG94" s="537" t="n"/>
      <c r="AH94" s="282" t="n"/>
      <c r="AI94" s="282" t="n"/>
      <c r="AJ94" s="537" t="n"/>
      <c r="AK94" s="537" t="n"/>
      <c r="AL94" s="282" t="n"/>
      <c r="AM94" s="282" t="n"/>
      <c r="AN94" s="282" t="n"/>
      <c r="AO94" s="282" t="n"/>
      <c r="AP94" s="282" t="n"/>
      <c r="AQ94" s="282" t="n"/>
      <c r="AR94" s="535" t="n"/>
      <c r="AS94" s="535" t="n"/>
      <c r="AT94" s="282" t="n"/>
      <c r="AU94" s="282" t="n"/>
    </row>
    <row customHeight="1" ht="15.75" r="95" s="452" spans="1:48">
      <c r="A95" s="44" t="n"/>
      <c r="D95" s="535" t="n"/>
      <c r="E95" s="535" t="n"/>
      <c r="F95" s="282" t="n"/>
      <c r="G95" s="282" t="n"/>
      <c r="H95" s="536" t="n"/>
      <c r="I95" s="535" t="n"/>
      <c r="J95" s="282" t="n"/>
      <c r="K95" s="282" t="n"/>
      <c r="L95" s="536" t="n"/>
      <c r="M95" s="535" t="n"/>
      <c r="N95" s="282" t="n"/>
      <c r="O95" s="282" t="n"/>
      <c r="P95" s="535" t="n"/>
      <c r="Q95" s="535" t="n"/>
      <c r="R95" s="282" t="n"/>
      <c r="S95" s="282" t="n"/>
      <c r="T95" s="535" t="n"/>
      <c r="U95" s="535" t="n"/>
      <c r="V95" s="282" t="n"/>
      <c r="W95" s="282" t="n"/>
      <c r="X95" s="536" t="n"/>
      <c r="Y95" s="536" t="n"/>
      <c r="Z95" s="282" t="n"/>
      <c r="AA95" s="282" t="n"/>
      <c r="AB95" s="536" t="n"/>
      <c r="AC95" s="536" t="n"/>
      <c r="AD95" s="282" t="n"/>
      <c r="AE95" s="282" t="n"/>
      <c r="AF95" s="537" t="n"/>
      <c r="AG95" s="537" t="n"/>
      <c r="AH95" s="282" t="n"/>
      <c r="AI95" s="282" t="n"/>
      <c r="AJ95" s="537" t="n"/>
      <c r="AK95" s="537" t="n"/>
      <c r="AL95" s="282" t="n"/>
      <c r="AM95" s="282" t="n"/>
      <c r="AN95" s="282" t="n"/>
      <c r="AO95" s="282" t="n"/>
      <c r="AP95" s="282" t="n"/>
      <c r="AQ95" s="282" t="n"/>
      <c r="AR95" s="535" t="n"/>
      <c r="AS95" s="535" t="n"/>
      <c r="AT95" s="282" t="n"/>
      <c r="AU95" s="282" t="n"/>
    </row>
    <row customHeight="1" ht="15.75" r="96" s="452" spans="1:48">
      <c r="A96" s="44" t="n"/>
      <c r="D96" s="535" t="n"/>
      <c r="E96" s="535" t="n"/>
      <c r="F96" s="282" t="n"/>
      <c r="G96" s="282" t="n"/>
      <c r="H96" s="536" t="n"/>
      <c r="I96" s="535" t="n"/>
      <c r="J96" s="282" t="n"/>
      <c r="K96" s="282" t="n"/>
      <c r="L96" s="536" t="n"/>
      <c r="M96" s="535" t="n"/>
      <c r="N96" s="282" t="n"/>
      <c r="O96" s="282" t="n"/>
      <c r="P96" s="535" t="n"/>
      <c r="Q96" s="535" t="n"/>
      <c r="R96" s="282" t="n"/>
      <c r="S96" s="282" t="n"/>
      <c r="T96" s="535" t="n"/>
      <c r="U96" s="535" t="n"/>
      <c r="V96" s="282" t="n"/>
      <c r="W96" s="282" t="n"/>
      <c r="X96" s="536" t="n"/>
      <c r="Y96" s="536" t="n"/>
      <c r="Z96" s="282" t="n"/>
      <c r="AA96" s="282" t="n"/>
      <c r="AB96" s="536" t="n"/>
      <c r="AC96" s="536" t="n"/>
      <c r="AD96" s="282" t="n"/>
      <c r="AE96" s="282" t="n"/>
      <c r="AF96" s="537" t="n"/>
      <c r="AG96" s="537" t="n"/>
      <c r="AH96" s="282" t="n"/>
      <c r="AI96" s="282" t="n"/>
      <c r="AJ96" s="537" t="n"/>
      <c r="AK96" s="537" t="n"/>
      <c r="AL96" s="282" t="n"/>
      <c r="AM96" s="282" t="n"/>
      <c r="AN96" s="282" t="n"/>
      <c r="AO96" s="282" t="n"/>
      <c r="AP96" s="282" t="n"/>
      <c r="AQ96" s="282" t="n"/>
      <c r="AR96" s="535" t="n"/>
      <c r="AS96" s="535" t="n"/>
      <c r="AT96" s="282" t="n"/>
      <c r="AU96" s="282" t="n"/>
    </row>
    <row customHeight="1" ht="15.75" r="97" s="452" spans="1:48">
      <c r="A97" s="44" t="n"/>
      <c r="D97" s="535" t="n"/>
      <c r="E97" s="535" t="n"/>
      <c r="F97" s="282" t="n"/>
      <c r="G97" s="282" t="n"/>
      <c r="H97" s="536" t="n"/>
      <c r="I97" s="535" t="n"/>
      <c r="J97" s="282" t="n"/>
      <c r="K97" s="282" t="n"/>
      <c r="L97" s="536" t="n"/>
      <c r="M97" s="535" t="n"/>
      <c r="N97" s="282" t="n"/>
      <c r="O97" s="282" t="n"/>
      <c r="P97" s="535" t="n"/>
      <c r="Q97" s="535" t="n"/>
      <c r="R97" s="282" t="n"/>
      <c r="S97" s="282" t="n"/>
      <c r="T97" s="535" t="n"/>
      <c r="U97" s="535" t="n"/>
      <c r="V97" s="282" t="n"/>
      <c r="W97" s="282" t="n"/>
      <c r="X97" s="536" t="n"/>
      <c r="Y97" s="536" t="n"/>
      <c r="Z97" s="282" t="n"/>
      <c r="AA97" s="282" t="n"/>
      <c r="AB97" s="536" t="n"/>
      <c r="AC97" s="536" t="n"/>
      <c r="AD97" s="282" t="n"/>
      <c r="AE97" s="282" t="n"/>
      <c r="AF97" s="537" t="n"/>
      <c r="AG97" s="537" t="n"/>
      <c r="AH97" s="282" t="n"/>
      <c r="AI97" s="282" t="n"/>
      <c r="AJ97" s="537" t="n"/>
      <c r="AK97" s="537" t="n"/>
      <c r="AL97" s="282" t="n"/>
      <c r="AM97" s="282" t="n"/>
      <c r="AN97" s="282" t="n"/>
      <c r="AO97" s="282" t="n"/>
      <c r="AP97" s="282" t="n"/>
      <c r="AQ97" s="282" t="n"/>
      <c r="AR97" s="535" t="n"/>
      <c r="AS97" s="535" t="n"/>
      <c r="AT97" s="282" t="n"/>
      <c r="AU97" s="282" t="n"/>
    </row>
    <row customHeight="1" ht="15.75" r="98" s="452" spans="1:48">
      <c r="A98" s="44" t="n"/>
      <c r="D98" s="535" t="n"/>
      <c r="E98" s="535" t="n"/>
      <c r="F98" s="282" t="n"/>
      <c r="G98" s="282" t="n"/>
      <c r="H98" s="536" t="n"/>
      <c r="I98" s="535" t="n"/>
      <c r="J98" s="282" t="n"/>
      <c r="K98" s="282" t="n"/>
      <c r="L98" s="536" t="n"/>
      <c r="M98" s="535" t="n"/>
      <c r="N98" s="282" t="n"/>
      <c r="O98" s="282" t="n"/>
      <c r="P98" s="535" t="n"/>
      <c r="Q98" s="535" t="n"/>
      <c r="R98" s="282" t="n"/>
      <c r="S98" s="282" t="n"/>
      <c r="T98" s="535" t="n"/>
      <c r="U98" s="535" t="n"/>
      <c r="V98" s="282" t="n"/>
      <c r="W98" s="282" t="n"/>
      <c r="X98" s="536" t="n"/>
      <c r="Y98" s="536" t="n"/>
      <c r="Z98" s="282" t="n"/>
      <c r="AA98" s="282" t="n"/>
      <c r="AB98" s="536" t="n"/>
      <c r="AC98" s="536" t="n"/>
      <c r="AD98" s="282" t="n"/>
      <c r="AE98" s="282" t="n"/>
      <c r="AF98" s="537" t="n"/>
      <c r="AG98" s="537" t="n"/>
      <c r="AH98" s="282" t="n"/>
      <c r="AI98" s="282" t="n"/>
      <c r="AJ98" s="537" t="n"/>
      <c r="AK98" s="537" t="n"/>
      <c r="AL98" s="282" t="n"/>
      <c r="AM98" s="282" t="n"/>
      <c r="AN98" s="282" t="n"/>
      <c r="AO98" s="282" t="n"/>
      <c r="AP98" s="282" t="n"/>
      <c r="AQ98" s="282" t="n"/>
      <c r="AR98" s="535" t="n"/>
      <c r="AS98" s="535" t="n"/>
      <c r="AT98" s="282" t="n"/>
      <c r="AU98" s="282" t="n"/>
    </row>
    <row customHeight="1" ht="15.75" r="99" s="452" spans="1:48">
      <c r="A99" s="44" t="n"/>
      <c r="D99" s="535" t="n"/>
      <c r="E99" s="535" t="n"/>
      <c r="F99" s="282" t="n"/>
      <c r="G99" s="282" t="n"/>
      <c r="H99" s="536" t="n"/>
      <c r="I99" s="535" t="n"/>
      <c r="J99" s="282" t="n"/>
      <c r="K99" s="282" t="n"/>
      <c r="L99" s="536" t="n"/>
      <c r="M99" s="535" t="n"/>
      <c r="N99" s="282" t="n"/>
      <c r="O99" s="282" t="n"/>
      <c r="P99" s="535" t="n"/>
      <c r="Q99" s="535" t="n"/>
      <c r="R99" s="282" t="n"/>
      <c r="S99" s="282" t="n"/>
      <c r="T99" s="535" t="n"/>
      <c r="U99" s="535" t="n"/>
      <c r="V99" s="282" t="n"/>
      <c r="W99" s="282" t="n"/>
      <c r="X99" s="536" t="n"/>
      <c r="Y99" s="536" t="n"/>
      <c r="Z99" s="282" t="n"/>
      <c r="AA99" s="282" t="n"/>
      <c r="AB99" s="536" t="n"/>
      <c r="AC99" s="536" t="n"/>
      <c r="AD99" s="282" t="n"/>
      <c r="AE99" s="282" t="n"/>
      <c r="AF99" s="537" t="n"/>
      <c r="AG99" s="537" t="n"/>
      <c r="AH99" s="282" t="n"/>
      <c r="AI99" s="282" t="n"/>
      <c r="AJ99" s="537" t="n"/>
      <c r="AK99" s="537" t="n"/>
      <c r="AL99" s="282" t="n"/>
      <c r="AM99" s="282" t="n"/>
      <c r="AN99" s="282" t="n"/>
      <c r="AO99" s="282" t="n"/>
      <c r="AP99" s="282" t="n"/>
      <c r="AQ99" s="282" t="n"/>
      <c r="AR99" s="535" t="n"/>
      <c r="AS99" s="535" t="n"/>
      <c r="AT99" s="282" t="n"/>
      <c r="AU99" s="282" t="n"/>
    </row>
    <row customHeight="1" ht="15.75" r="100" s="452" spans="1:48">
      <c r="A100" s="44" t="n"/>
      <c r="D100" s="535" t="n"/>
      <c r="E100" s="535" t="n"/>
      <c r="F100" s="282" t="n"/>
      <c r="G100" s="282" t="n"/>
      <c r="H100" s="536" t="n"/>
      <c r="I100" s="535" t="n"/>
      <c r="J100" s="282" t="n"/>
      <c r="K100" s="282" t="n"/>
      <c r="L100" s="536" t="n"/>
      <c r="M100" s="535" t="n"/>
      <c r="N100" s="282" t="n"/>
      <c r="O100" s="282" t="n"/>
      <c r="P100" s="535" t="n"/>
      <c r="Q100" s="535" t="n"/>
      <c r="R100" s="282" t="n"/>
      <c r="S100" s="282" t="n"/>
      <c r="T100" s="535" t="n"/>
      <c r="U100" s="535" t="n"/>
      <c r="V100" s="282" t="n"/>
      <c r="W100" s="282" t="n"/>
      <c r="X100" s="536" t="n"/>
      <c r="Y100" s="536" t="n"/>
      <c r="Z100" s="282" t="n"/>
      <c r="AA100" s="282" t="n"/>
      <c r="AB100" s="536" t="n"/>
      <c r="AC100" s="536" t="n"/>
      <c r="AD100" s="282" t="n"/>
      <c r="AE100" s="282" t="n"/>
      <c r="AF100" s="537" t="n"/>
      <c r="AG100" s="537" t="n"/>
      <c r="AH100" s="282" t="n"/>
      <c r="AI100" s="282" t="n"/>
      <c r="AJ100" s="537" t="n"/>
      <c r="AK100" s="537" t="n"/>
      <c r="AL100" s="282" t="n"/>
      <c r="AM100" s="282" t="n"/>
      <c r="AN100" s="282" t="n"/>
      <c r="AO100" s="282" t="n"/>
      <c r="AP100" s="282" t="n"/>
      <c r="AQ100" s="282" t="n"/>
      <c r="AR100" s="535" t="n"/>
      <c r="AS100" s="535" t="n"/>
      <c r="AT100" s="282" t="n"/>
      <c r="AU100" s="282" t="n"/>
    </row>
    <row customHeight="1" ht="15.75" r="101" s="452" spans="1:48">
      <c r="A101" s="44" t="n"/>
      <c r="D101" s="535" t="n"/>
      <c r="E101" s="535" t="n"/>
      <c r="F101" s="282" t="n"/>
      <c r="G101" s="282" t="n"/>
      <c r="H101" s="536" t="n"/>
      <c r="I101" s="535" t="n"/>
      <c r="J101" s="282" t="n"/>
      <c r="K101" s="282" t="n"/>
      <c r="L101" s="536" t="n"/>
      <c r="M101" s="535" t="n"/>
      <c r="N101" s="282" t="n"/>
      <c r="O101" s="282" t="n"/>
      <c r="P101" s="535" t="n"/>
      <c r="Q101" s="535" t="n"/>
      <c r="R101" s="282" t="n"/>
      <c r="S101" s="282" t="n"/>
      <c r="T101" s="535" t="n"/>
      <c r="U101" s="535" t="n"/>
      <c r="V101" s="282" t="n"/>
      <c r="W101" s="282" t="n"/>
      <c r="X101" s="536" t="n"/>
      <c r="Y101" s="536" t="n"/>
      <c r="Z101" s="282" t="n"/>
      <c r="AA101" s="282" t="n"/>
      <c r="AB101" s="536" t="n"/>
      <c r="AC101" s="536" t="n"/>
      <c r="AD101" s="282" t="n"/>
      <c r="AE101" s="282" t="n"/>
      <c r="AF101" s="537" t="n"/>
      <c r="AG101" s="537" t="n"/>
      <c r="AH101" s="282" t="n"/>
      <c r="AI101" s="282" t="n"/>
      <c r="AJ101" s="537" t="n"/>
      <c r="AK101" s="537" t="n"/>
      <c r="AL101" s="282" t="n"/>
      <c r="AM101" s="282" t="n"/>
      <c r="AN101" s="282" t="n"/>
      <c r="AO101" s="282" t="n"/>
      <c r="AP101" s="282" t="n"/>
      <c r="AQ101" s="282" t="n"/>
      <c r="AR101" s="535" t="n"/>
      <c r="AS101" s="535" t="n"/>
      <c r="AT101" s="282" t="n"/>
      <c r="AU101" s="282" t="n"/>
    </row>
    <row customHeight="1" ht="15.75" r="102" s="452" spans="1:48">
      <c r="A102" s="44" t="n"/>
      <c r="D102" s="535" t="n"/>
      <c r="E102" s="535" t="n"/>
      <c r="F102" s="282" t="n"/>
      <c r="G102" s="282" t="n"/>
      <c r="H102" s="536" t="n"/>
      <c r="I102" s="535" t="n"/>
      <c r="J102" s="282" t="n"/>
      <c r="K102" s="282" t="n"/>
      <c r="L102" s="536" t="n"/>
      <c r="M102" s="535" t="n"/>
      <c r="N102" s="282" t="n"/>
      <c r="O102" s="282" t="n"/>
      <c r="P102" s="535" t="n"/>
      <c r="Q102" s="535" t="n"/>
      <c r="R102" s="282" t="n"/>
      <c r="S102" s="282" t="n"/>
      <c r="T102" s="535" t="n"/>
      <c r="U102" s="535" t="n"/>
      <c r="V102" s="282" t="n"/>
      <c r="W102" s="282" t="n"/>
      <c r="X102" s="536" t="n"/>
      <c r="Y102" s="536" t="n"/>
      <c r="Z102" s="282" t="n"/>
      <c r="AA102" s="282" t="n"/>
      <c r="AB102" s="536" t="n"/>
      <c r="AC102" s="536" t="n"/>
      <c r="AD102" s="282" t="n"/>
      <c r="AE102" s="282" t="n"/>
      <c r="AF102" s="537" t="n"/>
      <c r="AG102" s="537" t="n"/>
      <c r="AH102" s="282" t="n"/>
      <c r="AI102" s="282" t="n"/>
      <c r="AJ102" s="537" t="n"/>
      <c r="AK102" s="537" t="n"/>
      <c r="AL102" s="282" t="n"/>
      <c r="AM102" s="282" t="n"/>
      <c r="AN102" s="282" t="n"/>
      <c r="AO102" s="282" t="n"/>
      <c r="AP102" s="282" t="n"/>
      <c r="AQ102" s="282" t="n"/>
      <c r="AR102" s="535" t="n"/>
      <c r="AS102" s="535" t="n"/>
      <c r="AT102" s="282" t="n"/>
      <c r="AU102" s="282" t="n"/>
    </row>
    <row customHeight="1" ht="15.75" r="103" s="452" spans="1:48">
      <c r="A103" s="44" t="n"/>
      <c r="D103" s="535" t="n"/>
      <c r="E103" s="535" t="n"/>
      <c r="F103" s="282" t="n"/>
      <c r="G103" s="282" t="n"/>
      <c r="H103" s="536" t="n"/>
      <c r="I103" s="535" t="n"/>
      <c r="J103" s="282" t="n"/>
      <c r="K103" s="282" t="n"/>
      <c r="L103" s="536" t="n"/>
      <c r="M103" s="535" t="n"/>
      <c r="N103" s="282" t="n"/>
      <c r="O103" s="282" t="n"/>
      <c r="P103" s="535" t="n"/>
      <c r="Q103" s="535" t="n"/>
      <c r="R103" s="282" t="n"/>
      <c r="S103" s="282" t="n"/>
      <c r="T103" s="535" t="n"/>
      <c r="U103" s="535" t="n"/>
      <c r="V103" s="282" t="n"/>
      <c r="W103" s="282" t="n"/>
      <c r="X103" s="536" t="n"/>
      <c r="Y103" s="536" t="n"/>
      <c r="Z103" s="282" t="n"/>
      <c r="AA103" s="282" t="n"/>
      <c r="AB103" s="536" t="n"/>
      <c r="AC103" s="536" t="n"/>
      <c r="AD103" s="282" t="n"/>
      <c r="AE103" s="282" t="n"/>
      <c r="AF103" s="537" t="n"/>
      <c r="AG103" s="537" t="n"/>
      <c r="AH103" s="282" t="n"/>
      <c r="AI103" s="282" t="n"/>
      <c r="AJ103" s="537" t="n"/>
      <c r="AK103" s="537" t="n"/>
      <c r="AL103" s="282" t="n"/>
      <c r="AM103" s="282" t="n"/>
      <c r="AN103" s="282" t="n"/>
      <c r="AO103" s="282" t="n"/>
      <c r="AP103" s="282" t="n"/>
      <c r="AQ103" s="282" t="n"/>
      <c r="AR103" s="535" t="n"/>
      <c r="AS103" s="535" t="n"/>
      <c r="AT103" s="282" t="n"/>
      <c r="AU103" s="282" t="n"/>
    </row>
    <row customHeight="1" ht="15.75" r="104" s="452" spans="1:48">
      <c r="A104" s="44" t="n"/>
      <c r="D104" s="535" t="n"/>
      <c r="E104" s="535" t="n"/>
      <c r="F104" s="282" t="n"/>
      <c r="G104" s="282" t="n"/>
      <c r="H104" s="536" t="n"/>
      <c r="I104" s="535" t="n"/>
      <c r="J104" s="282" t="n"/>
      <c r="K104" s="282" t="n"/>
      <c r="L104" s="536" t="n"/>
      <c r="M104" s="535" t="n"/>
      <c r="N104" s="282" t="n"/>
      <c r="O104" s="282" t="n"/>
      <c r="P104" s="535" t="n"/>
      <c r="Q104" s="535" t="n"/>
      <c r="R104" s="282" t="n"/>
      <c r="S104" s="282" t="n"/>
      <c r="T104" s="535" t="n"/>
      <c r="U104" s="535" t="n"/>
      <c r="V104" s="282" t="n"/>
      <c r="W104" s="282" t="n"/>
      <c r="X104" s="536" t="n"/>
      <c r="Y104" s="536" t="n"/>
      <c r="Z104" s="282" t="n"/>
      <c r="AA104" s="282" t="n"/>
      <c r="AB104" s="536" t="n"/>
      <c r="AC104" s="536" t="n"/>
      <c r="AD104" s="282" t="n"/>
      <c r="AE104" s="282" t="n"/>
      <c r="AF104" s="537" t="n"/>
      <c r="AG104" s="537" t="n"/>
      <c r="AH104" s="282" t="n"/>
      <c r="AI104" s="282" t="n"/>
      <c r="AJ104" s="537" t="n"/>
      <c r="AK104" s="537" t="n"/>
      <c r="AL104" s="282" t="n"/>
      <c r="AM104" s="282" t="n"/>
      <c r="AN104" s="282" t="n"/>
      <c r="AO104" s="282" t="n"/>
      <c r="AP104" s="282" t="n"/>
      <c r="AQ104" s="282" t="n"/>
      <c r="AR104" s="535" t="n"/>
      <c r="AS104" s="535" t="n"/>
      <c r="AT104" s="282" t="n"/>
      <c r="AU104" s="282" t="n"/>
    </row>
    <row customHeight="1" ht="15.75" r="105" s="452" spans="1:48">
      <c r="A105" s="44" t="n"/>
      <c r="D105" s="535" t="n"/>
      <c r="E105" s="535" t="n"/>
      <c r="F105" s="282" t="n"/>
      <c r="G105" s="282" t="n"/>
      <c r="H105" s="536" t="n"/>
      <c r="I105" s="535" t="n"/>
      <c r="J105" s="282" t="n"/>
      <c r="K105" s="282" t="n"/>
      <c r="L105" s="536" t="n"/>
      <c r="M105" s="535" t="n"/>
      <c r="N105" s="282" t="n"/>
      <c r="O105" s="282" t="n"/>
      <c r="P105" s="535" t="n"/>
      <c r="Q105" s="535" t="n"/>
      <c r="R105" s="282" t="n"/>
      <c r="S105" s="282" t="n"/>
      <c r="T105" s="535" t="n"/>
      <c r="U105" s="535" t="n"/>
      <c r="V105" s="282" t="n"/>
      <c r="W105" s="282" t="n"/>
      <c r="X105" s="536" t="n"/>
      <c r="Y105" s="536" t="n"/>
      <c r="Z105" s="282" t="n"/>
      <c r="AA105" s="282" t="n"/>
      <c r="AB105" s="536" t="n"/>
      <c r="AC105" s="536" t="n"/>
      <c r="AD105" s="282" t="n"/>
      <c r="AE105" s="282" t="n"/>
      <c r="AF105" s="537" t="n"/>
      <c r="AG105" s="537" t="n"/>
      <c r="AH105" s="282" t="n"/>
      <c r="AI105" s="282" t="n"/>
      <c r="AJ105" s="537" t="n"/>
      <c r="AK105" s="537" t="n"/>
      <c r="AL105" s="282" t="n"/>
      <c r="AM105" s="282" t="n"/>
      <c r="AN105" s="282" t="n"/>
      <c r="AO105" s="282" t="n"/>
      <c r="AP105" s="282" t="n"/>
      <c r="AQ105" s="282" t="n"/>
      <c r="AR105" s="535" t="n"/>
      <c r="AS105" s="535" t="n"/>
      <c r="AT105" s="282" t="n"/>
      <c r="AU105" s="282" t="n"/>
    </row>
    <row customHeight="1" ht="15.75" r="106" s="452" spans="1:48">
      <c r="A106" s="44" t="n"/>
      <c r="D106" s="535" t="n"/>
      <c r="E106" s="535" t="n"/>
      <c r="F106" s="282" t="n"/>
      <c r="G106" s="282" t="n"/>
      <c r="H106" s="536" t="n"/>
      <c r="I106" s="535" t="n"/>
      <c r="J106" s="282" t="n"/>
      <c r="K106" s="282" t="n"/>
      <c r="L106" s="536" t="n"/>
      <c r="M106" s="535" t="n"/>
      <c r="N106" s="282" t="n"/>
      <c r="O106" s="282" t="n"/>
      <c r="P106" s="535" t="n"/>
      <c r="Q106" s="535" t="n"/>
      <c r="R106" s="282" t="n"/>
      <c r="S106" s="282" t="n"/>
      <c r="T106" s="535" t="n"/>
      <c r="U106" s="535" t="n"/>
      <c r="V106" s="282" t="n"/>
      <c r="W106" s="282" t="n"/>
      <c r="X106" s="536" t="n"/>
      <c r="Y106" s="536" t="n"/>
      <c r="Z106" s="282" t="n"/>
      <c r="AA106" s="282" t="n"/>
      <c r="AB106" s="536" t="n"/>
      <c r="AC106" s="536" t="n"/>
      <c r="AD106" s="282" t="n"/>
      <c r="AE106" s="282" t="n"/>
      <c r="AF106" s="537" t="n"/>
      <c r="AG106" s="537" t="n"/>
      <c r="AH106" s="282" t="n"/>
      <c r="AI106" s="282" t="n"/>
      <c r="AJ106" s="537" t="n"/>
      <c r="AK106" s="537" t="n"/>
      <c r="AL106" s="282" t="n"/>
      <c r="AM106" s="282" t="n"/>
      <c r="AN106" s="282" t="n"/>
      <c r="AO106" s="282" t="n"/>
      <c r="AP106" s="282" t="n"/>
      <c r="AQ106" s="282" t="n"/>
      <c r="AR106" s="535" t="n"/>
      <c r="AS106" s="535" t="n"/>
      <c r="AT106" s="282" t="n"/>
      <c r="AU106" s="282" t="n"/>
    </row>
    <row customHeight="1" ht="15.75" r="107" s="452" spans="1:48">
      <c r="A107" s="44" t="n"/>
      <c r="D107" s="535" t="n"/>
      <c r="E107" s="535" t="n"/>
      <c r="F107" s="282" t="n"/>
      <c r="G107" s="282" t="n"/>
      <c r="H107" s="536" t="n"/>
      <c r="I107" s="535" t="n"/>
      <c r="J107" s="282" t="n"/>
      <c r="K107" s="282" t="n"/>
      <c r="L107" s="536" t="n"/>
      <c r="M107" s="535" t="n"/>
      <c r="N107" s="282" t="n"/>
      <c r="O107" s="282" t="n"/>
      <c r="P107" s="535" t="n"/>
      <c r="Q107" s="535" t="n"/>
      <c r="R107" s="282" t="n"/>
      <c r="S107" s="282" t="n"/>
      <c r="T107" s="535" t="n"/>
      <c r="U107" s="535" t="n"/>
      <c r="V107" s="282" t="n"/>
      <c r="W107" s="282" t="n"/>
      <c r="X107" s="536" t="n"/>
      <c r="Y107" s="536" t="n"/>
      <c r="Z107" s="282" t="n"/>
      <c r="AA107" s="282" t="n"/>
      <c r="AB107" s="536" t="n"/>
      <c r="AC107" s="536" t="n"/>
      <c r="AD107" s="282" t="n"/>
      <c r="AE107" s="282" t="n"/>
      <c r="AF107" s="537" t="n"/>
      <c r="AG107" s="537" t="n"/>
      <c r="AH107" s="282" t="n"/>
      <c r="AI107" s="282" t="n"/>
      <c r="AJ107" s="537" t="n"/>
      <c r="AK107" s="537" t="n"/>
      <c r="AL107" s="282" t="n"/>
      <c r="AM107" s="282" t="n"/>
      <c r="AN107" s="282" t="n"/>
      <c r="AO107" s="282" t="n"/>
      <c r="AP107" s="282" t="n"/>
      <c r="AQ107" s="282" t="n"/>
      <c r="AR107" s="535" t="n"/>
      <c r="AS107" s="535" t="n"/>
      <c r="AT107" s="282" t="n"/>
      <c r="AU107" s="282" t="n"/>
    </row>
    <row customHeight="1" ht="15.75" r="108" s="452" spans="1:48">
      <c r="A108" s="44" t="n"/>
      <c r="D108" s="535" t="n"/>
      <c r="E108" s="535" t="n"/>
      <c r="F108" s="282" t="n"/>
      <c r="G108" s="282" t="n"/>
      <c r="H108" s="536" t="n"/>
      <c r="I108" s="535" t="n"/>
      <c r="J108" s="282" t="n"/>
      <c r="K108" s="282" t="n"/>
      <c r="L108" s="536" t="n"/>
      <c r="M108" s="535" t="n"/>
      <c r="N108" s="282" t="n"/>
      <c r="O108" s="282" t="n"/>
      <c r="P108" s="535" t="n"/>
      <c r="Q108" s="535" t="n"/>
      <c r="R108" s="282" t="n"/>
      <c r="S108" s="282" t="n"/>
      <c r="T108" s="535" t="n"/>
      <c r="U108" s="535" t="n"/>
      <c r="V108" s="282" t="n"/>
      <c r="W108" s="282" t="n"/>
      <c r="X108" s="536" t="n"/>
      <c r="Y108" s="536" t="n"/>
      <c r="Z108" s="282" t="n"/>
      <c r="AA108" s="282" t="n"/>
      <c r="AB108" s="536" t="n"/>
      <c r="AC108" s="536" t="n"/>
      <c r="AD108" s="282" t="n"/>
      <c r="AE108" s="282" t="n"/>
      <c r="AF108" s="537" t="n"/>
      <c r="AG108" s="537" t="n"/>
      <c r="AH108" s="282" t="n"/>
      <c r="AI108" s="282" t="n"/>
      <c r="AJ108" s="537" t="n"/>
      <c r="AK108" s="537" t="n"/>
      <c r="AL108" s="282" t="n"/>
      <c r="AM108" s="282" t="n"/>
      <c r="AN108" s="282" t="n"/>
      <c r="AO108" s="282" t="n"/>
      <c r="AP108" s="282" t="n"/>
      <c r="AQ108" s="282" t="n"/>
      <c r="AR108" s="535" t="n"/>
      <c r="AS108" s="535" t="n"/>
      <c r="AT108" s="282" t="n"/>
      <c r="AU108" s="282" t="n"/>
    </row>
    <row customHeight="1" ht="15.75" r="109" s="452" spans="1:48">
      <c r="A109" s="44" t="n"/>
      <c r="D109" s="535" t="n"/>
      <c r="E109" s="535" t="n"/>
      <c r="F109" s="282" t="n"/>
      <c r="G109" s="282" t="n"/>
      <c r="H109" s="536" t="n"/>
      <c r="I109" s="535" t="n"/>
      <c r="J109" s="282" t="n"/>
      <c r="K109" s="282" t="n"/>
      <c r="L109" s="536" t="n"/>
      <c r="M109" s="535" t="n"/>
      <c r="N109" s="282" t="n"/>
      <c r="O109" s="282" t="n"/>
      <c r="P109" s="535" t="n"/>
      <c r="Q109" s="535" t="n"/>
      <c r="R109" s="282" t="n"/>
      <c r="S109" s="282" t="n"/>
      <c r="T109" s="535" t="n"/>
      <c r="U109" s="535" t="n"/>
      <c r="V109" s="282" t="n"/>
      <c r="W109" s="282" t="n"/>
      <c r="X109" s="536" t="n"/>
      <c r="Y109" s="536" t="n"/>
      <c r="Z109" s="282" t="n"/>
      <c r="AA109" s="282" t="n"/>
      <c r="AB109" s="536" t="n"/>
      <c r="AC109" s="536" t="n"/>
      <c r="AD109" s="282" t="n"/>
      <c r="AE109" s="282" t="n"/>
      <c r="AF109" s="537" t="n"/>
      <c r="AG109" s="537" t="n"/>
      <c r="AH109" s="282" t="n"/>
      <c r="AI109" s="282" t="n"/>
      <c r="AJ109" s="537" t="n"/>
      <c r="AK109" s="537" t="n"/>
      <c r="AL109" s="282" t="n"/>
      <c r="AM109" s="282" t="n"/>
      <c r="AN109" s="282" t="n"/>
      <c r="AO109" s="282" t="n"/>
      <c r="AP109" s="282" t="n"/>
      <c r="AQ109" s="282" t="n"/>
      <c r="AR109" s="535" t="n"/>
      <c r="AS109" s="535" t="n"/>
      <c r="AT109" s="282" t="n"/>
      <c r="AU109" s="282" t="n"/>
    </row>
    <row customHeight="1" ht="15.75" r="110" s="452" spans="1:48">
      <c r="A110" s="44" t="n"/>
      <c r="D110" s="535" t="n"/>
      <c r="E110" s="535" t="n"/>
      <c r="F110" s="282" t="n"/>
      <c r="G110" s="282" t="n"/>
      <c r="H110" s="536" t="n"/>
      <c r="I110" s="535" t="n"/>
      <c r="J110" s="282" t="n"/>
      <c r="K110" s="282" t="n"/>
      <c r="L110" s="536" t="n"/>
      <c r="M110" s="535" t="n"/>
      <c r="N110" s="282" t="n"/>
      <c r="O110" s="282" t="n"/>
      <c r="P110" s="535" t="n"/>
      <c r="Q110" s="535" t="n"/>
      <c r="R110" s="282" t="n"/>
      <c r="S110" s="282" t="n"/>
      <c r="T110" s="535" t="n"/>
      <c r="U110" s="535" t="n"/>
      <c r="V110" s="282" t="n"/>
      <c r="W110" s="282" t="n"/>
      <c r="X110" s="536" t="n"/>
      <c r="Y110" s="536" t="n"/>
      <c r="Z110" s="282" t="n"/>
      <c r="AA110" s="282" t="n"/>
      <c r="AB110" s="536" t="n"/>
      <c r="AC110" s="536" t="n"/>
      <c r="AD110" s="282" t="n"/>
      <c r="AE110" s="282" t="n"/>
      <c r="AF110" s="537" t="n"/>
      <c r="AG110" s="537" t="n"/>
      <c r="AH110" s="282" t="n"/>
      <c r="AI110" s="282" t="n"/>
      <c r="AJ110" s="537" t="n"/>
      <c r="AK110" s="537" t="n"/>
      <c r="AL110" s="282" t="n"/>
      <c r="AM110" s="282" t="n"/>
      <c r="AN110" s="282" t="n"/>
      <c r="AO110" s="282" t="n"/>
      <c r="AP110" s="282" t="n"/>
      <c r="AQ110" s="282" t="n"/>
      <c r="AR110" s="535" t="n"/>
      <c r="AS110" s="535" t="n"/>
      <c r="AT110" s="282" t="n"/>
      <c r="AU110" s="282" t="n"/>
    </row>
    <row customHeight="1" ht="15.75" r="111" s="452" spans="1:48">
      <c r="A111" s="44" t="n"/>
      <c r="D111" s="535" t="n"/>
      <c r="E111" s="535" t="n"/>
      <c r="F111" s="282" t="n"/>
      <c r="G111" s="282" t="n"/>
      <c r="H111" s="536" t="n"/>
      <c r="I111" s="535" t="n"/>
      <c r="J111" s="282" t="n"/>
      <c r="K111" s="282" t="n"/>
      <c r="L111" s="536" t="n"/>
      <c r="M111" s="535" t="n"/>
      <c r="N111" s="282" t="n"/>
      <c r="O111" s="282" t="n"/>
      <c r="P111" s="535" t="n"/>
      <c r="Q111" s="535" t="n"/>
      <c r="R111" s="282" t="n"/>
      <c r="S111" s="282" t="n"/>
      <c r="T111" s="535" t="n"/>
      <c r="U111" s="535" t="n"/>
      <c r="V111" s="282" t="n"/>
      <c r="W111" s="282" t="n"/>
      <c r="X111" s="536" t="n"/>
      <c r="Y111" s="536" t="n"/>
      <c r="Z111" s="282" t="n"/>
      <c r="AA111" s="282" t="n"/>
      <c r="AB111" s="536" t="n"/>
      <c r="AC111" s="536" t="n"/>
      <c r="AD111" s="282" t="n"/>
      <c r="AE111" s="282" t="n"/>
      <c r="AF111" s="537" t="n"/>
      <c r="AG111" s="537" t="n"/>
      <c r="AH111" s="282" t="n"/>
      <c r="AI111" s="282" t="n"/>
      <c r="AJ111" s="537" t="n"/>
      <c r="AK111" s="537" t="n"/>
      <c r="AL111" s="282" t="n"/>
      <c r="AM111" s="282" t="n"/>
      <c r="AN111" s="282" t="n"/>
      <c r="AO111" s="282" t="n"/>
      <c r="AP111" s="282" t="n"/>
      <c r="AQ111" s="282" t="n"/>
      <c r="AR111" s="535" t="n"/>
      <c r="AS111" s="535" t="n"/>
      <c r="AT111" s="282" t="n"/>
      <c r="AU111" s="282" t="n"/>
    </row>
    <row customHeight="1" ht="15.75" r="112" s="452" spans="1:48">
      <c r="A112" s="44" t="n"/>
      <c r="D112" s="535" t="n"/>
      <c r="E112" s="535" t="n"/>
      <c r="F112" s="282" t="n"/>
      <c r="G112" s="282" t="n"/>
      <c r="H112" s="536" t="n"/>
      <c r="I112" s="535" t="n"/>
      <c r="J112" s="282" t="n"/>
      <c r="K112" s="282" t="n"/>
      <c r="L112" s="536" t="n"/>
      <c r="M112" s="535" t="n"/>
      <c r="N112" s="282" t="n"/>
      <c r="O112" s="282" t="n"/>
      <c r="P112" s="535" t="n"/>
      <c r="Q112" s="535" t="n"/>
      <c r="R112" s="282" t="n"/>
      <c r="S112" s="282" t="n"/>
      <c r="T112" s="535" t="n"/>
      <c r="U112" s="535" t="n"/>
      <c r="V112" s="282" t="n"/>
      <c r="W112" s="282" t="n"/>
      <c r="X112" s="536" t="n"/>
      <c r="Y112" s="536" t="n"/>
      <c r="Z112" s="282" t="n"/>
      <c r="AA112" s="282" t="n"/>
      <c r="AB112" s="536" t="n"/>
      <c r="AC112" s="536" t="n"/>
      <c r="AD112" s="282" t="n"/>
      <c r="AE112" s="282" t="n"/>
      <c r="AF112" s="537" t="n"/>
      <c r="AG112" s="537" t="n"/>
      <c r="AH112" s="282" t="n"/>
      <c r="AI112" s="282" t="n"/>
      <c r="AJ112" s="537" t="n"/>
      <c r="AK112" s="537" t="n"/>
      <c r="AL112" s="282" t="n"/>
      <c r="AM112" s="282" t="n"/>
      <c r="AN112" s="282" t="n"/>
      <c r="AO112" s="282" t="n"/>
      <c r="AP112" s="282" t="n"/>
      <c r="AQ112" s="282" t="n"/>
      <c r="AR112" s="535" t="n"/>
      <c r="AS112" s="535" t="n"/>
      <c r="AT112" s="282" t="n"/>
      <c r="AU112" s="282" t="n"/>
    </row>
    <row customHeight="1" ht="15.75" r="113" s="452" spans="1:48">
      <c r="A113" s="44" t="n"/>
      <c r="D113" s="535" t="n"/>
      <c r="E113" s="535" t="n"/>
      <c r="F113" s="282" t="n"/>
      <c r="G113" s="282" t="n"/>
      <c r="H113" s="536" t="n"/>
      <c r="I113" s="535" t="n"/>
      <c r="J113" s="282" t="n"/>
      <c r="K113" s="282" t="n"/>
      <c r="L113" s="536" t="n"/>
      <c r="M113" s="535" t="n"/>
      <c r="N113" s="282" t="n"/>
      <c r="O113" s="282" t="n"/>
      <c r="P113" s="535" t="n"/>
      <c r="Q113" s="535" t="n"/>
      <c r="R113" s="282" t="n"/>
      <c r="S113" s="282" t="n"/>
      <c r="T113" s="535" t="n"/>
      <c r="U113" s="535" t="n"/>
      <c r="V113" s="282" t="n"/>
      <c r="W113" s="282" t="n"/>
      <c r="X113" s="536" t="n"/>
      <c r="Y113" s="536" t="n"/>
      <c r="Z113" s="282" t="n"/>
      <c r="AA113" s="282" t="n"/>
      <c r="AB113" s="536" t="n"/>
      <c r="AC113" s="536" t="n"/>
      <c r="AD113" s="282" t="n"/>
      <c r="AE113" s="282" t="n"/>
      <c r="AF113" s="537" t="n"/>
      <c r="AG113" s="537" t="n"/>
      <c r="AH113" s="282" t="n"/>
      <c r="AI113" s="282" t="n"/>
      <c r="AJ113" s="537" t="n"/>
      <c r="AK113" s="537" t="n"/>
      <c r="AL113" s="282" t="n"/>
      <c r="AM113" s="282" t="n"/>
      <c r="AN113" s="282" t="n"/>
      <c r="AO113" s="282" t="n"/>
      <c r="AP113" s="282" t="n"/>
      <c r="AQ113" s="282" t="n"/>
      <c r="AR113" s="535" t="n"/>
      <c r="AS113" s="535" t="n"/>
      <c r="AT113" s="282" t="n"/>
      <c r="AU113" s="282" t="n"/>
    </row>
    <row customHeight="1" ht="15.75" r="114" s="452" spans="1:48">
      <c r="A114" s="44" t="n"/>
      <c r="D114" s="535" t="n"/>
      <c r="E114" s="535" t="n"/>
      <c r="F114" s="282" t="n"/>
      <c r="G114" s="282" t="n"/>
      <c r="H114" s="536" t="n"/>
      <c r="I114" s="535" t="n"/>
      <c r="J114" s="282" t="n"/>
      <c r="K114" s="282" t="n"/>
      <c r="L114" s="536" t="n"/>
      <c r="M114" s="535" t="n"/>
      <c r="N114" s="282" t="n"/>
      <c r="O114" s="282" t="n"/>
      <c r="P114" s="535" t="n"/>
      <c r="Q114" s="535" t="n"/>
      <c r="R114" s="282" t="n"/>
      <c r="S114" s="282" t="n"/>
      <c r="T114" s="535" t="n"/>
      <c r="U114" s="535" t="n"/>
      <c r="V114" s="282" t="n"/>
      <c r="W114" s="282" t="n"/>
      <c r="X114" s="536" t="n"/>
      <c r="Y114" s="536" t="n"/>
      <c r="Z114" s="282" t="n"/>
      <c r="AA114" s="282" t="n"/>
      <c r="AB114" s="536" t="n"/>
      <c r="AC114" s="536" t="n"/>
      <c r="AD114" s="282" t="n"/>
      <c r="AE114" s="282" t="n"/>
      <c r="AF114" s="537" t="n"/>
      <c r="AG114" s="537" t="n"/>
      <c r="AH114" s="282" t="n"/>
      <c r="AI114" s="282" t="n"/>
      <c r="AJ114" s="537" t="n"/>
      <c r="AK114" s="537" t="n"/>
      <c r="AL114" s="282" t="n"/>
      <c r="AM114" s="282" t="n"/>
      <c r="AN114" s="282" t="n"/>
      <c r="AO114" s="282" t="n"/>
      <c r="AP114" s="282" t="n"/>
      <c r="AQ114" s="282" t="n"/>
      <c r="AR114" s="535" t="n"/>
      <c r="AS114" s="535" t="n"/>
      <c r="AT114" s="282" t="n"/>
      <c r="AU114" s="282" t="n"/>
    </row>
    <row customHeight="1" ht="15.75" r="115" s="452" spans="1:48">
      <c r="A115" s="44" t="n"/>
      <c r="D115" s="535" t="n"/>
      <c r="E115" s="535" t="n"/>
      <c r="F115" s="282" t="n"/>
      <c r="G115" s="282" t="n"/>
      <c r="H115" s="536" t="n"/>
      <c r="I115" s="535" t="n"/>
      <c r="J115" s="282" t="n"/>
      <c r="K115" s="282" t="n"/>
      <c r="L115" s="536" t="n"/>
      <c r="M115" s="535" t="n"/>
      <c r="N115" s="282" t="n"/>
      <c r="O115" s="282" t="n"/>
      <c r="P115" s="535" t="n"/>
      <c r="Q115" s="535" t="n"/>
      <c r="R115" s="282" t="n"/>
      <c r="S115" s="282" t="n"/>
      <c r="T115" s="535" t="n"/>
      <c r="U115" s="535" t="n"/>
      <c r="V115" s="282" t="n"/>
      <c r="W115" s="282" t="n"/>
      <c r="X115" s="536" t="n"/>
      <c r="Y115" s="536" t="n"/>
      <c r="Z115" s="282" t="n"/>
      <c r="AA115" s="282" t="n"/>
      <c r="AB115" s="536" t="n"/>
      <c r="AC115" s="536" t="n"/>
      <c r="AD115" s="282" t="n"/>
      <c r="AE115" s="282" t="n"/>
      <c r="AF115" s="537" t="n"/>
      <c r="AG115" s="537" t="n"/>
      <c r="AH115" s="282" t="n"/>
      <c r="AI115" s="282" t="n"/>
      <c r="AJ115" s="537" t="n"/>
      <c r="AK115" s="537" t="n"/>
      <c r="AL115" s="282" t="n"/>
      <c r="AM115" s="282" t="n"/>
      <c r="AN115" s="282" t="n"/>
      <c r="AO115" s="282" t="n"/>
      <c r="AP115" s="282" t="n"/>
      <c r="AQ115" s="282" t="n"/>
      <c r="AR115" s="535" t="n"/>
      <c r="AS115" s="535" t="n"/>
      <c r="AT115" s="282" t="n"/>
      <c r="AU115" s="282" t="n"/>
    </row>
    <row customHeight="1" ht="15.75" r="116" s="452" spans="1:48">
      <c r="A116" s="44" t="n"/>
      <c r="D116" s="535" t="n"/>
      <c r="E116" s="535" t="n"/>
      <c r="F116" s="282" t="n"/>
      <c r="G116" s="282" t="n"/>
      <c r="H116" s="536" t="n"/>
      <c r="I116" s="535" t="n"/>
      <c r="J116" s="282" t="n"/>
      <c r="K116" s="282" t="n"/>
      <c r="L116" s="536" t="n"/>
      <c r="M116" s="535" t="n"/>
      <c r="N116" s="282" t="n"/>
      <c r="O116" s="282" t="n"/>
      <c r="P116" s="535" t="n"/>
      <c r="Q116" s="535" t="n"/>
      <c r="R116" s="282" t="n"/>
      <c r="S116" s="282" t="n"/>
      <c r="T116" s="535" t="n"/>
      <c r="U116" s="535" t="n"/>
      <c r="V116" s="282" t="n"/>
      <c r="W116" s="282" t="n"/>
      <c r="X116" s="536" t="n"/>
      <c r="Y116" s="536" t="n"/>
      <c r="Z116" s="282" t="n"/>
      <c r="AA116" s="282" t="n"/>
      <c r="AB116" s="536" t="n"/>
      <c r="AC116" s="536" t="n"/>
      <c r="AD116" s="282" t="n"/>
      <c r="AE116" s="282" t="n"/>
      <c r="AF116" s="537" t="n"/>
      <c r="AG116" s="537" t="n"/>
      <c r="AH116" s="282" t="n"/>
      <c r="AI116" s="282" t="n"/>
      <c r="AJ116" s="537" t="n"/>
      <c r="AK116" s="537" t="n"/>
      <c r="AL116" s="282" t="n"/>
      <c r="AM116" s="282" t="n"/>
      <c r="AN116" s="282" t="n"/>
      <c r="AO116" s="282" t="n"/>
      <c r="AP116" s="282" t="n"/>
      <c r="AQ116" s="282" t="n"/>
      <c r="AR116" s="535" t="n"/>
      <c r="AS116" s="535" t="n"/>
      <c r="AT116" s="282" t="n"/>
      <c r="AU116" s="282" t="n"/>
    </row>
    <row customHeight="1" ht="15.75" r="117" s="452" spans="1:48">
      <c r="A117" s="44" t="n"/>
      <c r="D117" s="535" t="n"/>
      <c r="E117" s="535" t="n"/>
      <c r="F117" s="282" t="n"/>
      <c r="G117" s="282" t="n"/>
      <c r="H117" s="536" t="n"/>
      <c r="I117" s="535" t="n"/>
      <c r="J117" s="282" t="n"/>
      <c r="K117" s="282" t="n"/>
      <c r="L117" s="536" t="n"/>
      <c r="M117" s="535" t="n"/>
      <c r="N117" s="282" t="n"/>
      <c r="O117" s="282" t="n"/>
      <c r="P117" s="535" t="n"/>
      <c r="Q117" s="535" t="n"/>
      <c r="R117" s="282" t="n"/>
      <c r="S117" s="282" t="n"/>
      <c r="T117" s="535" t="n"/>
      <c r="U117" s="535" t="n"/>
      <c r="V117" s="282" t="n"/>
      <c r="W117" s="282" t="n"/>
      <c r="X117" s="536" t="n"/>
      <c r="Y117" s="536" t="n"/>
      <c r="Z117" s="282" t="n"/>
      <c r="AA117" s="282" t="n"/>
      <c r="AB117" s="536" t="n"/>
      <c r="AC117" s="536" t="n"/>
      <c r="AD117" s="282" t="n"/>
      <c r="AE117" s="282" t="n"/>
      <c r="AF117" s="537" t="n"/>
      <c r="AG117" s="537" t="n"/>
      <c r="AH117" s="282" t="n"/>
      <c r="AI117" s="282" t="n"/>
      <c r="AJ117" s="537" t="n"/>
      <c r="AK117" s="537" t="n"/>
      <c r="AL117" s="282" t="n"/>
      <c r="AM117" s="282" t="n"/>
      <c r="AN117" s="282" t="n"/>
      <c r="AO117" s="282" t="n"/>
      <c r="AP117" s="282" t="n"/>
      <c r="AQ117" s="282" t="n"/>
      <c r="AR117" s="535" t="n"/>
      <c r="AS117" s="535" t="n"/>
      <c r="AT117" s="282" t="n"/>
      <c r="AU117" s="282" t="n"/>
    </row>
    <row customHeight="1" ht="15.75" r="118" s="452" spans="1:48">
      <c r="A118" s="44" t="n"/>
      <c r="D118" s="535" t="n"/>
      <c r="E118" s="535" t="n"/>
      <c r="F118" s="282" t="n"/>
      <c r="G118" s="282" t="n"/>
      <c r="H118" s="536" t="n"/>
      <c r="I118" s="535" t="n"/>
      <c r="J118" s="282" t="n"/>
      <c r="K118" s="282" t="n"/>
      <c r="L118" s="536" t="n"/>
      <c r="M118" s="535" t="n"/>
      <c r="N118" s="282" t="n"/>
      <c r="O118" s="282" t="n"/>
      <c r="P118" s="535" t="n"/>
      <c r="Q118" s="535" t="n"/>
      <c r="R118" s="282" t="n"/>
      <c r="S118" s="282" t="n"/>
      <c r="T118" s="535" t="n"/>
      <c r="U118" s="535" t="n"/>
      <c r="V118" s="282" t="n"/>
      <c r="W118" s="282" t="n"/>
      <c r="X118" s="536" t="n"/>
      <c r="Y118" s="536" t="n"/>
      <c r="Z118" s="282" t="n"/>
      <c r="AA118" s="282" t="n"/>
      <c r="AB118" s="536" t="n"/>
      <c r="AC118" s="536" t="n"/>
      <c r="AD118" s="282" t="n"/>
      <c r="AE118" s="282" t="n"/>
      <c r="AF118" s="537" t="n"/>
      <c r="AG118" s="537" t="n"/>
      <c r="AH118" s="282" t="n"/>
      <c r="AI118" s="282" t="n"/>
      <c r="AJ118" s="537" t="n"/>
      <c r="AK118" s="537" t="n"/>
      <c r="AL118" s="282" t="n"/>
      <c r="AM118" s="282" t="n"/>
      <c r="AN118" s="282" t="n"/>
      <c r="AO118" s="282" t="n"/>
      <c r="AP118" s="282" t="n"/>
      <c r="AQ118" s="282" t="n"/>
      <c r="AR118" s="535" t="n"/>
      <c r="AS118" s="535" t="n"/>
      <c r="AT118" s="282" t="n"/>
      <c r="AU118" s="282" t="n"/>
    </row>
    <row customHeight="1" ht="15.75" r="119" s="452" spans="1:48">
      <c r="A119" s="44" t="n"/>
      <c r="D119" s="535" t="n"/>
      <c r="E119" s="535" t="n"/>
      <c r="F119" s="282" t="n"/>
      <c r="G119" s="282" t="n"/>
      <c r="H119" s="536" t="n"/>
      <c r="I119" s="535" t="n"/>
      <c r="J119" s="282" t="n"/>
      <c r="K119" s="282" t="n"/>
      <c r="L119" s="536" t="n"/>
      <c r="M119" s="535" t="n"/>
      <c r="N119" s="282" t="n"/>
      <c r="O119" s="282" t="n"/>
      <c r="P119" s="535" t="n"/>
      <c r="Q119" s="535" t="n"/>
      <c r="R119" s="282" t="n"/>
      <c r="S119" s="282" t="n"/>
      <c r="T119" s="535" t="n"/>
      <c r="U119" s="535" t="n"/>
      <c r="V119" s="282" t="n"/>
      <c r="W119" s="282" t="n"/>
      <c r="X119" s="536" t="n"/>
      <c r="Y119" s="536" t="n"/>
      <c r="Z119" s="282" t="n"/>
      <c r="AA119" s="282" t="n"/>
      <c r="AB119" s="536" t="n"/>
      <c r="AC119" s="536" t="n"/>
      <c r="AD119" s="282" t="n"/>
      <c r="AE119" s="282" t="n"/>
      <c r="AF119" s="537" t="n"/>
      <c r="AG119" s="537" t="n"/>
      <c r="AH119" s="282" t="n"/>
      <c r="AI119" s="282" t="n"/>
      <c r="AJ119" s="537" t="n"/>
      <c r="AK119" s="537" t="n"/>
      <c r="AL119" s="282" t="n"/>
      <c r="AM119" s="282" t="n"/>
      <c r="AN119" s="282" t="n"/>
      <c r="AO119" s="282" t="n"/>
      <c r="AP119" s="282" t="n"/>
      <c r="AQ119" s="282" t="n"/>
      <c r="AR119" s="535" t="n"/>
      <c r="AS119" s="535" t="n"/>
      <c r="AT119" s="282" t="n"/>
      <c r="AU119" s="282" t="n"/>
    </row>
    <row customHeight="1" ht="15.75" r="120" s="452" spans="1:48">
      <c r="A120" s="44" t="n"/>
      <c r="D120" s="535" t="n"/>
      <c r="E120" s="535" t="n"/>
      <c r="F120" s="282" t="n"/>
      <c r="G120" s="282" t="n"/>
      <c r="H120" s="536" t="n"/>
      <c r="I120" s="535" t="n"/>
      <c r="J120" s="282" t="n"/>
      <c r="K120" s="282" t="n"/>
      <c r="L120" s="536" t="n"/>
      <c r="M120" s="535" t="n"/>
      <c r="N120" s="282" t="n"/>
      <c r="O120" s="282" t="n"/>
      <c r="P120" s="535" t="n"/>
      <c r="Q120" s="535" t="n"/>
      <c r="R120" s="282" t="n"/>
      <c r="S120" s="282" t="n"/>
      <c r="T120" s="535" t="n"/>
      <c r="U120" s="535" t="n"/>
      <c r="V120" s="282" t="n"/>
      <c r="W120" s="282" t="n"/>
      <c r="X120" s="536" t="n"/>
      <c r="Y120" s="536" t="n"/>
      <c r="Z120" s="282" t="n"/>
      <c r="AA120" s="282" t="n"/>
      <c r="AB120" s="536" t="n"/>
      <c r="AC120" s="536" t="n"/>
      <c r="AD120" s="282" t="n"/>
      <c r="AE120" s="282" t="n"/>
      <c r="AF120" s="537" t="n"/>
      <c r="AG120" s="537" t="n"/>
      <c r="AH120" s="282" t="n"/>
      <c r="AI120" s="282" t="n"/>
      <c r="AJ120" s="537" t="n"/>
      <c r="AK120" s="537" t="n"/>
      <c r="AL120" s="282" t="n"/>
      <c r="AM120" s="282" t="n"/>
      <c r="AN120" s="282" t="n"/>
      <c r="AO120" s="282" t="n"/>
      <c r="AP120" s="282" t="n"/>
      <c r="AQ120" s="282" t="n"/>
      <c r="AR120" s="535" t="n"/>
      <c r="AS120" s="535" t="n"/>
      <c r="AT120" s="282" t="n"/>
      <c r="AU120" s="282" t="n"/>
    </row>
    <row customHeight="1" ht="15.75" r="121" s="452" spans="1:48">
      <c r="A121" s="44" t="n"/>
      <c r="D121" s="535" t="n"/>
      <c r="E121" s="535" t="n"/>
      <c r="F121" s="282" t="n"/>
      <c r="G121" s="282" t="n"/>
      <c r="H121" s="536" t="n"/>
      <c r="I121" s="535" t="n"/>
      <c r="J121" s="282" t="n"/>
      <c r="K121" s="282" t="n"/>
      <c r="L121" s="536" t="n"/>
      <c r="M121" s="535" t="n"/>
      <c r="N121" s="282" t="n"/>
      <c r="O121" s="282" t="n"/>
      <c r="P121" s="535" t="n"/>
      <c r="Q121" s="535" t="n"/>
      <c r="R121" s="282" t="n"/>
      <c r="S121" s="282" t="n"/>
      <c r="T121" s="535" t="n"/>
      <c r="U121" s="535" t="n"/>
      <c r="V121" s="282" t="n"/>
      <c r="W121" s="282" t="n"/>
      <c r="X121" s="536" t="n"/>
      <c r="Y121" s="536" t="n"/>
      <c r="Z121" s="282" t="n"/>
      <c r="AA121" s="282" t="n"/>
      <c r="AB121" s="536" t="n"/>
      <c r="AC121" s="536" t="n"/>
      <c r="AD121" s="282" t="n"/>
      <c r="AE121" s="282" t="n"/>
      <c r="AF121" s="537" t="n"/>
      <c r="AG121" s="537" t="n"/>
      <c r="AH121" s="282" t="n"/>
      <c r="AI121" s="282" t="n"/>
      <c r="AJ121" s="537" t="n"/>
      <c r="AK121" s="537" t="n"/>
      <c r="AL121" s="282" t="n"/>
      <c r="AM121" s="282" t="n"/>
      <c r="AN121" s="282" t="n"/>
      <c r="AO121" s="282" t="n"/>
      <c r="AP121" s="282" t="n"/>
      <c r="AQ121" s="282" t="n"/>
      <c r="AR121" s="535" t="n"/>
      <c r="AS121" s="535" t="n"/>
      <c r="AT121" s="282" t="n"/>
      <c r="AU121" s="282" t="n"/>
    </row>
    <row customHeight="1" ht="15.75" r="122" s="452" spans="1:48">
      <c r="A122" s="44" t="n"/>
      <c r="D122" s="535" t="n"/>
      <c r="E122" s="535" t="n"/>
      <c r="F122" s="282" t="n"/>
      <c r="G122" s="282" t="n"/>
      <c r="H122" s="536" t="n"/>
      <c r="I122" s="535" t="n"/>
      <c r="J122" s="282" t="n"/>
      <c r="K122" s="282" t="n"/>
      <c r="L122" s="536" t="n"/>
      <c r="M122" s="535" t="n"/>
      <c r="N122" s="282" t="n"/>
      <c r="O122" s="282" t="n"/>
      <c r="P122" s="535" t="n"/>
      <c r="Q122" s="535" t="n"/>
      <c r="R122" s="282" t="n"/>
      <c r="S122" s="282" t="n"/>
      <c r="T122" s="535" t="n"/>
      <c r="U122" s="535" t="n"/>
      <c r="V122" s="282" t="n"/>
      <c r="W122" s="282" t="n"/>
      <c r="X122" s="536" t="n"/>
      <c r="Y122" s="536" t="n"/>
      <c r="Z122" s="282" t="n"/>
      <c r="AA122" s="282" t="n"/>
      <c r="AB122" s="536" t="n"/>
      <c r="AC122" s="536" t="n"/>
      <c r="AD122" s="282" t="n"/>
      <c r="AE122" s="282" t="n"/>
      <c r="AF122" s="537" t="n"/>
      <c r="AG122" s="537" t="n"/>
      <c r="AH122" s="282" t="n"/>
      <c r="AI122" s="282" t="n"/>
      <c r="AJ122" s="537" t="n"/>
      <c r="AK122" s="537" t="n"/>
      <c r="AL122" s="282" t="n"/>
      <c r="AM122" s="282" t="n"/>
      <c r="AN122" s="282" t="n"/>
      <c r="AO122" s="282" t="n"/>
      <c r="AP122" s="282" t="n"/>
      <c r="AQ122" s="282" t="n"/>
      <c r="AR122" s="535" t="n"/>
      <c r="AS122" s="535" t="n"/>
      <c r="AT122" s="282" t="n"/>
      <c r="AU122" s="282" t="n"/>
    </row>
    <row customHeight="1" ht="15.75" r="123" s="452" spans="1:48">
      <c r="A123" s="44" t="n"/>
      <c r="D123" s="535" t="n"/>
      <c r="E123" s="535" t="n"/>
      <c r="F123" s="282" t="n"/>
      <c r="G123" s="282" t="n"/>
      <c r="H123" s="536" t="n"/>
      <c r="I123" s="535" t="n"/>
      <c r="J123" s="282" t="n"/>
      <c r="K123" s="282" t="n"/>
      <c r="L123" s="536" t="n"/>
      <c r="M123" s="535" t="n"/>
      <c r="N123" s="282" t="n"/>
      <c r="O123" s="282" t="n"/>
      <c r="P123" s="535" t="n"/>
      <c r="Q123" s="535" t="n"/>
      <c r="R123" s="282" t="n"/>
      <c r="S123" s="282" t="n"/>
      <c r="T123" s="535" t="n"/>
      <c r="U123" s="535" t="n"/>
      <c r="V123" s="282" t="n"/>
      <c r="W123" s="282" t="n"/>
      <c r="X123" s="536" t="n"/>
      <c r="Y123" s="536" t="n"/>
      <c r="Z123" s="282" t="n"/>
      <c r="AA123" s="282" t="n"/>
      <c r="AB123" s="536" t="n"/>
      <c r="AC123" s="536" t="n"/>
      <c r="AD123" s="282" t="n"/>
      <c r="AE123" s="282" t="n"/>
      <c r="AF123" s="537" t="n"/>
      <c r="AG123" s="537" t="n"/>
      <c r="AH123" s="282" t="n"/>
      <c r="AI123" s="282" t="n"/>
      <c r="AJ123" s="537" t="n"/>
      <c r="AK123" s="537" t="n"/>
      <c r="AL123" s="282" t="n"/>
      <c r="AM123" s="282" t="n"/>
      <c r="AN123" s="282" t="n"/>
      <c r="AO123" s="282" t="n"/>
      <c r="AP123" s="282" t="n"/>
      <c r="AQ123" s="282" t="n"/>
      <c r="AR123" s="535" t="n"/>
      <c r="AS123" s="535" t="n"/>
      <c r="AT123" s="282" t="n"/>
      <c r="AU123" s="282" t="n"/>
    </row>
    <row customHeight="1" ht="15.75" r="124" s="452" spans="1:48">
      <c r="A124" s="44" t="n"/>
      <c r="D124" s="535" t="n"/>
      <c r="E124" s="535" t="n"/>
      <c r="F124" s="282" t="n"/>
      <c r="G124" s="282" t="n"/>
      <c r="H124" s="536" t="n"/>
      <c r="I124" s="535" t="n"/>
      <c r="J124" s="282" t="n"/>
      <c r="K124" s="282" t="n"/>
      <c r="L124" s="536" t="n"/>
      <c r="M124" s="535" t="n"/>
      <c r="N124" s="282" t="n"/>
      <c r="O124" s="282" t="n"/>
      <c r="P124" s="535" t="n"/>
      <c r="Q124" s="535" t="n"/>
      <c r="R124" s="282" t="n"/>
      <c r="S124" s="282" t="n"/>
      <c r="T124" s="535" t="n"/>
      <c r="U124" s="535" t="n"/>
      <c r="V124" s="282" t="n"/>
      <c r="W124" s="282" t="n"/>
      <c r="X124" s="536" t="n"/>
      <c r="Y124" s="536" t="n"/>
      <c r="Z124" s="282" t="n"/>
      <c r="AA124" s="282" t="n"/>
      <c r="AB124" s="536" t="n"/>
      <c r="AC124" s="536" t="n"/>
      <c r="AD124" s="282" t="n"/>
      <c r="AE124" s="282" t="n"/>
      <c r="AF124" s="537" t="n"/>
      <c r="AG124" s="537" t="n"/>
      <c r="AH124" s="282" t="n"/>
      <c r="AI124" s="282" t="n"/>
      <c r="AJ124" s="537" t="n"/>
      <c r="AK124" s="537" t="n"/>
      <c r="AL124" s="282" t="n"/>
      <c r="AM124" s="282" t="n"/>
      <c r="AN124" s="282" t="n"/>
      <c r="AO124" s="282" t="n"/>
      <c r="AP124" s="282" t="n"/>
      <c r="AQ124" s="282" t="n"/>
      <c r="AR124" s="535" t="n"/>
      <c r="AS124" s="535" t="n"/>
      <c r="AT124" s="282" t="n"/>
      <c r="AU124" s="282" t="n"/>
    </row>
    <row customHeight="1" ht="15.75" r="125" s="452" spans="1:48">
      <c r="A125" s="44" t="n"/>
      <c r="D125" s="535" t="n"/>
      <c r="E125" s="535" t="n"/>
      <c r="F125" s="282" t="n"/>
      <c r="G125" s="282" t="n"/>
      <c r="H125" s="536" t="n"/>
      <c r="I125" s="535" t="n"/>
      <c r="J125" s="282" t="n"/>
      <c r="K125" s="282" t="n"/>
      <c r="L125" s="536" t="n"/>
      <c r="M125" s="535" t="n"/>
      <c r="N125" s="282" t="n"/>
      <c r="O125" s="282" t="n"/>
      <c r="P125" s="535" t="n"/>
      <c r="Q125" s="535" t="n"/>
      <c r="R125" s="282" t="n"/>
      <c r="S125" s="282" t="n"/>
      <c r="T125" s="535" t="n"/>
      <c r="U125" s="535" t="n"/>
      <c r="V125" s="282" t="n"/>
      <c r="W125" s="282" t="n"/>
      <c r="X125" s="536" t="n"/>
      <c r="Y125" s="536" t="n"/>
      <c r="Z125" s="282" t="n"/>
      <c r="AA125" s="282" t="n"/>
      <c r="AB125" s="536" t="n"/>
      <c r="AC125" s="536" t="n"/>
      <c r="AD125" s="282" t="n"/>
      <c r="AE125" s="282" t="n"/>
      <c r="AF125" s="537" t="n"/>
      <c r="AG125" s="537" t="n"/>
      <c r="AH125" s="282" t="n"/>
      <c r="AI125" s="282" t="n"/>
      <c r="AJ125" s="537" t="n"/>
      <c r="AK125" s="537" t="n"/>
      <c r="AL125" s="282" t="n"/>
      <c r="AM125" s="282" t="n"/>
      <c r="AN125" s="282" t="n"/>
      <c r="AO125" s="282" t="n"/>
      <c r="AP125" s="282" t="n"/>
      <c r="AQ125" s="282" t="n"/>
      <c r="AR125" s="535" t="n"/>
      <c r="AS125" s="535" t="n"/>
      <c r="AT125" s="282" t="n"/>
      <c r="AU125" s="282" t="n"/>
    </row>
    <row customHeight="1" ht="15.75" r="126" s="452" spans="1:48">
      <c r="A126" s="44" t="n"/>
      <c r="D126" s="535" t="n"/>
      <c r="E126" s="535" t="n"/>
      <c r="F126" s="282" t="n"/>
      <c r="G126" s="282" t="n"/>
      <c r="H126" s="536" t="n"/>
      <c r="I126" s="535" t="n"/>
      <c r="J126" s="282" t="n"/>
      <c r="K126" s="282" t="n"/>
      <c r="L126" s="536" t="n"/>
      <c r="M126" s="535" t="n"/>
      <c r="N126" s="282" t="n"/>
      <c r="O126" s="282" t="n"/>
      <c r="P126" s="535" t="n"/>
      <c r="Q126" s="535" t="n"/>
      <c r="R126" s="282" t="n"/>
      <c r="S126" s="282" t="n"/>
      <c r="T126" s="535" t="n"/>
      <c r="U126" s="535" t="n"/>
      <c r="V126" s="282" t="n"/>
      <c r="W126" s="282" t="n"/>
      <c r="X126" s="536" t="n"/>
      <c r="Y126" s="536" t="n"/>
      <c r="Z126" s="282" t="n"/>
      <c r="AA126" s="282" t="n"/>
      <c r="AB126" s="536" t="n"/>
      <c r="AC126" s="536" t="n"/>
      <c r="AD126" s="282" t="n"/>
      <c r="AE126" s="282" t="n"/>
      <c r="AF126" s="537" t="n"/>
      <c r="AG126" s="537" t="n"/>
      <c r="AH126" s="282" t="n"/>
      <c r="AI126" s="282" t="n"/>
      <c r="AJ126" s="537" t="n"/>
      <c r="AK126" s="537" t="n"/>
      <c r="AL126" s="282" t="n"/>
      <c r="AM126" s="282" t="n"/>
      <c r="AN126" s="282" t="n"/>
      <c r="AO126" s="282" t="n"/>
      <c r="AP126" s="282" t="n"/>
      <c r="AQ126" s="282" t="n"/>
      <c r="AR126" s="535" t="n"/>
      <c r="AS126" s="535" t="n"/>
      <c r="AT126" s="282" t="n"/>
      <c r="AU126" s="282" t="n"/>
    </row>
    <row customHeight="1" ht="15.75" r="127" s="452" spans="1:48">
      <c r="A127" s="44" t="n"/>
      <c r="D127" s="535" t="n"/>
      <c r="E127" s="535" t="n"/>
      <c r="F127" s="282" t="n"/>
      <c r="G127" s="282" t="n"/>
      <c r="H127" s="536" t="n"/>
      <c r="I127" s="535" t="n"/>
      <c r="J127" s="282" t="n"/>
      <c r="K127" s="282" t="n"/>
      <c r="L127" s="536" t="n"/>
      <c r="M127" s="535" t="n"/>
      <c r="N127" s="282" t="n"/>
      <c r="O127" s="282" t="n"/>
      <c r="P127" s="535" t="n"/>
      <c r="Q127" s="535" t="n"/>
      <c r="R127" s="282" t="n"/>
      <c r="S127" s="282" t="n"/>
      <c r="T127" s="535" t="n"/>
      <c r="U127" s="535" t="n"/>
      <c r="V127" s="282" t="n"/>
      <c r="W127" s="282" t="n"/>
      <c r="X127" s="536" t="n"/>
      <c r="Y127" s="536" t="n"/>
      <c r="Z127" s="282" t="n"/>
      <c r="AA127" s="282" t="n"/>
      <c r="AB127" s="536" t="n"/>
      <c r="AC127" s="536" t="n"/>
      <c r="AD127" s="282" t="n"/>
      <c r="AE127" s="282" t="n"/>
      <c r="AF127" s="537" t="n"/>
      <c r="AG127" s="537" t="n"/>
      <c r="AH127" s="282" t="n"/>
      <c r="AI127" s="282" t="n"/>
      <c r="AJ127" s="537" t="n"/>
      <c r="AK127" s="537" t="n"/>
      <c r="AL127" s="282" t="n"/>
      <c r="AM127" s="282" t="n"/>
      <c r="AN127" s="282" t="n"/>
      <c r="AO127" s="282" t="n"/>
      <c r="AP127" s="282" t="n"/>
      <c r="AQ127" s="282" t="n"/>
      <c r="AR127" s="535" t="n"/>
      <c r="AS127" s="535" t="n"/>
      <c r="AT127" s="282" t="n"/>
      <c r="AU127" s="282" t="n"/>
    </row>
    <row customHeight="1" ht="15.75" r="128" s="452" spans="1:48">
      <c r="A128" s="44" t="n"/>
      <c r="D128" s="535" t="n"/>
      <c r="E128" s="535" t="n"/>
      <c r="F128" s="282" t="n"/>
      <c r="G128" s="282" t="n"/>
      <c r="H128" s="536" t="n"/>
      <c r="I128" s="535" t="n"/>
      <c r="J128" s="282" t="n"/>
      <c r="K128" s="282" t="n"/>
      <c r="L128" s="536" t="n"/>
      <c r="M128" s="535" t="n"/>
      <c r="N128" s="282" t="n"/>
      <c r="O128" s="282" t="n"/>
      <c r="P128" s="535" t="n"/>
      <c r="Q128" s="535" t="n"/>
      <c r="R128" s="282" t="n"/>
      <c r="S128" s="282" t="n"/>
      <c r="T128" s="535" t="n"/>
      <c r="U128" s="535" t="n"/>
      <c r="V128" s="282" t="n"/>
      <c r="W128" s="282" t="n"/>
      <c r="X128" s="536" t="n"/>
      <c r="Y128" s="536" t="n"/>
      <c r="Z128" s="282" t="n"/>
      <c r="AA128" s="282" t="n"/>
      <c r="AB128" s="536" t="n"/>
      <c r="AC128" s="536" t="n"/>
      <c r="AD128" s="282" t="n"/>
      <c r="AE128" s="282" t="n"/>
      <c r="AF128" s="537" t="n"/>
      <c r="AG128" s="537" t="n"/>
      <c r="AH128" s="282" t="n"/>
      <c r="AI128" s="282" t="n"/>
      <c r="AJ128" s="537" t="n"/>
      <c r="AK128" s="537" t="n"/>
      <c r="AL128" s="282" t="n"/>
      <c r="AM128" s="282" t="n"/>
      <c r="AN128" s="282" t="n"/>
      <c r="AO128" s="282" t="n"/>
      <c r="AP128" s="282" t="n"/>
      <c r="AQ128" s="282" t="n"/>
      <c r="AR128" s="535" t="n"/>
      <c r="AS128" s="535" t="n"/>
      <c r="AT128" s="282" t="n"/>
      <c r="AU128" s="282" t="n"/>
    </row>
    <row customHeight="1" ht="15.75" r="129" s="452" spans="1:48">
      <c r="A129" s="44" t="n"/>
      <c r="D129" s="535" t="n"/>
      <c r="E129" s="535" t="n"/>
      <c r="F129" s="282" t="n"/>
      <c r="G129" s="282" t="n"/>
      <c r="H129" s="536" t="n"/>
      <c r="I129" s="535" t="n"/>
      <c r="J129" s="282" t="n"/>
      <c r="K129" s="282" t="n"/>
      <c r="L129" s="536" t="n"/>
      <c r="M129" s="535" t="n"/>
      <c r="N129" s="282" t="n"/>
      <c r="O129" s="282" t="n"/>
      <c r="P129" s="535" t="n"/>
      <c r="Q129" s="535" t="n"/>
      <c r="R129" s="282" t="n"/>
      <c r="S129" s="282" t="n"/>
      <c r="T129" s="535" t="n"/>
      <c r="U129" s="535" t="n"/>
      <c r="V129" s="282" t="n"/>
      <c r="W129" s="282" t="n"/>
      <c r="X129" s="536" t="n"/>
      <c r="Y129" s="536" t="n"/>
      <c r="Z129" s="282" t="n"/>
      <c r="AA129" s="282" t="n"/>
      <c r="AB129" s="536" t="n"/>
      <c r="AC129" s="536" t="n"/>
      <c r="AD129" s="282" t="n"/>
      <c r="AE129" s="282" t="n"/>
      <c r="AF129" s="537" t="n"/>
      <c r="AG129" s="537" t="n"/>
      <c r="AH129" s="282" t="n"/>
      <c r="AI129" s="282" t="n"/>
      <c r="AJ129" s="537" t="n"/>
      <c r="AK129" s="537" t="n"/>
      <c r="AL129" s="282" t="n"/>
      <c r="AM129" s="282" t="n"/>
      <c r="AN129" s="282" t="n"/>
      <c r="AO129" s="282" t="n"/>
      <c r="AP129" s="282" t="n"/>
      <c r="AQ129" s="282" t="n"/>
      <c r="AR129" s="535" t="n"/>
      <c r="AS129" s="535" t="n"/>
      <c r="AT129" s="282" t="n"/>
      <c r="AU129" s="282" t="n"/>
    </row>
    <row customHeight="1" ht="15.75" r="130" s="452" spans="1:48">
      <c r="A130" s="44" t="n"/>
      <c r="D130" s="535" t="n"/>
      <c r="E130" s="535" t="n"/>
      <c r="F130" s="282" t="n"/>
      <c r="G130" s="282" t="n"/>
      <c r="H130" s="536" t="n"/>
      <c r="I130" s="535" t="n"/>
      <c r="J130" s="282" t="n"/>
      <c r="K130" s="282" t="n"/>
      <c r="L130" s="536" t="n"/>
      <c r="M130" s="535" t="n"/>
      <c r="N130" s="282" t="n"/>
      <c r="O130" s="282" t="n"/>
      <c r="P130" s="535" t="n"/>
      <c r="Q130" s="535" t="n"/>
      <c r="R130" s="282" t="n"/>
      <c r="S130" s="282" t="n"/>
      <c r="T130" s="535" t="n"/>
      <c r="U130" s="535" t="n"/>
      <c r="V130" s="282" t="n"/>
      <c r="W130" s="282" t="n"/>
      <c r="X130" s="536" t="n"/>
      <c r="Y130" s="536" t="n"/>
      <c r="Z130" s="282" t="n"/>
      <c r="AA130" s="282" t="n"/>
      <c r="AB130" s="536" t="n"/>
      <c r="AC130" s="536" t="n"/>
      <c r="AD130" s="282" t="n"/>
      <c r="AE130" s="282" t="n"/>
      <c r="AF130" s="537" t="n"/>
      <c r="AG130" s="537" t="n"/>
      <c r="AH130" s="282" t="n"/>
      <c r="AI130" s="282" t="n"/>
      <c r="AJ130" s="537" t="n"/>
      <c r="AK130" s="537" t="n"/>
      <c r="AL130" s="282" t="n"/>
      <c r="AM130" s="282" t="n"/>
      <c r="AN130" s="282" t="n"/>
      <c r="AO130" s="282" t="n"/>
      <c r="AP130" s="282" t="n"/>
      <c r="AQ130" s="282" t="n"/>
      <c r="AR130" s="535" t="n"/>
      <c r="AS130" s="535" t="n"/>
      <c r="AT130" s="282" t="n"/>
      <c r="AU130" s="282" t="n"/>
    </row>
    <row customHeight="1" ht="15.75" r="131" s="452" spans="1:48">
      <c r="A131" s="44" t="n"/>
      <c r="D131" s="535" t="n"/>
      <c r="E131" s="535" t="n"/>
      <c r="F131" s="282" t="n"/>
      <c r="G131" s="282" t="n"/>
      <c r="H131" s="536" t="n"/>
      <c r="I131" s="535" t="n"/>
      <c r="J131" s="282" t="n"/>
      <c r="K131" s="282" t="n"/>
      <c r="L131" s="536" t="n"/>
      <c r="M131" s="535" t="n"/>
      <c r="N131" s="282" t="n"/>
      <c r="O131" s="282" t="n"/>
      <c r="P131" s="535" t="n"/>
      <c r="Q131" s="535" t="n"/>
      <c r="R131" s="282" t="n"/>
      <c r="S131" s="282" t="n"/>
      <c r="T131" s="535" t="n"/>
      <c r="U131" s="535" t="n"/>
      <c r="V131" s="282" t="n"/>
      <c r="W131" s="282" t="n"/>
      <c r="X131" s="536" t="n"/>
      <c r="Y131" s="536" t="n"/>
      <c r="Z131" s="282" t="n"/>
      <c r="AA131" s="282" t="n"/>
      <c r="AB131" s="536" t="n"/>
      <c r="AC131" s="536" t="n"/>
      <c r="AD131" s="282" t="n"/>
      <c r="AE131" s="282" t="n"/>
      <c r="AF131" s="537" t="n"/>
      <c r="AG131" s="537" t="n"/>
      <c r="AH131" s="282" t="n"/>
      <c r="AI131" s="282" t="n"/>
      <c r="AJ131" s="537" t="n"/>
      <c r="AK131" s="537" t="n"/>
      <c r="AL131" s="282" t="n"/>
      <c r="AM131" s="282" t="n"/>
      <c r="AN131" s="282" t="n"/>
      <c r="AO131" s="282" t="n"/>
      <c r="AP131" s="282" t="n"/>
      <c r="AQ131" s="282" t="n"/>
      <c r="AR131" s="535" t="n"/>
      <c r="AS131" s="535" t="n"/>
      <c r="AT131" s="282" t="n"/>
      <c r="AU131" s="282" t="n"/>
    </row>
    <row customHeight="1" ht="15.75" r="132" s="452" spans="1:48">
      <c r="A132" s="44" t="n"/>
      <c r="D132" s="535" t="n"/>
      <c r="E132" s="535" t="n"/>
      <c r="F132" s="282" t="n"/>
      <c r="G132" s="282" t="n"/>
      <c r="H132" s="536" t="n"/>
      <c r="I132" s="535" t="n"/>
      <c r="J132" s="282" t="n"/>
      <c r="K132" s="282" t="n"/>
      <c r="L132" s="536" t="n"/>
      <c r="M132" s="535" t="n"/>
      <c r="N132" s="282" t="n"/>
      <c r="O132" s="282" t="n"/>
      <c r="P132" s="535" t="n"/>
      <c r="Q132" s="535" t="n"/>
      <c r="R132" s="282" t="n"/>
      <c r="S132" s="282" t="n"/>
      <c r="T132" s="535" t="n"/>
      <c r="U132" s="535" t="n"/>
      <c r="V132" s="282" t="n"/>
      <c r="W132" s="282" t="n"/>
      <c r="X132" s="536" t="n"/>
      <c r="Y132" s="536" t="n"/>
      <c r="Z132" s="282" t="n"/>
      <c r="AA132" s="282" t="n"/>
      <c r="AB132" s="536" t="n"/>
      <c r="AC132" s="536" t="n"/>
      <c r="AD132" s="282" t="n"/>
      <c r="AE132" s="282" t="n"/>
      <c r="AF132" s="537" t="n"/>
      <c r="AG132" s="537" t="n"/>
      <c r="AH132" s="282" t="n"/>
      <c r="AI132" s="282" t="n"/>
      <c r="AJ132" s="537" t="n"/>
      <c r="AK132" s="537" t="n"/>
      <c r="AL132" s="282" t="n"/>
      <c r="AM132" s="282" t="n"/>
      <c r="AN132" s="282" t="n"/>
      <c r="AO132" s="282" t="n"/>
      <c r="AP132" s="282" t="n"/>
      <c r="AQ132" s="282" t="n"/>
      <c r="AR132" s="535" t="n"/>
      <c r="AS132" s="535" t="n"/>
      <c r="AT132" s="282" t="n"/>
      <c r="AU132" s="282" t="n"/>
    </row>
    <row customHeight="1" ht="15.75" r="133" s="452" spans="1:48">
      <c r="A133" s="44" t="n"/>
      <c r="D133" s="535" t="n"/>
      <c r="E133" s="535" t="n"/>
      <c r="F133" s="282" t="n"/>
      <c r="G133" s="282" t="n"/>
      <c r="H133" s="536" t="n"/>
      <c r="I133" s="535" t="n"/>
      <c r="J133" s="282" t="n"/>
      <c r="K133" s="282" t="n"/>
      <c r="L133" s="536" t="n"/>
      <c r="M133" s="535" t="n"/>
      <c r="N133" s="282" t="n"/>
      <c r="O133" s="282" t="n"/>
      <c r="P133" s="535" t="n"/>
      <c r="Q133" s="535" t="n"/>
      <c r="R133" s="282" t="n"/>
      <c r="S133" s="282" t="n"/>
      <c r="T133" s="535" t="n"/>
      <c r="U133" s="535" t="n"/>
      <c r="V133" s="282" t="n"/>
      <c r="W133" s="282" t="n"/>
      <c r="X133" s="536" t="n"/>
      <c r="Y133" s="536" t="n"/>
      <c r="Z133" s="282" t="n"/>
      <c r="AA133" s="282" t="n"/>
      <c r="AB133" s="536" t="n"/>
      <c r="AC133" s="536" t="n"/>
      <c r="AD133" s="282" t="n"/>
      <c r="AE133" s="282" t="n"/>
      <c r="AF133" s="537" t="n"/>
      <c r="AG133" s="537" t="n"/>
      <c r="AH133" s="282" t="n"/>
      <c r="AI133" s="282" t="n"/>
      <c r="AJ133" s="537" t="n"/>
      <c r="AK133" s="537" t="n"/>
      <c r="AL133" s="282" t="n"/>
      <c r="AM133" s="282" t="n"/>
      <c r="AN133" s="282" t="n"/>
      <c r="AO133" s="282" t="n"/>
      <c r="AP133" s="282" t="n"/>
      <c r="AQ133" s="282" t="n"/>
      <c r="AR133" s="535" t="n"/>
      <c r="AS133" s="535" t="n"/>
      <c r="AT133" s="282" t="n"/>
      <c r="AU133" s="282" t="n"/>
    </row>
    <row customHeight="1" ht="15.75" r="134" s="452" spans="1:48">
      <c r="A134" s="44" t="n"/>
      <c r="D134" s="535" t="n"/>
      <c r="E134" s="535" t="n"/>
      <c r="F134" s="282" t="n"/>
      <c r="G134" s="282" t="n"/>
      <c r="H134" s="536" t="n"/>
      <c r="I134" s="535" t="n"/>
      <c r="J134" s="282" t="n"/>
      <c r="K134" s="282" t="n"/>
      <c r="L134" s="536" t="n"/>
      <c r="M134" s="535" t="n"/>
      <c r="N134" s="282" t="n"/>
      <c r="O134" s="282" t="n"/>
      <c r="P134" s="535" t="n"/>
      <c r="Q134" s="535" t="n"/>
      <c r="R134" s="282" t="n"/>
      <c r="S134" s="282" t="n"/>
      <c r="T134" s="535" t="n"/>
      <c r="U134" s="535" t="n"/>
      <c r="V134" s="282" t="n"/>
      <c r="W134" s="282" t="n"/>
      <c r="X134" s="536" t="n"/>
      <c r="Y134" s="536" t="n"/>
      <c r="Z134" s="282" t="n"/>
      <c r="AA134" s="282" t="n"/>
      <c r="AB134" s="536" t="n"/>
      <c r="AC134" s="536" t="n"/>
      <c r="AD134" s="282" t="n"/>
      <c r="AE134" s="282" t="n"/>
      <c r="AF134" s="537" t="n"/>
      <c r="AG134" s="537" t="n"/>
      <c r="AH134" s="282" t="n"/>
      <c r="AI134" s="282" t="n"/>
      <c r="AJ134" s="537" t="n"/>
      <c r="AK134" s="537" t="n"/>
      <c r="AL134" s="282" t="n"/>
      <c r="AM134" s="282" t="n"/>
      <c r="AN134" s="282" t="n"/>
      <c r="AO134" s="282" t="n"/>
      <c r="AP134" s="282" t="n"/>
      <c r="AQ134" s="282" t="n"/>
      <c r="AR134" s="535" t="n"/>
      <c r="AS134" s="535" t="n"/>
      <c r="AT134" s="282" t="n"/>
      <c r="AU134" s="282" t="n"/>
    </row>
    <row customHeight="1" ht="15.75" r="135" s="452" spans="1:48">
      <c r="A135" s="44" t="n"/>
      <c r="D135" s="535" t="n"/>
      <c r="E135" s="535" t="n"/>
      <c r="F135" s="282" t="n"/>
      <c r="G135" s="282" t="n"/>
      <c r="H135" s="536" t="n"/>
      <c r="I135" s="535" t="n"/>
      <c r="J135" s="282" t="n"/>
      <c r="K135" s="282" t="n"/>
      <c r="L135" s="536" t="n"/>
      <c r="M135" s="535" t="n"/>
      <c r="N135" s="282" t="n"/>
      <c r="O135" s="282" t="n"/>
      <c r="P135" s="535" t="n"/>
      <c r="Q135" s="535" t="n"/>
      <c r="R135" s="282" t="n"/>
      <c r="S135" s="282" t="n"/>
      <c r="T135" s="535" t="n"/>
      <c r="U135" s="535" t="n"/>
      <c r="V135" s="282" t="n"/>
      <c r="W135" s="282" t="n"/>
      <c r="X135" s="536" t="n"/>
      <c r="Y135" s="536" t="n"/>
      <c r="Z135" s="282" t="n"/>
      <c r="AA135" s="282" t="n"/>
      <c r="AB135" s="536" t="n"/>
      <c r="AC135" s="536" t="n"/>
      <c r="AD135" s="282" t="n"/>
      <c r="AE135" s="282" t="n"/>
      <c r="AF135" s="537" t="n"/>
      <c r="AG135" s="537" t="n"/>
      <c r="AH135" s="282" t="n"/>
      <c r="AI135" s="282" t="n"/>
      <c r="AJ135" s="537" t="n"/>
      <c r="AK135" s="537" t="n"/>
      <c r="AL135" s="282" t="n"/>
      <c r="AM135" s="282" t="n"/>
      <c r="AN135" s="282" t="n"/>
      <c r="AO135" s="282" t="n"/>
      <c r="AP135" s="282" t="n"/>
      <c r="AQ135" s="282" t="n"/>
      <c r="AR135" s="535" t="n"/>
      <c r="AS135" s="535" t="n"/>
      <c r="AT135" s="282" t="n"/>
      <c r="AU135" s="282" t="n"/>
    </row>
    <row customHeight="1" ht="15.75" r="136" s="452" spans="1:48">
      <c r="A136" s="44" t="n"/>
      <c r="D136" s="535" t="n"/>
      <c r="E136" s="535" t="n"/>
      <c r="F136" s="282" t="n"/>
      <c r="G136" s="282" t="n"/>
      <c r="H136" s="536" t="n"/>
      <c r="I136" s="535" t="n"/>
      <c r="J136" s="282" t="n"/>
      <c r="K136" s="282" t="n"/>
      <c r="L136" s="536" t="n"/>
      <c r="M136" s="535" t="n"/>
      <c r="N136" s="282" t="n"/>
      <c r="O136" s="282" t="n"/>
      <c r="P136" s="535" t="n"/>
      <c r="Q136" s="535" t="n"/>
      <c r="R136" s="282" t="n"/>
      <c r="S136" s="282" t="n"/>
      <c r="T136" s="535" t="n"/>
      <c r="U136" s="535" t="n"/>
      <c r="V136" s="282" t="n"/>
      <c r="W136" s="282" t="n"/>
      <c r="X136" s="536" t="n"/>
      <c r="Y136" s="536" t="n"/>
      <c r="Z136" s="282" t="n"/>
      <c r="AA136" s="282" t="n"/>
      <c r="AB136" s="536" t="n"/>
      <c r="AC136" s="536" t="n"/>
      <c r="AD136" s="282" t="n"/>
      <c r="AE136" s="282" t="n"/>
      <c r="AF136" s="537" t="n"/>
      <c r="AG136" s="537" t="n"/>
      <c r="AH136" s="282" t="n"/>
      <c r="AI136" s="282" t="n"/>
      <c r="AJ136" s="537" t="n"/>
      <c r="AK136" s="537" t="n"/>
      <c r="AL136" s="282" t="n"/>
      <c r="AM136" s="282" t="n"/>
      <c r="AN136" s="282" t="n"/>
      <c r="AO136" s="282" t="n"/>
      <c r="AP136" s="282" t="n"/>
      <c r="AQ136" s="282" t="n"/>
      <c r="AR136" s="535" t="n"/>
      <c r="AS136" s="535" t="n"/>
      <c r="AT136" s="282" t="n"/>
      <c r="AU136" s="282" t="n"/>
    </row>
    <row customHeight="1" ht="15.75" r="137" s="452" spans="1:48">
      <c r="A137" s="44" t="n"/>
      <c r="D137" s="535" t="n"/>
      <c r="E137" s="535" t="n"/>
      <c r="F137" s="282" t="n"/>
      <c r="G137" s="282" t="n"/>
      <c r="H137" s="536" t="n"/>
      <c r="I137" s="535" t="n"/>
      <c r="J137" s="282" t="n"/>
      <c r="K137" s="282" t="n"/>
      <c r="L137" s="536" t="n"/>
      <c r="M137" s="535" t="n"/>
      <c r="N137" s="282" t="n"/>
      <c r="O137" s="282" t="n"/>
      <c r="P137" s="535" t="n"/>
      <c r="Q137" s="535" t="n"/>
      <c r="R137" s="282" t="n"/>
      <c r="S137" s="282" t="n"/>
      <c r="T137" s="535" t="n"/>
      <c r="U137" s="535" t="n"/>
      <c r="V137" s="282" t="n"/>
      <c r="W137" s="282" t="n"/>
      <c r="X137" s="536" t="n"/>
      <c r="Y137" s="536" t="n"/>
      <c r="Z137" s="282" t="n"/>
      <c r="AA137" s="282" t="n"/>
      <c r="AB137" s="536" t="n"/>
      <c r="AC137" s="536" t="n"/>
      <c r="AD137" s="282" t="n"/>
      <c r="AE137" s="282" t="n"/>
      <c r="AF137" s="537" t="n"/>
      <c r="AG137" s="537" t="n"/>
      <c r="AH137" s="282" t="n"/>
      <c r="AI137" s="282" t="n"/>
      <c r="AJ137" s="537" t="n"/>
      <c r="AK137" s="537" t="n"/>
      <c r="AL137" s="282" t="n"/>
      <c r="AM137" s="282" t="n"/>
      <c r="AN137" s="282" t="n"/>
      <c r="AO137" s="282" t="n"/>
      <c r="AP137" s="282" t="n"/>
      <c r="AQ137" s="282" t="n"/>
      <c r="AR137" s="535" t="n"/>
      <c r="AS137" s="535" t="n"/>
      <c r="AT137" s="282" t="n"/>
      <c r="AU137" s="282" t="n"/>
    </row>
    <row customHeight="1" ht="15.75" r="138" s="452" spans="1:48">
      <c r="A138" s="44" t="n"/>
      <c r="D138" s="535" t="n"/>
      <c r="E138" s="535" t="n"/>
      <c r="F138" s="282" t="n"/>
      <c r="G138" s="282" t="n"/>
      <c r="H138" s="536" t="n"/>
      <c r="I138" s="535" t="n"/>
      <c r="J138" s="282" t="n"/>
      <c r="K138" s="282" t="n"/>
      <c r="L138" s="536" t="n"/>
      <c r="M138" s="535" t="n"/>
      <c r="N138" s="282" t="n"/>
      <c r="O138" s="282" t="n"/>
      <c r="P138" s="535" t="n"/>
      <c r="Q138" s="535" t="n"/>
      <c r="R138" s="282" t="n"/>
      <c r="S138" s="282" t="n"/>
      <c r="T138" s="535" t="n"/>
      <c r="U138" s="535" t="n"/>
      <c r="V138" s="282" t="n"/>
      <c r="W138" s="282" t="n"/>
      <c r="X138" s="536" t="n"/>
      <c r="Y138" s="536" t="n"/>
      <c r="Z138" s="282" t="n"/>
      <c r="AA138" s="282" t="n"/>
      <c r="AB138" s="536" t="n"/>
      <c r="AC138" s="536" t="n"/>
      <c r="AD138" s="282" t="n"/>
      <c r="AE138" s="282" t="n"/>
      <c r="AF138" s="537" t="n"/>
      <c r="AG138" s="537" t="n"/>
      <c r="AH138" s="282" t="n"/>
      <c r="AI138" s="282" t="n"/>
      <c r="AJ138" s="537" t="n"/>
      <c r="AK138" s="537" t="n"/>
      <c r="AL138" s="282" t="n"/>
      <c r="AM138" s="282" t="n"/>
      <c r="AN138" s="282" t="n"/>
      <c r="AO138" s="282" t="n"/>
      <c r="AP138" s="282" t="n"/>
      <c r="AQ138" s="282" t="n"/>
      <c r="AR138" s="535" t="n"/>
      <c r="AS138" s="535" t="n"/>
      <c r="AT138" s="282" t="n"/>
      <c r="AU138" s="282" t="n"/>
    </row>
    <row customHeight="1" ht="15.75" r="139" s="452" spans="1:48">
      <c r="A139" s="44" t="n"/>
      <c r="D139" s="535" t="n"/>
      <c r="E139" s="535" t="n"/>
      <c r="F139" s="282" t="n"/>
      <c r="G139" s="282" t="n"/>
      <c r="H139" s="536" t="n"/>
      <c r="I139" s="535" t="n"/>
      <c r="J139" s="282" t="n"/>
      <c r="K139" s="282" t="n"/>
      <c r="L139" s="536" t="n"/>
      <c r="M139" s="535" t="n"/>
      <c r="N139" s="282" t="n"/>
      <c r="O139" s="282" t="n"/>
      <c r="P139" s="535" t="n"/>
      <c r="Q139" s="535" t="n"/>
      <c r="R139" s="282" t="n"/>
      <c r="S139" s="282" t="n"/>
      <c r="T139" s="535" t="n"/>
      <c r="U139" s="535" t="n"/>
      <c r="V139" s="282" t="n"/>
      <c r="W139" s="282" t="n"/>
      <c r="X139" s="536" t="n"/>
      <c r="Y139" s="536" t="n"/>
      <c r="Z139" s="282" t="n"/>
      <c r="AA139" s="282" t="n"/>
      <c r="AB139" s="536" t="n"/>
      <c r="AC139" s="536" t="n"/>
      <c r="AD139" s="282" t="n"/>
      <c r="AE139" s="282" t="n"/>
      <c r="AF139" s="537" t="n"/>
      <c r="AG139" s="537" t="n"/>
      <c r="AH139" s="282" t="n"/>
      <c r="AI139" s="282" t="n"/>
      <c r="AJ139" s="537" t="n"/>
      <c r="AK139" s="537" t="n"/>
      <c r="AL139" s="282" t="n"/>
      <c r="AM139" s="282" t="n"/>
      <c r="AN139" s="282" t="n"/>
      <c r="AO139" s="282" t="n"/>
      <c r="AP139" s="282" t="n"/>
      <c r="AQ139" s="282" t="n"/>
      <c r="AR139" s="535" t="n"/>
      <c r="AS139" s="535" t="n"/>
      <c r="AT139" s="282" t="n"/>
      <c r="AU139" s="282" t="n"/>
    </row>
    <row customHeight="1" ht="15.75" r="140" s="452" spans="1:48">
      <c r="A140" s="44" t="n"/>
      <c r="D140" s="535" t="n"/>
      <c r="E140" s="535" t="n"/>
      <c r="F140" s="282" t="n"/>
      <c r="G140" s="282" t="n"/>
      <c r="H140" s="536" t="n"/>
      <c r="I140" s="535" t="n"/>
      <c r="J140" s="282" t="n"/>
      <c r="K140" s="282" t="n"/>
      <c r="L140" s="536" t="n"/>
      <c r="M140" s="535" t="n"/>
      <c r="N140" s="282" t="n"/>
      <c r="O140" s="282" t="n"/>
      <c r="P140" s="535" t="n"/>
      <c r="Q140" s="535" t="n"/>
      <c r="R140" s="282" t="n"/>
      <c r="S140" s="282" t="n"/>
      <c r="T140" s="535" t="n"/>
      <c r="U140" s="535" t="n"/>
      <c r="V140" s="282" t="n"/>
      <c r="W140" s="282" t="n"/>
      <c r="X140" s="536" t="n"/>
      <c r="Y140" s="536" t="n"/>
      <c r="Z140" s="282" t="n"/>
      <c r="AA140" s="282" t="n"/>
      <c r="AB140" s="536" t="n"/>
      <c r="AC140" s="536" t="n"/>
      <c r="AD140" s="282" t="n"/>
      <c r="AE140" s="282" t="n"/>
      <c r="AF140" s="537" t="n"/>
      <c r="AG140" s="537" t="n"/>
      <c r="AH140" s="282" t="n"/>
      <c r="AI140" s="282" t="n"/>
      <c r="AJ140" s="537" t="n"/>
      <c r="AK140" s="537" t="n"/>
      <c r="AL140" s="282" t="n"/>
      <c r="AM140" s="282" t="n"/>
      <c r="AN140" s="282" t="n"/>
      <c r="AO140" s="282" t="n"/>
      <c r="AP140" s="282" t="n"/>
      <c r="AQ140" s="282" t="n"/>
      <c r="AR140" s="535" t="n"/>
      <c r="AS140" s="535" t="n"/>
      <c r="AT140" s="282" t="n"/>
      <c r="AU140" s="282" t="n"/>
    </row>
    <row customHeight="1" ht="15.75" r="141" s="452" spans="1:48">
      <c r="A141" s="44" t="n"/>
      <c r="D141" s="535" t="n"/>
      <c r="E141" s="535" t="n"/>
      <c r="F141" s="282" t="n"/>
      <c r="G141" s="282" t="n"/>
      <c r="H141" s="536" t="n"/>
      <c r="I141" s="535" t="n"/>
      <c r="J141" s="282" t="n"/>
      <c r="K141" s="282" t="n"/>
      <c r="L141" s="536" t="n"/>
      <c r="M141" s="535" t="n"/>
      <c r="N141" s="282" t="n"/>
      <c r="O141" s="282" t="n"/>
      <c r="P141" s="535" t="n"/>
      <c r="Q141" s="535" t="n"/>
      <c r="R141" s="282" t="n"/>
      <c r="S141" s="282" t="n"/>
      <c r="T141" s="535" t="n"/>
      <c r="U141" s="535" t="n"/>
      <c r="V141" s="282" t="n"/>
      <c r="W141" s="282" t="n"/>
      <c r="X141" s="536" t="n"/>
      <c r="Y141" s="536" t="n"/>
      <c r="Z141" s="282" t="n"/>
      <c r="AA141" s="282" t="n"/>
      <c r="AB141" s="536" t="n"/>
      <c r="AC141" s="536" t="n"/>
      <c r="AD141" s="282" t="n"/>
      <c r="AE141" s="282" t="n"/>
      <c r="AF141" s="537" t="n"/>
      <c r="AG141" s="537" t="n"/>
      <c r="AH141" s="282" t="n"/>
      <c r="AI141" s="282" t="n"/>
      <c r="AJ141" s="537" t="n"/>
      <c r="AK141" s="537" t="n"/>
      <c r="AL141" s="282" t="n"/>
      <c r="AM141" s="282" t="n"/>
      <c r="AN141" s="282" t="n"/>
      <c r="AO141" s="282" t="n"/>
      <c r="AP141" s="282" t="n"/>
      <c r="AQ141" s="282" t="n"/>
      <c r="AR141" s="535" t="n"/>
      <c r="AS141" s="535" t="n"/>
      <c r="AT141" s="282" t="n"/>
      <c r="AU141" s="282" t="n"/>
    </row>
    <row customHeight="1" ht="15.75" r="142" s="452" spans="1:48">
      <c r="A142" s="44" t="n"/>
      <c r="D142" s="535" t="n"/>
      <c r="E142" s="535" t="n"/>
      <c r="F142" s="282" t="n"/>
      <c r="G142" s="282" t="n"/>
      <c r="H142" s="536" t="n"/>
      <c r="I142" s="535" t="n"/>
      <c r="J142" s="282" t="n"/>
      <c r="K142" s="282" t="n"/>
      <c r="L142" s="536" t="n"/>
      <c r="M142" s="535" t="n"/>
      <c r="N142" s="282" t="n"/>
      <c r="O142" s="282" t="n"/>
      <c r="P142" s="535" t="n"/>
      <c r="Q142" s="535" t="n"/>
      <c r="R142" s="282" t="n"/>
      <c r="S142" s="282" t="n"/>
      <c r="T142" s="535" t="n"/>
      <c r="U142" s="535" t="n"/>
      <c r="V142" s="282" t="n"/>
      <c r="W142" s="282" t="n"/>
      <c r="X142" s="536" t="n"/>
      <c r="Y142" s="536" t="n"/>
      <c r="Z142" s="282" t="n"/>
      <c r="AA142" s="282" t="n"/>
      <c r="AB142" s="536" t="n"/>
      <c r="AC142" s="536" t="n"/>
      <c r="AD142" s="282" t="n"/>
      <c r="AE142" s="282" t="n"/>
      <c r="AF142" s="537" t="n"/>
      <c r="AG142" s="537" t="n"/>
      <c r="AH142" s="282" t="n"/>
      <c r="AI142" s="282" t="n"/>
      <c r="AJ142" s="537" t="n"/>
      <c r="AK142" s="537" t="n"/>
      <c r="AL142" s="282" t="n"/>
      <c r="AM142" s="282" t="n"/>
      <c r="AN142" s="282" t="n"/>
      <c r="AO142" s="282" t="n"/>
      <c r="AP142" s="282" t="n"/>
      <c r="AQ142" s="282" t="n"/>
      <c r="AR142" s="535" t="n"/>
      <c r="AS142" s="535" t="n"/>
      <c r="AT142" s="282" t="n"/>
      <c r="AU142" s="282" t="n"/>
    </row>
    <row customHeight="1" ht="15.75" r="143" s="452" spans="1:48">
      <c r="A143" s="44" t="n"/>
      <c r="D143" s="535" t="n"/>
      <c r="E143" s="535" t="n"/>
      <c r="F143" s="282" t="n"/>
      <c r="G143" s="282" t="n"/>
      <c r="H143" s="536" t="n"/>
      <c r="I143" s="535" t="n"/>
      <c r="J143" s="282" t="n"/>
      <c r="K143" s="282" t="n"/>
      <c r="L143" s="536" t="n"/>
      <c r="M143" s="535" t="n"/>
      <c r="N143" s="282" t="n"/>
      <c r="O143" s="282" t="n"/>
      <c r="P143" s="535" t="n"/>
      <c r="Q143" s="535" t="n"/>
      <c r="R143" s="282" t="n"/>
      <c r="S143" s="282" t="n"/>
      <c r="T143" s="535" t="n"/>
      <c r="U143" s="535" t="n"/>
      <c r="V143" s="282" t="n"/>
      <c r="W143" s="282" t="n"/>
      <c r="X143" s="536" t="n"/>
      <c r="Y143" s="536" t="n"/>
      <c r="Z143" s="282" t="n"/>
      <c r="AA143" s="282" t="n"/>
      <c r="AB143" s="536" t="n"/>
      <c r="AC143" s="536" t="n"/>
      <c r="AD143" s="282" t="n"/>
      <c r="AE143" s="282" t="n"/>
      <c r="AF143" s="537" t="n"/>
      <c r="AG143" s="537" t="n"/>
      <c r="AH143" s="282" t="n"/>
      <c r="AI143" s="282" t="n"/>
      <c r="AJ143" s="537" t="n"/>
      <c r="AK143" s="537" t="n"/>
      <c r="AL143" s="282" t="n"/>
      <c r="AM143" s="282" t="n"/>
      <c r="AN143" s="282" t="n"/>
      <c r="AO143" s="282" t="n"/>
      <c r="AP143" s="282" t="n"/>
      <c r="AQ143" s="282" t="n"/>
      <c r="AR143" s="535" t="n"/>
      <c r="AS143" s="535" t="n"/>
      <c r="AT143" s="282" t="n"/>
      <c r="AU143" s="282" t="n"/>
    </row>
    <row customHeight="1" ht="15.75" r="144" s="452" spans="1:48">
      <c r="A144" s="44" t="n"/>
      <c r="D144" s="535" t="n"/>
      <c r="E144" s="535" t="n"/>
      <c r="F144" s="282" t="n"/>
      <c r="G144" s="282" t="n"/>
      <c r="H144" s="536" t="n"/>
      <c r="I144" s="535" t="n"/>
      <c r="J144" s="282" t="n"/>
      <c r="K144" s="282" t="n"/>
      <c r="L144" s="536" t="n"/>
      <c r="M144" s="535" t="n"/>
      <c r="N144" s="282" t="n"/>
      <c r="O144" s="282" t="n"/>
      <c r="P144" s="535" t="n"/>
      <c r="Q144" s="535" t="n"/>
      <c r="R144" s="282" t="n"/>
      <c r="S144" s="282" t="n"/>
      <c r="T144" s="535" t="n"/>
      <c r="U144" s="535" t="n"/>
      <c r="V144" s="282" t="n"/>
      <c r="W144" s="282" t="n"/>
      <c r="X144" s="536" t="n"/>
      <c r="Y144" s="536" t="n"/>
      <c r="Z144" s="282" t="n"/>
      <c r="AA144" s="282" t="n"/>
      <c r="AB144" s="536" t="n"/>
      <c r="AC144" s="536" t="n"/>
      <c r="AD144" s="282" t="n"/>
      <c r="AE144" s="282" t="n"/>
      <c r="AF144" s="537" t="n"/>
      <c r="AG144" s="537" t="n"/>
      <c r="AH144" s="282" t="n"/>
      <c r="AI144" s="282" t="n"/>
      <c r="AJ144" s="537" t="n"/>
      <c r="AK144" s="537" t="n"/>
      <c r="AL144" s="282" t="n"/>
      <c r="AM144" s="282" t="n"/>
      <c r="AN144" s="282" t="n"/>
      <c r="AO144" s="282" t="n"/>
      <c r="AP144" s="282" t="n"/>
      <c r="AQ144" s="282" t="n"/>
      <c r="AR144" s="535" t="n"/>
      <c r="AS144" s="535" t="n"/>
      <c r="AT144" s="282" t="n"/>
      <c r="AU144" s="282" t="n"/>
    </row>
    <row customHeight="1" ht="15.75" r="145" s="452" spans="1:48">
      <c r="A145" s="44" t="n"/>
      <c r="D145" s="535" t="n"/>
      <c r="E145" s="535" t="n"/>
      <c r="F145" s="282" t="n"/>
      <c r="G145" s="282" t="n"/>
      <c r="H145" s="536" t="n"/>
      <c r="I145" s="535" t="n"/>
      <c r="J145" s="282" t="n"/>
      <c r="K145" s="282" t="n"/>
      <c r="L145" s="536" t="n"/>
      <c r="M145" s="535" t="n"/>
      <c r="N145" s="282" t="n"/>
      <c r="O145" s="282" t="n"/>
      <c r="P145" s="535" t="n"/>
      <c r="Q145" s="535" t="n"/>
      <c r="R145" s="282" t="n"/>
      <c r="S145" s="282" t="n"/>
      <c r="T145" s="535" t="n"/>
      <c r="U145" s="535" t="n"/>
      <c r="V145" s="282" t="n"/>
      <c r="W145" s="282" t="n"/>
      <c r="X145" s="536" t="n"/>
      <c r="Y145" s="536" t="n"/>
      <c r="Z145" s="282" t="n"/>
      <c r="AA145" s="282" t="n"/>
      <c r="AB145" s="536" t="n"/>
      <c r="AC145" s="536" t="n"/>
      <c r="AD145" s="282" t="n"/>
      <c r="AE145" s="282" t="n"/>
      <c r="AF145" s="537" t="n"/>
      <c r="AG145" s="537" t="n"/>
      <c r="AH145" s="282" t="n"/>
      <c r="AI145" s="282" t="n"/>
      <c r="AJ145" s="537" t="n"/>
      <c r="AK145" s="537" t="n"/>
      <c r="AL145" s="282" t="n"/>
      <c r="AM145" s="282" t="n"/>
      <c r="AN145" s="282" t="n"/>
      <c r="AO145" s="282" t="n"/>
      <c r="AP145" s="282" t="n"/>
      <c r="AQ145" s="282" t="n"/>
      <c r="AR145" s="535" t="n"/>
      <c r="AS145" s="535" t="n"/>
      <c r="AT145" s="282" t="n"/>
      <c r="AU145" s="282" t="n"/>
    </row>
    <row customHeight="1" ht="15.75" r="146" s="452" spans="1:48">
      <c r="A146" s="44" t="n"/>
      <c r="D146" s="535" t="n"/>
      <c r="E146" s="535" t="n"/>
      <c r="F146" s="282" t="n"/>
      <c r="G146" s="282" t="n"/>
      <c r="H146" s="536" t="n"/>
      <c r="I146" s="535" t="n"/>
      <c r="J146" s="282" t="n"/>
      <c r="K146" s="282" t="n"/>
      <c r="L146" s="536" t="n"/>
      <c r="M146" s="535" t="n"/>
      <c r="N146" s="282" t="n"/>
      <c r="O146" s="282" t="n"/>
      <c r="P146" s="535" t="n"/>
      <c r="Q146" s="535" t="n"/>
      <c r="R146" s="282" t="n"/>
      <c r="S146" s="282" t="n"/>
      <c r="T146" s="535" t="n"/>
      <c r="U146" s="535" t="n"/>
      <c r="V146" s="282" t="n"/>
      <c r="W146" s="282" t="n"/>
      <c r="X146" s="536" t="n"/>
      <c r="Y146" s="536" t="n"/>
      <c r="Z146" s="282" t="n"/>
      <c r="AA146" s="282" t="n"/>
      <c r="AB146" s="536" t="n"/>
      <c r="AC146" s="536" t="n"/>
      <c r="AD146" s="282" t="n"/>
      <c r="AE146" s="282" t="n"/>
      <c r="AF146" s="537" t="n"/>
      <c r="AG146" s="537" t="n"/>
      <c r="AH146" s="282" t="n"/>
      <c r="AI146" s="282" t="n"/>
      <c r="AJ146" s="537" t="n"/>
      <c r="AK146" s="537" t="n"/>
      <c r="AL146" s="282" t="n"/>
      <c r="AM146" s="282" t="n"/>
      <c r="AN146" s="282" t="n"/>
      <c r="AO146" s="282" t="n"/>
      <c r="AP146" s="282" t="n"/>
      <c r="AQ146" s="282" t="n"/>
      <c r="AR146" s="535" t="n"/>
      <c r="AS146" s="535" t="n"/>
      <c r="AT146" s="282" t="n"/>
      <c r="AU146" s="282" t="n"/>
    </row>
    <row customHeight="1" ht="15.75" r="147" s="452" spans="1:48">
      <c r="A147" s="44" t="n"/>
      <c r="D147" s="535" t="n"/>
      <c r="E147" s="535" t="n"/>
      <c r="F147" s="282" t="n"/>
      <c r="G147" s="282" t="n"/>
      <c r="H147" s="536" t="n"/>
      <c r="I147" s="535" t="n"/>
      <c r="J147" s="282" t="n"/>
      <c r="K147" s="282" t="n"/>
      <c r="L147" s="536" t="n"/>
      <c r="M147" s="535" t="n"/>
      <c r="N147" s="282" t="n"/>
      <c r="O147" s="282" t="n"/>
      <c r="P147" s="535" t="n"/>
      <c r="Q147" s="535" t="n"/>
      <c r="R147" s="282" t="n"/>
      <c r="S147" s="282" t="n"/>
      <c r="T147" s="535" t="n"/>
      <c r="U147" s="535" t="n"/>
      <c r="V147" s="282" t="n"/>
      <c r="W147" s="282" t="n"/>
      <c r="X147" s="536" t="n"/>
      <c r="Y147" s="536" t="n"/>
      <c r="Z147" s="282" t="n"/>
      <c r="AA147" s="282" t="n"/>
      <c r="AB147" s="536" t="n"/>
      <c r="AC147" s="536" t="n"/>
      <c r="AD147" s="282" t="n"/>
      <c r="AE147" s="282" t="n"/>
      <c r="AF147" s="537" t="n"/>
      <c r="AG147" s="537" t="n"/>
      <c r="AH147" s="282" t="n"/>
      <c r="AI147" s="282" t="n"/>
      <c r="AJ147" s="537" t="n"/>
      <c r="AK147" s="537" t="n"/>
      <c r="AL147" s="282" t="n"/>
      <c r="AM147" s="282" t="n"/>
      <c r="AN147" s="282" t="n"/>
      <c r="AO147" s="282" t="n"/>
      <c r="AP147" s="282" t="n"/>
      <c r="AQ147" s="282" t="n"/>
      <c r="AR147" s="535" t="n"/>
      <c r="AS147" s="535" t="n"/>
      <c r="AT147" s="282" t="n"/>
      <c r="AU147" s="282" t="n"/>
    </row>
    <row customHeight="1" ht="15.75" r="148" s="452" spans="1:48">
      <c r="A148" s="44" t="n"/>
      <c r="D148" s="535" t="n"/>
      <c r="E148" s="535" t="n"/>
      <c r="F148" s="282" t="n"/>
      <c r="G148" s="282" t="n"/>
      <c r="H148" s="536" t="n"/>
      <c r="I148" s="535" t="n"/>
      <c r="J148" s="282" t="n"/>
      <c r="K148" s="282" t="n"/>
      <c r="L148" s="536" t="n"/>
      <c r="M148" s="535" t="n"/>
      <c r="N148" s="282" t="n"/>
      <c r="O148" s="282" t="n"/>
      <c r="P148" s="535" t="n"/>
      <c r="Q148" s="535" t="n"/>
      <c r="R148" s="282" t="n"/>
      <c r="S148" s="282" t="n"/>
      <c r="T148" s="535" t="n"/>
      <c r="U148" s="535" t="n"/>
      <c r="V148" s="282" t="n"/>
      <c r="W148" s="282" t="n"/>
      <c r="X148" s="536" t="n"/>
      <c r="Y148" s="536" t="n"/>
      <c r="Z148" s="282" t="n"/>
      <c r="AA148" s="282" t="n"/>
      <c r="AB148" s="536" t="n"/>
      <c r="AC148" s="536" t="n"/>
      <c r="AD148" s="282" t="n"/>
      <c r="AE148" s="282" t="n"/>
      <c r="AF148" s="537" t="n"/>
      <c r="AG148" s="537" t="n"/>
      <c r="AH148" s="282" t="n"/>
      <c r="AI148" s="282" t="n"/>
      <c r="AJ148" s="537" t="n"/>
      <c r="AK148" s="537" t="n"/>
      <c r="AL148" s="282" t="n"/>
      <c r="AM148" s="282" t="n"/>
      <c r="AN148" s="282" t="n"/>
      <c r="AO148" s="282" t="n"/>
      <c r="AP148" s="282" t="n"/>
      <c r="AQ148" s="282" t="n"/>
      <c r="AR148" s="535" t="n"/>
      <c r="AS148" s="535" t="n"/>
      <c r="AT148" s="282" t="n"/>
      <c r="AU148" s="282" t="n"/>
    </row>
    <row customHeight="1" ht="15.75" r="149" s="452" spans="1:48">
      <c r="A149" s="44" t="n"/>
      <c r="D149" s="535" t="n"/>
      <c r="E149" s="535" t="n"/>
      <c r="F149" s="282" t="n"/>
      <c r="G149" s="282" t="n"/>
      <c r="H149" s="536" t="n"/>
      <c r="I149" s="535" t="n"/>
      <c r="J149" s="282" t="n"/>
      <c r="K149" s="282" t="n"/>
      <c r="L149" s="536" t="n"/>
      <c r="M149" s="535" t="n"/>
      <c r="N149" s="282" t="n"/>
      <c r="O149" s="282" t="n"/>
      <c r="P149" s="535" t="n"/>
      <c r="Q149" s="535" t="n"/>
      <c r="R149" s="282" t="n"/>
      <c r="S149" s="282" t="n"/>
      <c r="T149" s="535" t="n"/>
      <c r="U149" s="535" t="n"/>
      <c r="V149" s="282" t="n"/>
      <c r="W149" s="282" t="n"/>
      <c r="X149" s="536" t="n"/>
      <c r="Y149" s="536" t="n"/>
      <c r="Z149" s="282" t="n"/>
      <c r="AA149" s="282" t="n"/>
      <c r="AB149" s="536" t="n"/>
      <c r="AC149" s="536" t="n"/>
      <c r="AD149" s="282" t="n"/>
      <c r="AE149" s="282" t="n"/>
      <c r="AF149" s="537" t="n"/>
      <c r="AG149" s="537" t="n"/>
      <c r="AH149" s="282" t="n"/>
      <c r="AI149" s="282" t="n"/>
      <c r="AJ149" s="537" t="n"/>
      <c r="AK149" s="537" t="n"/>
      <c r="AL149" s="282" t="n"/>
      <c r="AM149" s="282" t="n"/>
      <c r="AN149" s="282" t="n"/>
      <c r="AO149" s="282" t="n"/>
      <c r="AP149" s="282" t="n"/>
      <c r="AQ149" s="282" t="n"/>
      <c r="AR149" s="535" t="n"/>
      <c r="AS149" s="535" t="n"/>
      <c r="AT149" s="282" t="n"/>
      <c r="AU149" s="282" t="n"/>
    </row>
    <row customHeight="1" ht="15.75" r="150" s="452" spans="1:48">
      <c r="A150" s="44" t="n"/>
      <c r="D150" s="535" t="n"/>
      <c r="E150" s="535" t="n"/>
      <c r="F150" s="282" t="n"/>
      <c r="G150" s="282" t="n"/>
      <c r="H150" s="536" t="n"/>
      <c r="I150" s="535" t="n"/>
      <c r="J150" s="282" t="n"/>
      <c r="K150" s="282" t="n"/>
      <c r="L150" s="536" t="n"/>
      <c r="M150" s="535" t="n"/>
      <c r="N150" s="282" t="n"/>
      <c r="O150" s="282" t="n"/>
      <c r="P150" s="535" t="n"/>
      <c r="Q150" s="535" t="n"/>
      <c r="R150" s="282" t="n"/>
      <c r="S150" s="282" t="n"/>
      <c r="T150" s="535" t="n"/>
      <c r="U150" s="535" t="n"/>
      <c r="V150" s="282" t="n"/>
      <c r="W150" s="282" t="n"/>
      <c r="X150" s="536" t="n"/>
      <c r="Y150" s="536" t="n"/>
      <c r="Z150" s="282" t="n"/>
      <c r="AA150" s="282" t="n"/>
      <c r="AB150" s="536" t="n"/>
      <c r="AC150" s="536" t="n"/>
      <c r="AD150" s="282" t="n"/>
      <c r="AE150" s="282" t="n"/>
      <c r="AF150" s="537" t="n"/>
      <c r="AG150" s="537" t="n"/>
      <c r="AH150" s="282" t="n"/>
      <c r="AI150" s="282" t="n"/>
      <c r="AJ150" s="537" t="n"/>
      <c r="AK150" s="537" t="n"/>
      <c r="AL150" s="282" t="n"/>
      <c r="AM150" s="282" t="n"/>
      <c r="AN150" s="282" t="n"/>
      <c r="AO150" s="282" t="n"/>
      <c r="AP150" s="282" t="n"/>
      <c r="AQ150" s="282" t="n"/>
      <c r="AR150" s="535" t="n"/>
      <c r="AS150" s="535" t="n"/>
      <c r="AT150" s="282" t="n"/>
      <c r="AU150" s="282" t="n"/>
    </row>
    <row customHeight="1" ht="15.75" r="151" s="452" spans="1:48">
      <c r="A151" s="44" t="n"/>
      <c r="D151" s="535" t="n"/>
      <c r="E151" s="535" t="n"/>
      <c r="F151" s="282" t="n"/>
      <c r="G151" s="282" t="n"/>
      <c r="H151" s="536" t="n"/>
      <c r="I151" s="535" t="n"/>
      <c r="J151" s="282" t="n"/>
      <c r="K151" s="282" t="n"/>
      <c r="L151" s="536" t="n"/>
      <c r="M151" s="535" t="n"/>
      <c r="N151" s="282" t="n"/>
      <c r="O151" s="282" t="n"/>
      <c r="P151" s="535" t="n"/>
      <c r="Q151" s="535" t="n"/>
      <c r="R151" s="282" t="n"/>
      <c r="S151" s="282" t="n"/>
      <c r="T151" s="535" t="n"/>
      <c r="U151" s="535" t="n"/>
      <c r="V151" s="282" t="n"/>
      <c r="W151" s="282" t="n"/>
      <c r="X151" s="536" t="n"/>
      <c r="Y151" s="536" t="n"/>
      <c r="Z151" s="282" t="n"/>
      <c r="AA151" s="282" t="n"/>
      <c r="AB151" s="536" t="n"/>
      <c r="AC151" s="536" t="n"/>
      <c r="AD151" s="282" t="n"/>
      <c r="AE151" s="282" t="n"/>
      <c r="AF151" s="537" t="n"/>
      <c r="AG151" s="537" t="n"/>
      <c r="AH151" s="282" t="n"/>
      <c r="AI151" s="282" t="n"/>
      <c r="AJ151" s="537" t="n"/>
      <c r="AK151" s="537" t="n"/>
      <c r="AL151" s="282" t="n"/>
      <c r="AM151" s="282" t="n"/>
      <c r="AN151" s="282" t="n"/>
      <c r="AO151" s="282" t="n"/>
      <c r="AP151" s="282" t="n"/>
      <c r="AQ151" s="282" t="n"/>
      <c r="AR151" s="535" t="n"/>
      <c r="AS151" s="535" t="n"/>
      <c r="AT151" s="282" t="n"/>
      <c r="AU151" s="282" t="n"/>
    </row>
    <row customHeight="1" ht="15.75" r="152" s="452" spans="1:48">
      <c r="A152" s="44" t="n"/>
      <c r="D152" s="535" t="n"/>
      <c r="E152" s="535" t="n"/>
      <c r="F152" s="282" t="n"/>
      <c r="G152" s="282" t="n"/>
      <c r="H152" s="536" t="n"/>
      <c r="I152" s="535" t="n"/>
      <c r="J152" s="282" t="n"/>
      <c r="K152" s="282" t="n"/>
      <c r="L152" s="536" t="n"/>
      <c r="M152" s="535" t="n"/>
      <c r="N152" s="282" t="n"/>
      <c r="O152" s="282" t="n"/>
      <c r="P152" s="535" t="n"/>
      <c r="Q152" s="535" t="n"/>
      <c r="R152" s="282" t="n"/>
      <c r="S152" s="282" t="n"/>
      <c r="T152" s="535" t="n"/>
      <c r="U152" s="535" t="n"/>
      <c r="V152" s="282" t="n"/>
      <c r="W152" s="282" t="n"/>
      <c r="X152" s="536" t="n"/>
      <c r="Y152" s="536" t="n"/>
      <c r="Z152" s="282" t="n"/>
      <c r="AA152" s="282" t="n"/>
      <c r="AB152" s="536" t="n"/>
      <c r="AC152" s="536" t="n"/>
      <c r="AD152" s="282" t="n"/>
      <c r="AE152" s="282" t="n"/>
      <c r="AF152" s="537" t="n"/>
      <c r="AG152" s="537" t="n"/>
      <c r="AH152" s="282" t="n"/>
      <c r="AI152" s="282" t="n"/>
      <c r="AJ152" s="537" t="n"/>
      <c r="AK152" s="537" t="n"/>
      <c r="AL152" s="282" t="n"/>
      <c r="AM152" s="282" t="n"/>
      <c r="AN152" s="282" t="n"/>
      <c r="AO152" s="282" t="n"/>
      <c r="AP152" s="282" t="n"/>
      <c r="AQ152" s="282" t="n"/>
      <c r="AR152" s="535" t="n"/>
      <c r="AS152" s="535" t="n"/>
      <c r="AT152" s="282" t="n"/>
      <c r="AU152" s="282" t="n"/>
    </row>
    <row customHeight="1" ht="15.75" r="153" s="452" spans="1:48">
      <c r="A153" s="44" t="n"/>
      <c r="D153" s="535" t="n"/>
      <c r="E153" s="535" t="n"/>
      <c r="F153" s="282" t="n"/>
      <c r="G153" s="282" t="n"/>
      <c r="H153" s="536" t="n"/>
      <c r="I153" s="535" t="n"/>
      <c r="J153" s="282" t="n"/>
      <c r="K153" s="282" t="n"/>
      <c r="L153" s="536" t="n"/>
      <c r="M153" s="535" t="n"/>
      <c r="N153" s="282" t="n"/>
      <c r="O153" s="282" t="n"/>
      <c r="P153" s="535" t="n"/>
      <c r="Q153" s="535" t="n"/>
      <c r="R153" s="282" t="n"/>
      <c r="S153" s="282" t="n"/>
      <c r="T153" s="535" t="n"/>
      <c r="U153" s="535" t="n"/>
      <c r="V153" s="282" t="n"/>
      <c r="W153" s="282" t="n"/>
      <c r="X153" s="536" t="n"/>
      <c r="Y153" s="536" t="n"/>
      <c r="Z153" s="282" t="n"/>
      <c r="AA153" s="282" t="n"/>
      <c r="AB153" s="536" t="n"/>
      <c r="AC153" s="536" t="n"/>
      <c r="AD153" s="282" t="n"/>
      <c r="AE153" s="282" t="n"/>
      <c r="AF153" s="537" t="n"/>
      <c r="AG153" s="537" t="n"/>
      <c r="AH153" s="282" t="n"/>
      <c r="AI153" s="282" t="n"/>
      <c r="AJ153" s="537" t="n"/>
      <c r="AK153" s="537" t="n"/>
      <c r="AL153" s="282" t="n"/>
      <c r="AM153" s="282" t="n"/>
      <c r="AN153" s="282" t="n"/>
      <c r="AO153" s="282" t="n"/>
      <c r="AP153" s="282" t="n"/>
      <c r="AQ153" s="282" t="n"/>
      <c r="AR153" s="535" t="n"/>
      <c r="AS153" s="535" t="n"/>
      <c r="AT153" s="282" t="n"/>
      <c r="AU153" s="282" t="n"/>
    </row>
    <row customHeight="1" ht="15.75" r="154" s="452" spans="1:48">
      <c r="A154" s="44" t="n"/>
      <c r="D154" s="535" t="n"/>
      <c r="E154" s="535" t="n"/>
      <c r="F154" s="282" t="n"/>
      <c r="G154" s="282" t="n"/>
      <c r="H154" s="536" t="n"/>
      <c r="I154" s="535" t="n"/>
      <c r="J154" s="282" t="n"/>
      <c r="K154" s="282" t="n"/>
      <c r="L154" s="536" t="n"/>
      <c r="M154" s="535" t="n"/>
      <c r="N154" s="282" t="n"/>
      <c r="O154" s="282" t="n"/>
      <c r="P154" s="535" t="n"/>
      <c r="Q154" s="535" t="n"/>
      <c r="R154" s="282" t="n"/>
      <c r="S154" s="282" t="n"/>
      <c r="T154" s="535" t="n"/>
      <c r="U154" s="535" t="n"/>
      <c r="V154" s="282" t="n"/>
      <c r="W154" s="282" t="n"/>
      <c r="X154" s="536" t="n"/>
      <c r="Y154" s="536" t="n"/>
      <c r="Z154" s="282" t="n"/>
      <c r="AA154" s="282" t="n"/>
      <c r="AB154" s="536" t="n"/>
      <c r="AC154" s="536" t="n"/>
      <c r="AD154" s="282" t="n"/>
      <c r="AE154" s="282" t="n"/>
      <c r="AF154" s="537" t="n"/>
      <c r="AG154" s="537" t="n"/>
      <c r="AH154" s="282" t="n"/>
      <c r="AI154" s="282" t="n"/>
      <c r="AJ154" s="537" t="n"/>
      <c r="AK154" s="537" t="n"/>
      <c r="AL154" s="282" t="n"/>
      <c r="AM154" s="282" t="n"/>
      <c r="AN154" s="282" t="n"/>
      <c r="AO154" s="282" t="n"/>
      <c r="AP154" s="282" t="n"/>
      <c r="AQ154" s="282" t="n"/>
      <c r="AR154" s="535" t="n"/>
      <c r="AS154" s="535" t="n"/>
      <c r="AT154" s="282" t="n"/>
      <c r="AU154" s="282" t="n"/>
    </row>
    <row customHeight="1" ht="15.75" r="155" s="452" spans="1:48">
      <c r="A155" s="44" t="n"/>
      <c r="D155" s="535" t="n"/>
      <c r="E155" s="535" t="n"/>
      <c r="F155" s="282" t="n"/>
      <c r="G155" s="282" t="n"/>
      <c r="H155" s="536" t="n"/>
      <c r="I155" s="535" t="n"/>
      <c r="J155" s="282" t="n"/>
      <c r="K155" s="282" t="n"/>
      <c r="L155" s="536" t="n"/>
      <c r="M155" s="535" t="n"/>
      <c r="N155" s="282" t="n"/>
      <c r="O155" s="282" t="n"/>
      <c r="P155" s="535" t="n"/>
      <c r="Q155" s="535" t="n"/>
      <c r="R155" s="282" t="n"/>
      <c r="S155" s="282" t="n"/>
      <c r="T155" s="535" t="n"/>
      <c r="U155" s="535" t="n"/>
      <c r="V155" s="282" t="n"/>
      <c r="W155" s="282" t="n"/>
      <c r="X155" s="536" t="n"/>
      <c r="Y155" s="536" t="n"/>
      <c r="Z155" s="282" t="n"/>
      <c r="AA155" s="282" t="n"/>
      <c r="AB155" s="536" t="n"/>
      <c r="AC155" s="536" t="n"/>
      <c r="AD155" s="282" t="n"/>
      <c r="AE155" s="282" t="n"/>
      <c r="AF155" s="537" t="n"/>
      <c r="AG155" s="537" t="n"/>
      <c r="AH155" s="282" t="n"/>
      <c r="AI155" s="282" t="n"/>
      <c r="AJ155" s="537" t="n"/>
      <c r="AK155" s="537" t="n"/>
      <c r="AL155" s="282" t="n"/>
      <c r="AM155" s="282" t="n"/>
      <c r="AN155" s="282" t="n"/>
      <c r="AO155" s="282" t="n"/>
      <c r="AP155" s="282" t="n"/>
      <c r="AQ155" s="282" t="n"/>
      <c r="AR155" s="535" t="n"/>
      <c r="AS155" s="535" t="n"/>
      <c r="AT155" s="282" t="n"/>
      <c r="AU155" s="282" t="n"/>
    </row>
    <row customHeight="1" ht="15.75" r="156" s="452" spans="1:48">
      <c r="A156" s="44" t="n"/>
      <c r="D156" s="535" t="n"/>
      <c r="E156" s="535" t="n"/>
      <c r="F156" s="282" t="n"/>
      <c r="G156" s="282" t="n"/>
      <c r="H156" s="536" t="n"/>
      <c r="I156" s="535" t="n"/>
      <c r="J156" s="282" t="n"/>
      <c r="K156" s="282" t="n"/>
      <c r="L156" s="536" t="n"/>
      <c r="M156" s="535" t="n"/>
      <c r="N156" s="282" t="n"/>
      <c r="O156" s="282" t="n"/>
      <c r="P156" s="535" t="n"/>
      <c r="Q156" s="535" t="n"/>
      <c r="R156" s="282" t="n"/>
      <c r="S156" s="282" t="n"/>
      <c r="T156" s="535" t="n"/>
      <c r="U156" s="535" t="n"/>
      <c r="V156" s="282" t="n"/>
      <c r="W156" s="282" t="n"/>
      <c r="X156" s="536" t="n"/>
      <c r="Y156" s="536" t="n"/>
      <c r="Z156" s="282" t="n"/>
      <c r="AA156" s="282" t="n"/>
      <c r="AB156" s="536" t="n"/>
      <c r="AC156" s="536" t="n"/>
      <c r="AD156" s="282" t="n"/>
      <c r="AE156" s="282" t="n"/>
      <c r="AF156" s="537" t="n"/>
      <c r="AG156" s="537" t="n"/>
      <c r="AH156" s="282" t="n"/>
      <c r="AI156" s="282" t="n"/>
      <c r="AJ156" s="537" t="n"/>
      <c r="AK156" s="537" t="n"/>
      <c r="AL156" s="282" t="n"/>
      <c r="AM156" s="282" t="n"/>
      <c r="AN156" s="282" t="n"/>
      <c r="AO156" s="282" t="n"/>
      <c r="AP156" s="282" t="n"/>
      <c r="AQ156" s="282" t="n"/>
      <c r="AR156" s="535" t="n"/>
      <c r="AS156" s="535" t="n"/>
      <c r="AT156" s="282" t="n"/>
      <c r="AU156" s="282" t="n"/>
    </row>
    <row customHeight="1" ht="15.75" r="157" s="452" spans="1:48">
      <c r="A157" s="44" t="n"/>
      <c r="D157" s="535" t="n"/>
      <c r="E157" s="535" t="n"/>
      <c r="F157" s="282" t="n"/>
      <c r="G157" s="282" t="n"/>
      <c r="H157" s="536" t="n"/>
      <c r="I157" s="535" t="n"/>
      <c r="J157" s="282" t="n"/>
      <c r="K157" s="282" t="n"/>
      <c r="L157" s="536" t="n"/>
      <c r="M157" s="535" t="n"/>
      <c r="N157" s="282" t="n"/>
      <c r="O157" s="282" t="n"/>
      <c r="P157" s="535" t="n"/>
      <c r="Q157" s="535" t="n"/>
      <c r="R157" s="282" t="n"/>
      <c r="S157" s="282" t="n"/>
      <c r="T157" s="535" t="n"/>
      <c r="U157" s="535" t="n"/>
      <c r="V157" s="282" t="n"/>
      <c r="W157" s="282" t="n"/>
      <c r="X157" s="536" t="n"/>
      <c r="Y157" s="536" t="n"/>
      <c r="Z157" s="282" t="n"/>
      <c r="AA157" s="282" t="n"/>
      <c r="AB157" s="536" t="n"/>
      <c r="AC157" s="536" t="n"/>
      <c r="AD157" s="282" t="n"/>
      <c r="AE157" s="282" t="n"/>
      <c r="AF157" s="537" t="n"/>
      <c r="AG157" s="537" t="n"/>
      <c r="AH157" s="282" t="n"/>
      <c r="AI157" s="282" t="n"/>
      <c r="AJ157" s="537" t="n"/>
      <c r="AK157" s="537" t="n"/>
      <c r="AL157" s="282" t="n"/>
      <c r="AM157" s="282" t="n"/>
      <c r="AN157" s="282" t="n"/>
      <c r="AO157" s="282" t="n"/>
      <c r="AP157" s="282" t="n"/>
      <c r="AQ157" s="282" t="n"/>
      <c r="AR157" s="535" t="n"/>
      <c r="AS157" s="535" t="n"/>
      <c r="AT157" s="282" t="n"/>
      <c r="AU157" s="282" t="n"/>
    </row>
    <row customHeight="1" ht="15.75" r="158" s="452" spans="1:48">
      <c r="A158" s="44" t="n"/>
      <c r="D158" s="535" t="n"/>
      <c r="E158" s="535" t="n"/>
      <c r="F158" s="282" t="n"/>
      <c r="G158" s="282" t="n"/>
      <c r="H158" s="536" t="n"/>
      <c r="I158" s="535" t="n"/>
      <c r="J158" s="282" t="n"/>
      <c r="K158" s="282" t="n"/>
      <c r="L158" s="536" t="n"/>
      <c r="M158" s="535" t="n"/>
      <c r="N158" s="282" t="n"/>
      <c r="O158" s="282" t="n"/>
      <c r="P158" s="535" t="n"/>
      <c r="Q158" s="535" t="n"/>
      <c r="R158" s="282" t="n"/>
      <c r="S158" s="282" t="n"/>
      <c r="T158" s="535" t="n"/>
      <c r="U158" s="535" t="n"/>
      <c r="V158" s="282" t="n"/>
      <c r="W158" s="282" t="n"/>
      <c r="X158" s="536" t="n"/>
      <c r="Y158" s="536" t="n"/>
      <c r="Z158" s="282" t="n"/>
      <c r="AA158" s="282" t="n"/>
      <c r="AB158" s="536" t="n"/>
      <c r="AC158" s="536" t="n"/>
      <c r="AD158" s="282" t="n"/>
      <c r="AE158" s="282" t="n"/>
      <c r="AF158" s="537" t="n"/>
      <c r="AG158" s="537" t="n"/>
      <c r="AH158" s="282" t="n"/>
      <c r="AI158" s="282" t="n"/>
      <c r="AJ158" s="537" t="n"/>
      <c r="AK158" s="537" t="n"/>
      <c r="AL158" s="282" t="n"/>
      <c r="AM158" s="282" t="n"/>
      <c r="AN158" s="282" t="n"/>
      <c r="AO158" s="282" t="n"/>
      <c r="AP158" s="282" t="n"/>
      <c r="AQ158" s="282" t="n"/>
      <c r="AR158" s="535" t="n"/>
      <c r="AS158" s="535" t="n"/>
      <c r="AT158" s="282" t="n"/>
      <c r="AU158" s="282" t="n"/>
    </row>
    <row customHeight="1" ht="15.75" r="159" s="452" spans="1:48">
      <c r="A159" s="44" t="n"/>
      <c r="D159" s="535" t="n"/>
      <c r="E159" s="535" t="n"/>
      <c r="F159" s="282" t="n"/>
      <c r="G159" s="282" t="n"/>
      <c r="H159" s="536" t="n"/>
      <c r="I159" s="535" t="n"/>
      <c r="J159" s="282" t="n"/>
      <c r="K159" s="282" t="n"/>
      <c r="L159" s="536" t="n"/>
      <c r="M159" s="535" t="n"/>
      <c r="N159" s="282" t="n"/>
      <c r="O159" s="282" t="n"/>
      <c r="P159" s="535" t="n"/>
      <c r="Q159" s="535" t="n"/>
      <c r="R159" s="282" t="n"/>
      <c r="S159" s="282" t="n"/>
      <c r="T159" s="535" t="n"/>
      <c r="U159" s="535" t="n"/>
      <c r="V159" s="282" t="n"/>
      <c r="W159" s="282" t="n"/>
      <c r="X159" s="536" t="n"/>
      <c r="Y159" s="536" t="n"/>
      <c r="Z159" s="282" t="n"/>
      <c r="AA159" s="282" t="n"/>
      <c r="AB159" s="536" t="n"/>
      <c r="AC159" s="536" t="n"/>
      <c r="AD159" s="282" t="n"/>
      <c r="AE159" s="282" t="n"/>
      <c r="AF159" s="537" t="n"/>
      <c r="AG159" s="537" t="n"/>
      <c r="AH159" s="282" t="n"/>
      <c r="AI159" s="282" t="n"/>
      <c r="AJ159" s="537" t="n"/>
      <c r="AK159" s="537" t="n"/>
      <c r="AL159" s="282" t="n"/>
      <c r="AM159" s="282" t="n"/>
      <c r="AN159" s="282" t="n"/>
      <c r="AO159" s="282" t="n"/>
      <c r="AP159" s="282" t="n"/>
      <c r="AQ159" s="282" t="n"/>
      <c r="AR159" s="535" t="n"/>
      <c r="AS159" s="535" t="n"/>
      <c r="AT159" s="282" t="n"/>
      <c r="AU159" s="282" t="n"/>
    </row>
    <row customHeight="1" ht="15.75" r="160" s="452" spans="1:48">
      <c r="A160" s="44" t="n"/>
      <c r="D160" s="535" t="n"/>
      <c r="E160" s="535" t="n"/>
      <c r="F160" s="282" t="n"/>
      <c r="G160" s="282" t="n"/>
      <c r="H160" s="536" t="n"/>
      <c r="I160" s="535" t="n"/>
      <c r="J160" s="282" t="n"/>
      <c r="K160" s="282" t="n"/>
      <c r="L160" s="536" t="n"/>
      <c r="M160" s="535" t="n"/>
      <c r="N160" s="282" t="n"/>
      <c r="O160" s="282" t="n"/>
      <c r="P160" s="535" t="n"/>
      <c r="Q160" s="535" t="n"/>
      <c r="R160" s="282" t="n"/>
      <c r="S160" s="282" t="n"/>
      <c r="T160" s="535" t="n"/>
      <c r="U160" s="535" t="n"/>
      <c r="V160" s="282" t="n"/>
      <c r="W160" s="282" t="n"/>
      <c r="X160" s="536" t="n"/>
      <c r="Y160" s="536" t="n"/>
      <c r="Z160" s="282" t="n"/>
      <c r="AA160" s="282" t="n"/>
      <c r="AB160" s="536" t="n"/>
      <c r="AC160" s="536" t="n"/>
      <c r="AD160" s="282" t="n"/>
      <c r="AE160" s="282" t="n"/>
      <c r="AF160" s="537" t="n"/>
      <c r="AG160" s="537" t="n"/>
      <c r="AH160" s="282" t="n"/>
      <c r="AI160" s="282" t="n"/>
      <c r="AJ160" s="537" t="n"/>
      <c r="AK160" s="537" t="n"/>
      <c r="AL160" s="282" t="n"/>
      <c r="AM160" s="282" t="n"/>
      <c r="AN160" s="282" t="n"/>
      <c r="AO160" s="282" t="n"/>
      <c r="AP160" s="282" t="n"/>
      <c r="AQ160" s="282" t="n"/>
      <c r="AR160" s="535" t="n"/>
      <c r="AS160" s="535" t="n"/>
      <c r="AT160" s="282" t="n"/>
      <c r="AU160" s="282" t="n"/>
    </row>
    <row customHeight="1" ht="15.75" r="161" s="452" spans="1:48">
      <c r="A161" s="44" t="n"/>
      <c r="D161" s="535" t="n"/>
      <c r="E161" s="535" t="n"/>
      <c r="F161" s="282" t="n"/>
      <c r="G161" s="282" t="n"/>
      <c r="H161" s="536" t="n"/>
      <c r="I161" s="535" t="n"/>
      <c r="J161" s="282" t="n"/>
      <c r="K161" s="282" t="n"/>
      <c r="L161" s="536" t="n"/>
      <c r="M161" s="535" t="n"/>
      <c r="N161" s="282" t="n"/>
      <c r="O161" s="282" t="n"/>
      <c r="P161" s="535" t="n"/>
      <c r="Q161" s="535" t="n"/>
      <c r="R161" s="282" t="n"/>
      <c r="S161" s="282" t="n"/>
      <c r="T161" s="535" t="n"/>
      <c r="U161" s="535" t="n"/>
      <c r="V161" s="282" t="n"/>
      <c r="W161" s="282" t="n"/>
      <c r="X161" s="536" t="n"/>
      <c r="Y161" s="536" t="n"/>
      <c r="Z161" s="282" t="n"/>
      <c r="AA161" s="282" t="n"/>
      <c r="AB161" s="536" t="n"/>
      <c r="AC161" s="536" t="n"/>
      <c r="AD161" s="282" t="n"/>
      <c r="AE161" s="282" t="n"/>
      <c r="AF161" s="537" t="n"/>
      <c r="AG161" s="537" t="n"/>
      <c r="AH161" s="282" t="n"/>
      <c r="AI161" s="282" t="n"/>
      <c r="AJ161" s="537" t="n"/>
      <c r="AK161" s="537" t="n"/>
      <c r="AL161" s="282" t="n"/>
      <c r="AM161" s="282" t="n"/>
      <c r="AN161" s="282" t="n"/>
      <c r="AO161" s="282" t="n"/>
      <c r="AP161" s="282" t="n"/>
      <c r="AQ161" s="282" t="n"/>
      <c r="AR161" s="535" t="n"/>
      <c r="AS161" s="535" t="n"/>
      <c r="AT161" s="282" t="n"/>
      <c r="AU161" s="282" t="n"/>
    </row>
    <row customHeight="1" ht="15.75" r="162" s="452" spans="1:48">
      <c r="A162" s="44" t="n"/>
      <c r="D162" s="535" t="n"/>
      <c r="E162" s="535" t="n"/>
      <c r="F162" s="282" t="n"/>
      <c r="G162" s="282" t="n"/>
      <c r="H162" s="536" t="n"/>
      <c r="I162" s="535" t="n"/>
      <c r="J162" s="282" t="n"/>
      <c r="K162" s="282" t="n"/>
      <c r="L162" s="536" t="n"/>
      <c r="M162" s="535" t="n"/>
      <c r="N162" s="282" t="n"/>
      <c r="O162" s="282" t="n"/>
      <c r="P162" s="535" t="n"/>
      <c r="Q162" s="535" t="n"/>
      <c r="R162" s="282" t="n"/>
      <c r="S162" s="282" t="n"/>
      <c r="T162" s="535" t="n"/>
      <c r="U162" s="535" t="n"/>
      <c r="V162" s="282" t="n"/>
      <c r="W162" s="282" t="n"/>
      <c r="X162" s="536" t="n"/>
      <c r="Y162" s="536" t="n"/>
      <c r="Z162" s="282" t="n"/>
      <c r="AA162" s="282" t="n"/>
      <c r="AB162" s="536" t="n"/>
      <c r="AC162" s="536" t="n"/>
      <c r="AD162" s="282" t="n"/>
      <c r="AE162" s="282" t="n"/>
      <c r="AF162" s="537" t="n"/>
      <c r="AG162" s="537" t="n"/>
      <c r="AH162" s="282" t="n"/>
      <c r="AI162" s="282" t="n"/>
      <c r="AJ162" s="537" t="n"/>
      <c r="AK162" s="537" t="n"/>
      <c r="AL162" s="282" t="n"/>
      <c r="AM162" s="282" t="n"/>
      <c r="AN162" s="282" t="n"/>
      <c r="AO162" s="282" t="n"/>
      <c r="AP162" s="282" t="n"/>
      <c r="AQ162" s="282" t="n"/>
      <c r="AR162" s="535" t="n"/>
      <c r="AS162" s="535" t="n"/>
      <c r="AT162" s="282" t="n"/>
      <c r="AU162" s="282" t="n"/>
    </row>
    <row customHeight="1" ht="15.75" r="163" s="452" spans="1:48">
      <c r="A163" s="44" t="n"/>
      <c r="D163" s="535" t="n"/>
      <c r="E163" s="535" t="n"/>
      <c r="F163" s="282" t="n"/>
      <c r="G163" s="282" t="n"/>
      <c r="H163" s="536" t="n"/>
      <c r="I163" s="535" t="n"/>
      <c r="J163" s="282" t="n"/>
      <c r="K163" s="282" t="n"/>
      <c r="L163" s="536" t="n"/>
      <c r="M163" s="535" t="n"/>
      <c r="N163" s="282" t="n"/>
      <c r="O163" s="282" t="n"/>
      <c r="P163" s="535" t="n"/>
      <c r="Q163" s="535" t="n"/>
      <c r="R163" s="282" t="n"/>
      <c r="S163" s="282" t="n"/>
      <c r="T163" s="535" t="n"/>
      <c r="U163" s="535" t="n"/>
      <c r="V163" s="282" t="n"/>
      <c r="W163" s="282" t="n"/>
      <c r="X163" s="536" t="n"/>
      <c r="Y163" s="536" t="n"/>
      <c r="Z163" s="282" t="n"/>
      <c r="AA163" s="282" t="n"/>
      <c r="AB163" s="536" t="n"/>
      <c r="AC163" s="536" t="n"/>
      <c r="AD163" s="282" t="n"/>
      <c r="AE163" s="282" t="n"/>
      <c r="AF163" s="537" t="n"/>
      <c r="AG163" s="537" t="n"/>
      <c r="AH163" s="282" t="n"/>
      <c r="AI163" s="282" t="n"/>
      <c r="AJ163" s="537" t="n"/>
      <c r="AK163" s="537" t="n"/>
      <c r="AL163" s="282" t="n"/>
      <c r="AM163" s="282" t="n"/>
      <c r="AN163" s="282" t="n"/>
      <c r="AO163" s="282" t="n"/>
      <c r="AP163" s="282" t="n"/>
      <c r="AQ163" s="282" t="n"/>
      <c r="AR163" s="535" t="n"/>
      <c r="AS163" s="535" t="n"/>
      <c r="AT163" s="282" t="n"/>
      <c r="AU163" s="282" t="n"/>
    </row>
    <row customHeight="1" ht="15.75" r="164" s="452" spans="1:48">
      <c r="A164" s="44" t="n"/>
      <c r="D164" s="535" t="n"/>
      <c r="E164" s="535" t="n"/>
      <c r="F164" s="282" t="n"/>
      <c r="G164" s="282" t="n"/>
      <c r="H164" s="536" t="n"/>
      <c r="I164" s="535" t="n"/>
      <c r="J164" s="282" t="n"/>
      <c r="K164" s="282" t="n"/>
      <c r="L164" s="536" t="n"/>
      <c r="M164" s="535" t="n"/>
      <c r="N164" s="282" t="n"/>
      <c r="O164" s="282" t="n"/>
      <c r="P164" s="535" t="n"/>
      <c r="Q164" s="535" t="n"/>
      <c r="R164" s="282" t="n"/>
      <c r="S164" s="282" t="n"/>
      <c r="T164" s="535" t="n"/>
      <c r="U164" s="535" t="n"/>
      <c r="V164" s="282" t="n"/>
      <c r="W164" s="282" t="n"/>
      <c r="X164" s="536" t="n"/>
      <c r="Y164" s="536" t="n"/>
      <c r="Z164" s="282" t="n"/>
      <c r="AA164" s="282" t="n"/>
      <c r="AB164" s="536" t="n"/>
      <c r="AC164" s="536" t="n"/>
      <c r="AD164" s="282" t="n"/>
      <c r="AE164" s="282" t="n"/>
      <c r="AF164" s="537" t="n"/>
      <c r="AG164" s="537" t="n"/>
      <c r="AH164" s="282" t="n"/>
      <c r="AI164" s="282" t="n"/>
      <c r="AJ164" s="537" t="n"/>
      <c r="AK164" s="537" t="n"/>
      <c r="AL164" s="282" t="n"/>
      <c r="AM164" s="282" t="n"/>
      <c r="AN164" s="282" t="n"/>
      <c r="AO164" s="282" t="n"/>
      <c r="AP164" s="282" t="n"/>
      <c r="AQ164" s="282" t="n"/>
      <c r="AR164" s="535" t="n"/>
      <c r="AS164" s="535" t="n"/>
      <c r="AT164" s="282" t="n"/>
      <c r="AU164" s="282" t="n"/>
    </row>
    <row customHeight="1" ht="15.75" r="165" s="452" spans="1:48">
      <c r="A165" s="44" t="n"/>
      <c r="D165" s="535" t="n"/>
      <c r="E165" s="535" t="n"/>
      <c r="F165" s="282" t="n"/>
      <c r="G165" s="282" t="n"/>
      <c r="H165" s="536" t="n"/>
      <c r="I165" s="535" t="n"/>
      <c r="J165" s="282" t="n"/>
      <c r="K165" s="282" t="n"/>
      <c r="L165" s="536" t="n"/>
      <c r="M165" s="535" t="n"/>
      <c r="N165" s="282" t="n"/>
      <c r="O165" s="282" t="n"/>
      <c r="P165" s="535" t="n"/>
      <c r="Q165" s="535" t="n"/>
      <c r="R165" s="282" t="n"/>
      <c r="S165" s="282" t="n"/>
      <c r="T165" s="535" t="n"/>
      <c r="U165" s="535" t="n"/>
      <c r="V165" s="282" t="n"/>
      <c r="W165" s="282" t="n"/>
      <c r="X165" s="536" t="n"/>
      <c r="Y165" s="536" t="n"/>
      <c r="Z165" s="282" t="n"/>
      <c r="AA165" s="282" t="n"/>
      <c r="AB165" s="536" t="n"/>
      <c r="AC165" s="536" t="n"/>
      <c r="AD165" s="282" t="n"/>
      <c r="AE165" s="282" t="n"/>
      <c r="AF165" s="537" t="n"/>
      <c r="AG165" s="537" t="n"/>
      <c r="AH165" s="282" t="n"/>
      <c r="AI165" s="282" t="n"/>
      <c r="AJ165" s="537" t="n"/>
      <c r="AK165" s="537" t="n"/>
      <c r="AL165" s="282" t="n"/>
      <c r="AM165" s="282" t="n"/>
      <c r="AN165" s="282" t="n"/>
      <c r="AO165" s="282" t="n"/>
      <c r="AP165" s="282" t="n"/>
      <c r="AQ165" s="282" t="n"/>
      <c r="AR165" s="535" t="n"/>
      <c r="AS165" s="535" t="n"/>
      <c r="AT165" s="282" t="n"/>
      <c r="AU165" s="282" t="n"/>
    </row>
    <row customHeight="1" ht="15.75" r="166" s="452" spans="1:48">
      <c r="A166" s="44" t="n"/>
      <c r="D166" s="535" t="n"/>
      <c r="E166" s="535" t="n"/>
      <c r="F166" s="282" t="n"/>
      <c r="G166" s="282" t="n"/>
      <c r="H166" s="536" t="n"/>
      <c r="I166" s="535" t="n"/>
      <c r="J166" s="282" t="n"/>
      <c r="K166" s="282" t="n"/>
      <c r="L166" s="536" t="n"/>
      <c r="M166" s="535" t="n"/>
      <c r="N166" s="282" t="n"/>
      <c r="O166" s="282" t="n"/>
      <c r="P166" s="535" t="n"/>
      <c r="Q166" s="535" t="n"/>
      <c r="R166" s="282" t="n"/>
      <c r="S166" s="282" t="n"/>
      <c r="T166" s="535" t="n"/>
      <c r="U166" s="535" t="n"/>
      <c r="V166" s="282" t="n"/>
      <c r="W166" s="282" t="n"/>
      <c r="X166" s="536" t="n"/>
      <c r="Y166" s="536" t="n"/>
      <c r="Z166" s="282" t="n"/>
      <c r="AA166" s="282" t="n"/>
      <c r="AB166" s="536" t="n"/>
      <c r="AC166" s="536" t="n"/>
      <c r="AD166" s="282" t="n"/>
      <c r="AE166" s="282" t="n"/>
      <c r="AF166" s="537" t="n"/>
      <c r="AG166" s="537" t="n"/>
      <c r="AH166" s="282" t="n"/>
      <c r="AI166" s="282" t="n"/>
      <c r="AJ166" s="537" t="n"/>
      <c r="AK166" s="537" t="n"/>
      <c r="AL166" s="282" t="n"/>
      <c r="AM166" s="282" t="n"/>
      <c r="AN166" s="282" t="n"/>
      <c r="AO166" s="282" t="n"/>
      <c r="AP166" s="282" t="n"/>
      <c r="AQ166" s="282" t="n"/>
      <c r="AR166" s="535" t="n"/>
      <c r="AS166" s="535" t="n"/>
      <c r="AT166" s="282" t="n"/>
      <c r="AU166" s="282" t="n"/>
    </row>
    <row customHeight="1" ht="15.75" r="167" s="452" spans="1:48">
      <c r="A167" s="44" t="n"/>
      <c r="D167" s="535" t="n"/>
      <c r="E167" s="535" t="n"/>
      <c r="F167" s="282" t="n"/>
      <c r="G167" s="282" t="n"/>
      <c r="H167" s="536" t="n"/>
      <c r="I167" s="535" t="n"/>
      <c r="J167" s="282" t="n"/>
      <c r="K167" s="282" t="n"/>
      <c r="L167" s="536" t="n"/>
      <c r="M167" s="535" t="n"/>
      <c r="N167" s="282" t="n"/>
      <c r="O167" s="282" t="n"/>
      <c r="P167" s="535" t="n"/>
      <c r="Q167" s="535" t="n"/>
      <c r="R167" s="282" t="n"/>
      <c r="S167" s="282" t="n"/>
      <c r="T167" s="535" t="n"/>
      <c r="U167" s="535" t="n"/>
      <c r="V167" s="282" t="n"/>
      <c r="W167" s="282" t="n"/>
      <c r="X167" s="536" t="n"/>
      <c r="Y167" s="536" t="n"/>
      <c r="Z167" s="282" t="n"/>
      <c r="AA167" s="282" t="n"/>
      <c r="AB167" s="536" t="n"/>
      <c r="AC167" s="536" t="n"/>
      <c r="AD167" s="282" t="n"/>
      <c r="AE167" s="282" t="n"/>
      <c r="AF167" s="537" t="n"/>
      <c r="AG167" s="537" t="n"/>
      <c r="AH167" s="282" t="n"/>
      <c r="AI167" s="282" t="n"/>
      <c r="AJ167" s="537" t="n"/>
      <c r="AK167" s="537" t="n"/>
      <c r="AL167" s="282" t="n"/>
      <c r="AM167" s="282" t="n"/>
      <c r="AN167" s="282" t="n"/>
      <c r="AO167" s="282" t="n"/>
      <c r="AP167" s="282" t="n"/>
      <c r="AQ167" s="282" t="n"/>
      <c r="AR167" s="535" t="n"/>
      <c r="AS167" s="535" t="n"/>
      <c r="AT167" s="282" t="n"/>
      <c r="AU167" s="282" t="n"/>
    </row>
    <row customHeight="1" ht="15.75" r="168" s="452" spans="1:48">
      <c r="A168" s="44" t="n"/>
      <c r="D168" s="535" t="n"/>
      <c r="E168" s="535" t="n"/>
      <c r="F168" s="282" t="n"/>
      <c r="G168" s="282" t="n"/>
      <c r="H168" s="536" t="n"/>
      <c r="I168" s="535" t="n"/>
      <c r="J168" s="282" t="n"/>
      <c r="K168" s="282" t="n"/>
      <c r="L168" s="536" t="n"/>
      <c r="M168" s="535" t="n"/>
      <c r="N168" s="282" t="n"/>
      <c r="O168" s="282" t="n"/>
      <c r="P168" s="535" t="n"/>
      <c r="Q168" s="535" t="n"/>
      <c r="R168" s="282" t="n"/>
      <c r="S168" s="282" t="n"/>
      <c r="T168" s="535" t="n"/>
      <c r="U168" s="535" t="n"/>
      <c r="V168" s="282" t="n"/>
      <c r="W168" s="282" t="n"/>
      <c r="X168" s="536" t="n"/>
      <c r="Y168" s="536" t="n"/>
      <c r="Z168" s="282" t="n"/>
      <c r="AA168" s="282" t="n"/>
      <c r="AB168" s="536" t="n"/>
      <c r="AC168" s="536" t="n"/>
      <c r="AD168" s="282" t="n"/>
      <c r="AE168" s="282" t="n"/>
      <c r="AF168" s="537" t="n"/>
      <c r="AG168" s="537" t="n"/>
      <c r="AH168" s="282" t="n"/>
      <c r="AI168" s="282" t="n"/>
      <c r="AJ168" s="537" t="n"/>
      <c r="AK168" s="537" t="n"/>
      <c r="AL168" s="282" t="n"/>
      <c r="AM168" s="282" t="n"/>
      <c r="AN168" s="282" t="n"/>
      <c r="AO168" s="282" t="n"/>
      <c r="AP168" s="282" t="n"/>
      <c r="AQ168" s="282" t="n"/>
      <c r="AR168" s="535" t="n"/>
      <c r="AS168" s="535" t="n"/>
      <c r="AT168" s="282" t="n"/>
      <c r="AU168" s="282" t="n"/>
    </row>
    <row customHeight="1" ht="15.75" r="169" s="452" spans="1:48">
      <c r="A169" s="44" t="n"/>
      <c r="D169" s="535" t="n"/>
      <c r="E169" s="535" t="n"/>
      <c r="F169" s="282" t="n"/>
      <c r="G169" s="282" t="n"/>
      <c r="H169" s="536" t="n"/>
      <c r="I169" s="535" t="n"/>
      <c r="J169" s="282" t="n"/>
      <c r="K169" s="282" t="n"/>
      <c r="L169" s="536" t="n"/>
      <c r="M169" s="535" t="n"/>
      <c r="N169" s="282" t="n"/>
      <c r="O169" s="282" t="n"/>
      <c r="P169" s="535" t="n"/>
      <c r="Q169" s="535" t="n"/>
      <c r="R169" s="282" t="n"/>
      <c r="S169" s="282" t="n"/>
      <c r="T169" s="535" t="n"/>
      <c r="U169" s="535" t="n"/>
      <c r="V169" s="282" t="n"/>
      <c r="W169" s="282" t="n"/>
      <c r="X169" s="536" t="n"/>
      <c r="Y169" s="536" t="n"/>
      <c r="Z169" s="282" t="n"/>
      <c r="AA169" s="282" t="n"/>
      <c r="AB169" s="536" t="n"/>
      <c r="AC169" s="536" t="n"/>
      <c r="AD169" s="282" t="n"/>
      <c r="AE169" s="282" t="n"/>
      <c r="AF169" s="537" t="n"/>
      <c r="AG169" s="537" t="n"/>
      <c r="AH169" s="282" t="n"/>
      <c r="AI169" s="282" t="n"/>
      <c r="AJ169" s="537" t="n"/>
      <c r="AK169" s="537" t="n"/>
      <c r="AL169" s="282" t="n"/>
      <c r="AM169" s="282" t="n"/>
      <c r="AN169" s="282" t="n"/>
      <c r="AO169" s="282" t="n"/>
      <c r="AP169" s="282" t="n"/>
      <c r="AQ169" s="282" t="n"/>
      <c r="AR169" s="535" t="n"/>
      <c r="AS169" s="535" t="n"/>
      <c r="AT169" s="282" t="n"/>
      <c r="AU169" s="282" t="n"/>
    </row>
    <row customHeight="1" ht="15.75" r="170" s="452" spans="1:48">
      <c r="A170" s="44" t="n"/>
      <c r="D170" s="535" t="n"/>
      <c r="E170" s="535" t="n"/>
      <c r="F170" s="282" t="n"/>
      <c r="G170" s="282" t="n"/>
      <c r="H170" s="536" t="n"/>
      <c r="I170" s="535" t="n"/>
      <c r="J170" s="282" t="n"/>
      <c r="K170" s="282" t="n"/>
      <c r="L170" s="536" t="n"/>
      <c r="M170" s="535" t="n"/>
      <c r="N170" s="282" t="n"/>
      <c r="O170" s="282" t="n"/>
      <c r="P170" s="535" t="n"/>
      <c r="Q170" s="535" t="n"/>
      <c r="R170" s="282" t="n"/>
      <c r="S170" s="282" t="n"/>
      <c r="T170" s="535" t="n"/>
      <c r="U170" s="535" t="n"/>
      <c r="V170" s="282" t="n"/>
      <c r="W170" s="282" t="n"/>
      <c r="X170" s="536" t="n"/>
      <c r="Y170" s="536" t="n"/>
      <c r="Z170" s="282" t="n"/>
      <c r="AA170" s="282" t="n"/>
      <c r="AB170" s="536" t="n"/>
      <c r="AC170" s="536" t="n"/>
      <c r="AD170" s="282" t="n"/>
      <c r="AE170" s="282" t="n"/>
      <c r="AF170" s="537" t="n"/>
      <c r="AG170" s="537" t="n"/>
      <c r="AH170" s="282" t="n"/>
      <c r="AI170" s="282" t="n"/>
      <c r="AJ170" s="537" t="n"/>
      <c r="AK170" s="537" t="n"/>
      <c r="AL170" s="282" t="n"/>
      <c r="AM170" s="282" t="n"/>
      <c r="AN170" s="282" t="n"/>
      <c r="AO170" s="282" t="n"/>
      <c r="AP170" s="282" t="n"/>
      <c r="AQ170" s="282" t="n"/>
      <c r="AR170" s="535" t="n"/>
      <c r="AS170" s="535" t="n"/>
      <c r="AT170" s="282" t="n"/>
      <c r="AU170" s="282" t="n"/>
    </row>
    <row customHeight="1" ht="15.75" r="171" s="452" spans="1:48">
      <c r="A171" s="44" t="n"/>
      <c r="D171" s="535" t="n"/>
      <c r="E171" s="535" t="n"/>
      <c r="F171" s="282" t="n"/>
      <c r="G171" s="282" t="n"/>
      <c r="H171" s="536" t="n"/>
      <c r="I171" s="535" t="n"/>
      <c r="J171" s="282" t="n"/>
      <c r="K171" s="282" t="n"/>
      <c r="L171" s="536" t="n"/>
      <c r="M171" s="535" t="n"/>
      <c r="N171" s="282" t="n"/>
      <c r="O171" s="282" t="n"/>
      <c r="P171" s="535" t="n"/>
      <c r="Q171" s="535" t="n"/>
      <c r="R171" s="282" t="n"/>
      <c r="S171" s="282" t="n"/>
      <c r="T171" s="535" t="n"/>
      <c r="U171" s="535" t="n"/>
      <c r="V171" s="282" t="n"/>
      <c r="W171" s="282" t="n"/>
      <c r="X171" s="536" t="n"/>
      <c r="Y171" s="536" t="n"/>
      <c r="Z171" s="282" t="n"/>
      <c r="AA171" s="282" t="n"/>
      <c r="AB171" s="536" t="n"/>
      <c r="AC171" s="536" t="n"/>
      <c r="AD171" s="282" t="n"/>
      <c r="AE171" s="282" t="n"/>
      <c r="AF171" s="537" t="n"/>
      <c r="AG171" s="537" t="n"/>
      <c r="AH171" s="282" t="n"/>
      <c r="AI171" s="282" t="n"/>
      <c r="AJ171" s="537" t="n"/>
      <c r="AK171" s="537" t="n"/>
      <c r="AL171" s="282" t="n"/>
      <c r="AM171" s="282" t="n"/>
      <c r="AN171" s="282" t="n"/>
      <c r="AO171" s="282" t="n"/>
      <c r="AP171" s="282" t="n"/>
      <c r="AQ171" s="282" t="n"/>
      <c r="AR171" s="535" t="n"/>
      <c r="AS171" s="535" t="n"/>
      <c r="AT171" s="282" t="n"/>
      <c r="AU171" s="282" t="n"/>
    </row>
    <row customHeight="1" ht="15.75" r="172" s="452" spans="1:48">
      <c r="A172" s="44" t="n"/>
      <c r="D172" s="535" t="n"/>
      <c r="E172" s="535" t="n"/>
      <c r="F172" s="282" t="n"/>
      <c r="G172" s="282" t="n"/>
      <c r="H172" s="536" t="n"/>
      <c r="I172" s="535" t="n"/>
      <c r="J172" s="282" t="n"/>
      <c r="K172" s="282" t="n"/>
      <c r="L172" s="536" t="n"/>
      <c r="M172" s="535" t="n"/>
      <c r="N172" s="282" t="n"/>
      <c r="O172" s="282" t="n"/>
      <c r="P172" s="535" t="n"/>
      <c r="Q172" s="535" t="n"/>
      <c r="R172" s="282" t="n"/>
      <c r="S172" s="282" t="n"/>
      <c r="T172" s="535" t="n"/>
      <c r="U172" s="535" t="n"/>
      <c r="V172" s="282" t="n"/>
      <c r="W172" s="282" t="n"/>
      <c r="X172" s="536" t="n"/>
      <c r="Y172" s="536" t="n"/>
      <c r="Z172" s="282" t="n"/>
      <c r="AA172" s="282" t="n"/>
      <c r="AB172" s="536" t="n"/>
      <c r="AC172" s="536" t="n"/>
      <c r="AD172" s="282" t="n"/>
      <c r="AE172" s="282" t="n"/>
      <c r="AF172" s="537" t="n"/>
      <c r="AG172" s="537" t="n"/>
      <c r="AH172" s="282" t="n"/>
      <c r="AI172" s="282" t="n"/>
      <c r="AJ172" s="537" t="n"/>
      <c r="AK172" s="537" t="n"/>
      <c r="AL172" s="282" t="n"/>
      <c r="AM172" s="282" t="n"/>
      <c r="AN172" s="282" t="n"/>
      <c r="AO172" s="282" t="n"/>
      <c r="AP172" s="282" t="n"/>
      <c r="AQ172" s="282" t="n"/>
      <c r="AR172" s="535" t="n"/>
      <c r="AS172" s="535" t="n"/>
      <c r="AT172" s="282" t="n"/>
      <c r="AU172" s="282" t="n"/>
    </row>
    <row customHeight="1" ht="15.75" r="173" s="452" spans="1:48">
      <c r="A173" s="44" t="n"/>
      <c r="D173" s="535" t="n"/>
      <c r="E173" s="535" t="n"/>
      <c r="F173" s="282" t="n"/>
      <c r="G173" s="282" t="n"/>
      <c r="H173" s="536" t="n"/>
      <c r="I173" s="535" t="n"/>
      <c r="J173" s="282" t="n"/>
      <c r="K173" s="282" t="n"/>
      <c r="L173" s="536" t="n"/>
      <c r="M173" s="535" t="n"/>
      <c r="N173" s="282" t="n"/>
      <c r="O173" s="282" t="n"/>
      <c r="P173" s="535" t="n"/>
      <c r="Q173" s="535" t="n"/>
      <c r="R173" s="282" t="n"/>
      <c r="S173" s="282" t="n"/>
      <c r="T173" s="535" t="n"/>
      <c r="U173" s="535" t="n"/>
      <c r="V173" s="282" t="n"/>
      <c r="W173" s="282" t="n"/>
      <c r="X173" s="536" t="n"/>
      <c r="Y173" s="536" t="n"/>
      <c r="Z173" s="282" t="n"/>
      <c r="AA173" s="282" t="n"/>
      <c r="AB173" s="536" t="n"/>
      <c r="AC173" s="536" t="n"/>
      <c r="AD173" s="282" t="n"/>
      <c r="AE173" s="282" t="n"/>
      <c r="AF173" s="537" t="n"/>
      <c r="AG173" s="537" t="n"/>
      <c r="AH173" s="282" t="n"/>
      <c r="AI173" s="282" t="n"/>
      <c r="AJ173" s="537" t="n"/>
      <c r="AK173" s="537" t="n"/>
      <c r="AL173" s="282" t="n"/>
      <c r="AM173" s="282" t="n"/>
      <c r="AN173" s="282" t="n"/>
      <c r="AO173" s="282" t="n"/>
      <c r="AP173" s="282" t="n"/>
      <c r="AQ173" s="282" t="n"/>
      <c r="AR173" s="535" t="n"/>
      <c r="AS173" s="535" t="n"/>
      <c r="AT173" s="282" t="n"/>
      <c r="AU173" s="282" t="n"/>
    </row>
    <row customHeight="1" ht="15.75" r="174" s="452" spans="1:48">
      <c r="A174" s="44" t="n"/>
      <c r="D174" s="535" t="n"/>
      <c r="E174" s="535" t="n"/>
      <c r="F174" s="282" t="n"/>
      <c r="G174" s="282" t="n"/>
      <c r="H174" s="536" t="n"/>
      <c r="I174" s="535" t="n"/>
      <c r="J174" s="282" t="n"/>
      <c r="K174" s="282" t="n"/>
      <c r="L174" s="536" t="n"/>
      <c r="M174" s="535" t="n"/>
      <c r="N174" s="282" t="n"/>
      <c r="O174" s="282" t="n"/>
      <c r="P174" s="535" t="n"/>
      <c r="Q174" s="535" t="n"/>
      <c r="R174" s="282" t="n"/>
      <c r="S174" s="282" t="n"/>
      <c r="T174" s="535" t="n"/>
      <c r="U174" s="535" t="n"/>
      <c r="V174" s="282" t="n"/>
      <c r="W174" s="282" t="n"/>
      <c r="X174" s="536" t="n"/>
      <c r="Y174" s="536" t="n"/>
      <c r="Z174" s="282" t="n"/>
      <c r="AA174" s="282" t="n"/>
      <c r="AB174" s="536" t="n"/>
      <c r="AC174" s="536" t="n"/>
      <c r="AD174" s="282" t="n"/>
      <c r="AE174" s="282" t="n"/>
      <c r="AF174" s="537" t="n"/>
      <c r="AG174" s="537" t="n"/>
      <c r="AH174" s="282" t="n"/>
      <c r="AI174" s="282" t="n"/>
      <c r="AJ174" s="537" t="n"/>
      <c r="AK174" s="537" t="n"/>
      <c r="AL174" s="282" t="n"/>
      <c r="AM174" s="282" t="n"/>
      <c r="AN174" s="282" t="n"/>
      <c r="AO174" s="282" t="n"/>
      <c r="AP174" s="282" t="n"/>
      <c r="AQ174" s="282" t="n"/>
      <c r="AR174" s="535" t="n"/>
      <c r="AS174" s="535" t="n"/>
      <c r="AT174" s="282" t="n"/>
      <c r="AU174" s="282" t="n"/>
    </row>
    <row customHeight="1" ht="15.75" r="175" s="452" spans="1:48">
      <c r="A175" s="44" t="n"/>
      <c r="D175" s="535" t="n"/>
      <c r="E175" s="535" t="n"/>
      <c r="F175" s="282" t="n"/>
      <c r="G175" s="282" t="n"/>
      <c r="H175" s="536" t="n"/>
      <c r="I175" s="535" t="n"/>
      <c r="J175" s="282" t="n"/>
      <c r="K175" s="282" t="n"/>
      <c r="L175" s="536" t="n"/>
      <c r="M175" s="535" t="n"/>
      <c r="N175" s="282" t="n"/>
      <c r="O175" s="282" t="n"/>
      <c r="P175" s="535" t="n"/>
      <c r="Q175" s="535" t="n"/>
      <c r="R175" s="282" t="n"/>
      <c r="S175" s="282" t="n"/>
      <c r="T175" s="535" t="n"/>
      <c r="U175" s="535" t="n"/>
      <c r="V175" s="282" t="n"/>
      <c r="W175" s="282" t="n"/>
      <c r="X175" s="536" t="n"/>
      <c r="Y175" s="536" t="n"/>
      <c r="Z175" s="282" t="n"/>
      <c r="AA175" s="282" t="n"/>
      <c r="AB175" s="536" t="n"/>
      <c r="AC175" s="536" t="n"/>
      <c r="AD175" s="282" t="n"/>
      <c r="AE175" s="282" t="n"/>
      <c r="AF175" s="537" t="n"/>
      <c r="AG175" s="537" t="n"/>
      <c r="AH175" s="282" t="n"/>
      <c r="AI175" s="282" t="n"/>
      <c r="AJ175" s="537" t="n"/>
      <c r="AK175" s="537" t="n"/>
      <c r="AL175" s="282" t="n"/>
      <c r="AM175" s="282" t="n"/>
      <c r="AN175" s="282" t="n"/>
      <c r="AO175" s="282" t="n"/>
      <c r="AP175" s="282" t="n"/>
      <c r="AQ175" s="282" t="n"/>
      <c r="AR175" s="535" t="n"/>
      <c r="AS175" s="535" t="n"/>
      <c r="AT175" s="282" t="n"/>
      <c r="AU175" s="282" t="n"/>
    </row>
    <row customHeight="1" ht="15.75" r="176" s="452" spans="1:48">
      <c r="A176" s="44" t="n"/>
      <c r="D176" s="535" t="n"/>
      <c r="E176" s="535" t="n"/>
      <c r="F176" s="282" t="n"/>
      <c r="G176" s="282" t="n"/>
      <c r="H176" s="536" t="n"/>
      <c r="I176" s="535" t="n"/>
      <c r="J176" s="282" t="n"/>
      <c r="K176" s="282" t="n"/>
      <c r="L176" s="536" t="n"/>
      <c r="M176" s="535" t="n"/>
      <c r="N176" s="282" t="n"/>
      <c r="O176" s="282" t="n"/>
      <c r="P176" s="535" t="n"/>
      <c r="Q176" s="535" t="n"/>
      <c r="R176" s="282" t="n"/>
      <c r="S176" s="282" t="n"/>
      <c r="T176" s="535" t="n"/>
      <c r="U176" s="535" t="n"/>
      <c r="V176" s="282" t="n"/>
      <c r="W176" s="282" t="n"/>
      <c r="X176" s="536" t="n"/>
      <c r="Y176" s="536" t="n"/>
      <c r="Z176" s="282" t="n"/>
      <c r="AA176" s="282" t="n"/>
      <c r="AB176" s="536" t="n"/>
      <c r="AC176" s="536" t="n"/>
      <c r="AD176" s="282" t="n"/>
      <c r="AE176" s="282" t="n"/>
      <c r="AF176" s="537" t="n"/>
      <c r="AG176" s="537" t="n"/>
      <c r="AH176" s="282" t="n"/>
      <c r="AI176" s="282" t="n"/>
      <c r="AJ176" s="537" t="n"/>
      <c r="AK176" s="537" t="n"/>
      <c r="AL176" s="282" t="n"/>
      <c r="AM176" s="282" t="n"/>
      <c r="AN176" s="282" t="n"/>
      <c r="AO176" s="282" t="n"/>
      <c r="AP176" s="282" t="n"/>
      <c r="AQ176" s="282" t="n"/>
      <c r="AR176" s="535" t="n"/>
      <c r="AS176" s="535" t="n"/>
      <c r="AT176" s="282" t="n"/>
      <c r="AU176" s="282" t="n"/>
    </row>
    <row customHeight="1" ht="15.75" r="177" s="452" spans="1:48">
      <c r="A177" s="44" t="n"/>
      <c r="D177" s="535" t="n"/>
      <c r="E177" s="535" t="n"/>
      <c r="F177" s="282" t="n"/>
      <c r="G177" s="282" t="n"/>
      <c r="H177" s="536" t="n"/>
      <c r="I177" s="535" t="n"/>
      <c r="J177" s="282" t="n"/>
      <c r="K177" s="282" t="n"/>
      <c r="L177" s="536" t="n"/>
      <c r="M177" s="535" t="n"/>
      <c r="N177" s="282" t="n"/>
      <c r="O177" s="282" t="n"/>
      <c r="P177" s="535" t="n"/>
      <c r="Q177" s="535" t="n"/>
      <c r="R177" s="282" t="n"/>
      <c r="S177" s="282" t="n"/>
      <c r="T177" s="535" t="n"/>
      <c r="U177" s="535" t="n"/>
      <c r="V177" s="282" t="n"/>
      <c r="W177" s="282" t="n"/>
      <c r="X177" s="536" t="n"/>
      <c r="Y177" s="536" t="n"/>
      <c r="Z177" s="282" t="n"/>
      <c r="AA177" s="282" t="n"/>
      <c r="AB177" s="536" t="n"/>
      <c r="AC177" s="536" t="n"/>
      <c r="AD177" s="282" t="n"/>
      <c r="AE177" s="282" t="n"/>
      <c r="AF177" s="537" t="n"/>
      <c r="AG177" s="537" t="n"/>
      <c r="AH177" s="282" t="n"/>
      <c r="AI177" s="282" t="n"/>
      <c r="AJ177" s="537" t="n"/>
      <c r="AK177" s="537" t="n"/>
      <c r="AL177" s="282" t="n"/>
      <c r="AM177" s="282" t="n"/>
      <c r="AN177" s="282" t="n"/>
      <c r="AO177" s="282" t="n"/>
      <c r="AP177" s="282" t="n"/>
      <c r="AQ177" s="282" t="n"/>
      <c r="AR177" s="535" t="n"/>
      <c r="AS177" s="535" t="n"/>
      <c r="AT177" s="282" t="n"/>
      <c r="AU177" s="282" t="n"/>
    </row>
    <row customHeight="1" ht="15.75" r="178" s="452" spans="1:48">
      <c r="A178" s="44" t="n"/>
      <c r="D178" s="535" t="n"/>
      <c r="E178" s="535" t="n"/>
      <c r="F178" s="282" t="n"/>
      <c r="G178" s="282" t="n"/>
      <c r="H178" s="536" t="n"/>
      <c r="I178" s="535" t="n"/>
      <c r="J178" s="282" t="n"/>
      <c r="K178" s="282" t="n"/>
      <c r="L178" s="536" t="n"/>
      <c r="M178" s="535" t="n"/>
      <c r="N178" s="282" t="n"/>
      <c r="O178" s="282" t="n"/>
      <c r="P178" s="535" t="n"/>
      <c r="Q178" s="535" t="n"/>
      <c r="R178" s="282" t="n"/>
      <c r="S178" s="282" t="n"/>
      <c r="T178" s="535" t="n"/>
      <c r="U178" s="535" t="n"/>
      <c r="V178" s="282" t="n"/>
      <c r="W178" s="282" t="n"/>
      <c r="X178" s="536" t="n"/>
      <c r="Y178" s="536" t="n"/>
      <c r="Z178" s="282" t="n"/>
      <c r="AA178" s="282" t="n"/>
      <c r="AB178" s="536" t="n"/>
      <c r="AC178" s="536" t="n"/>
      <c r="AD178" s="282" t="n"/>
      <c r="AE178" s="282" t="n"/>
      <c r="AF178" s="537" t="n"/>
      <c r="AG178" s="537" t="n"/>
      <c r="AH178" s="282" t="n"/>
      <c r="AI178" s="282" t="n"/>
      <c r="AJ178" s="537" t="n"/>
      <c r="AK178" s="537" t="n"/>
      <c r="AL178" s="282" t="n"/>
      <c r="AM178" s="282" t="n"/>
      <c r="AN178" s="282" t="n"/>
      <c r="AO178" s="282" t="n"/>
      <c r="AP178" s="282" t="n"/>
      <c r="AQ178" s="282" t="n"/>
      <c r="AR178" s="535" t="n"/>
      <c r="AS178" s="535" t="n"/>
      <c r="AT178" s="282" t="n"/>
      <c r="AU178" s="282" t="n"/>
    </row>
    <row customHeight="1" ht="15.75" r="179" s="452" spans="1:48">
      <c r="A179" s="44" t="n"/>
      <c r="D179" s="535" t="n"/>
      <c r="E179" s="535" t="n"/>
      <c r="F179" s="282" t="n"/>
      <c r="G179" s="282" t="n"/>
      <c r="H179" s="536" t="n"/>
      <c r="I179" s="535" t="n"/>
      <c r="J179" s="282" t="n"/>
      <c r="K179" s="282" t="n"/>
      <c r="L179" s="536" t="n"/>
      <c r="M179" s="535" t="n"/>
      <c r="N179" s="282" t="n"/>
      <c r="O179" s="282" t="n"/>
      <c r="P179" s="535" t="n"/>
      <c r="Q179" s="535" t="n"/>
      <c r="R179" s="282" t="n"/>
      <c r="S179" s="282" t="n"/>
      <c r="T179" s="535" t="n"/>
      <c r="U179" s="535" t="n"/>
      <c r="V179" s="282" t="n"/>
      <c r="W179" s="282" t="n"/>
      <c r="X179" s="536" t="n"/>
      <c r="Y179" s="536" t="n"/>
      <c r="Z179" s="282" t="n"/>
      <c r="AA179" s="282" t="n"/>
      <c r="AB179" s="536" t="n"/>
      <c r="AC179" s="536" t="n"/>
      <c r="AD179" s="282" t="n"/>
      <c r="AE179" s="282" t="n"/>
      <c r="AF179" s="537" t="n"/>
      <c r="AG179" s="537" t="n"/>
      <c r="AH179" s="282" t="n"/>
      <c r="AI179" s="282" t="n"/>
      <c r="AJ179" s="537" t="n"/>
      <c r="AK179" s="537" t="n"/>
      <c r="AL179" s="282" t="n"/>
      <c r="AM179" s="282" t="n"/>
      <c r="AN179" s="282" t="n"/>
      <c r="AO179" s="282" t="n"/>
      <c r="AP179" s="282" t="n"/>
      <c r="AQ179" s="282" t="n"/>
      <c r="AR179" s="535" t="n"/>
      <c r="AS179" s="535" t="n"/>
      <c r="AT179" s="282" t="n"/>
      <c r="AU179" s="282" t="n"/>
    </row>
    <row customHeight="1" ht="15.75" r="180" s="452" spans="1:48">
      <c r="A180" s="44" t="n"/>
      <c r="D180" s="535" t="n"/>
      <c r="E180" s="535" t="n"/>
      <c r="F180" s="282" t="n"/>
      <c r="G180" s="282" t="n"/>
      <c r="H180" s="536" t="n"/>
      <c r="I180" s="535" t="n"/>
      <c r="J180" s="282" t="n"/>
      <c r="K180" s="282" t="n"/>
      <c r="L180" s="536" t="n"/>
      <c r="M180" s="535" t="n"/>
      <c r="N180" s="282" t="n"/>
      <c r="O180" s="282" t="n"/>
      <c r="P180" s="535" t="n"/>
      <c r="Q180" s="535" t="n"/>
      <c r="R180" s="282" t="n"/>
      <c r="S180" s="282" t="n"/>
      <c r="T180" s="535" t="n"/>
      <c r="U180" s="535" t="n"/>
      <c r="V180" s="282" t="n"/>
      <c r="W180" s="282" t="n"/>
      <c r="X180" s="536" t="n"/>
      <c r="Y180" s="536" t="n"/>
      <c r="Z180" s="282" t="n"/>
      <c r="AA180" s="282" t="n"/>
      <c r="AB180" s="536" t="n"/>
      <c r="AC180" s="536" t="n"/>
      <c r="AD180" s="282" t="n"/>
      <c r="AE180" s="282" t="n"/>
      <c r="AF180" s="537" t="n"/>
      <c r="AG180" s="537" t="n"/>
      <c r="AH180" s="282" t="n"/>
      <c r="AI180" s="282" t="n"/>
      <c r="AJ180" s="537" t="n"/>
      <c r="AK180" s="537" t="n"/>
      <c r="AL180" s="282" t="n"/>
      <c r="AM180" s="282" t="n"/>
      <c r="AN180" s="282" t="n"/>
      <c r="AO180" s="282" t="n"/>
      <c r="AP180" s="282" t="n"/>
      <c r="AQ180" s="282" t="n"/>
      <c r="AR180" s="535" t="n"/>
      <c r="AS180" s="535" t="n"/>
      <c r="AT180" s="282" t="n"/>
      <c r="AU180" s="282" t="n"/>
    </row>
    <row customHeight="1" ht="15.75" r="181" s="452" spans="1:48">
      <c r="A181" s="44" t="n"/>
      <c r="D181" s="535" t="n"/>
      <c r="E181" s="535" t="n"/>
      <c r="F181" s="282" t="n"/>
      <c r="G181" s="282" t="n"/>
      <c r="H181" s="536" t="n"/>
      <c r="I181" s="535" t="n"/>
      <c r="J181" s="282" t="n"/>
      <c r="K181" s="282" t="n"/>
      <c r="L181" s="536" t="n"/>
      <c r="M181" s="535" t="n"/>
      <c r="N181" s="282" t="n"/>
      <c r="O181" s="282" t="n"/>
      <c r="P181" s="535" t="n"/>
      <c r="Q181" s="535" t="n"/>
      <c r="R181" s="282" t="n"/>
      <c r="S181" s="282" t="n"/>
      <c r="T181" s="535" t="n"/>
      <c r="U181" s="535" t="n"/>
      <c r="V181" s="282" t="n"/>
      <c r="W181" s="282" t="n"/>
      <c r="X181" s="536" t="n"/>
      <c r="Y181" s="536" t="n"/>
      <c r="Z181" s="282" t="n"/>
      <c r="AA181" s="282" t="n"/>
      <c r="AB181" s="536" t="n"/>
      <c r="AC181" s="536" t="n"/>
      <c r="AD181" s="282" t="n"/>
      <c r="AE181" s="282" t="n"/>
      <c r="AF181" s="537" t="n"/>
      <c r="AG181" s="537" t="n"/>
      <c r="AH181" s="282" t="n"/>
      <c r="AI181" s="282" t="n"/>
      <c r="AJ181" s="537" t="n"/>
      <c r="AK181" s="537" t="n"/>
      <c r="AL181" s="282" t="n"/>
      <c r="AM181" s="282" t="n"/>
      <c r="AN181" s="282" t="n"/>
      <c r="AO181" s="282" t="n"/>
      <c r="AP181" s="282" t="n"/>
      <c r="AQ181" s="282" t="n"/>
      <c r="AR181" s="535" t="n"/>
      <c r="AS181" s="535" t="n"/>
      <c r="AT181" s="282" t="n"/>
      <c r="AU181" s="282" t="n"/>
    </row>
    <row customHeight="1" ht="15.75" r="182" s="452" spans="1:48">
      <c r="A182" s="44" t="n"/>
      <c r="D182" s="535" t="n"/>
      <c r="E182" s="535" t="n"/>
      <c r="F182" s="282" t="n"/>
      <c r="G182" s="282" t="n"/>
      <c r="H182" s="536" t="n"/>
      <c r="I182" s="535" t="n"/>
      <c r="J182" s="282" t="n"/>
      <c r="K182" s="282" t="n"/>
      <c r="L182" s="536" t="n"/>
      <c r="M182" s="535" t="n"/>
      <c r="N182" s="282" t="n"/>
      <c r="O182" s="282" t="n"/>
      <c r="P182" s="535" t="n"/>
      <c r="Q182" s="535" t="n"/>
      <c r="R182" s="282" t="n"/>
      <c r="S182" s="282" t="n"/>
      <c r="T182" s="535" t="n"/>
      <c r="U182" s="535" t="n"/>
      <c r="V182" s="282" t="n"/>
      <c r="W182" s="282" t="n"/>
      <c r="X182" s="536" t="n"/>
      <c r="Y182" s="536" t="n"/>
      <c r="Z182" s="282" t="n"/>
      <c r="AA182" s="282" t="n"/>
      <c r="AB182" s="536" t="n"/>
      <c r="AC182" s="536" t="n"/>
      <c r="AD182" s="282" t="n"/>
      <c r="AE182" s="282" t="n"/>
      <c r="AF182" s="537" t="n"/>
      <c r="AG182" s="537" t="n"/>
      <c r="AH182" s="282" t="n"/>
      <c r="AI182" s="282" t="n"/>
      <c r="AJ182" s="537" t="n"/>
      <c r="AK182" s="537" t="n"/>
      <c r="AL182" s="282" t="n"/>
      <c r="AM182" s="282" t="n"/>
      <c r="AN182" s="282" t="n"/>
      <c r="AO182" s="282" t="n"/>
      <c r="AP182" s="282" t="n"/>
      <c r="AQ182" s="282" t="n"/>
      <c r="AR182" s="535" t="n"/>
      <c r="AS182" s="535" t="n"/>
      <c r="AT182" s="282" t="n"/>
      <c r="AU182" s="282" t="n"/>
    </row>
    <row customHeight="1" ht="15.75" r="183" s="452" spans="1:48">
      <c r="A183" s="44" t="n"/>
      <c r="D183" s="535" t="n"/>
      <c r="E183" s="535" t="n"/>
      <c r="F183" s="282" t="n"/>
      <c r="G183" s="282" t="n"/>
      <c r="H183" s="536" t="n"/>
      <c r="I183" s="535" t="n"/>
      <c r="J183" s="282" t="n"/>
      <c r="K183" s="282" t="n"/>
      <c r="L183" s="536" t="n"/>
      <c r="M183" s="535" t="n"/>
      <c r="N183" s="282" t="n"/>
      <c r="O183" s="282" t="n"/>
      <c r="P183" s="535" t="n"/>
      <c r="Q183" s="535" t="n"/>
      <c r="R183" s="282" t="n"/>
      <c r="S183" s="282" t="n"/>
      <c r="T183" s="535" t="n"/>
      <c r="U183" s="535" t="n"/>
      <c r="V183" s="282" t="n"/>
      <c r="W183" s="282" t="n"/>
      <c r="X183" s="536" t="n"/>
      <c r="Y183" s="536" t="n"/>
      <c r="Z183" s="282" t="n"/>
      <c r="AA183" s="282" t="n"/>
      <c r="AB183" s="536" t="n"/>
      <c r="AC183" s="536" t="n"/>
      <c r="AD183" s="282" t="n"/>
      <c r="AE183" s="282" t="n"/>
      <c r="AF183" s="537" t="n"/>
      <c r="AG183" s="537" t="n"/>
      <c r="AH183" s="282" t="n"/>
      <c r="AI183" s="282" t="n"/>
      <c r="AJ183" s="537" t="n"/>
      <c r="AK183" s="537" t="n"/>
      <c r="AL183" s="282" t="n"/>
      <c r="AM183" s="282" t="n"/>
      <c r="AN183" s="282" t="n"/>
      <c r="AO183" s="282" t="n"/>
      <c r="AP183" s="282" t="n"/>
      <c r="AQ183" s="282" t="n"/>
      <c r="AR183" s="535" t="n"/>
      <c r="AS183" s="535" t="n"/>
      <c r="AT183" s="282" t="n"/>
      <c r="AU183" s="282" t="n"/>
    </row>
    <row customHeight="1" ht="15.75" r="184" s="452" spans="1:48">
      <c r="A184" s="44" t="n"/>
      <c r="D184" s="535" t="n"/>
      <c r="E184" s="535" t="n"/>
      <c r="F184" s="282" t="n"/>
      <c r="G184" s="282" t="n"/>
      <c r="H184" s="536" t="n"/>
      <c r="I184" s="535" t="n"/>
      <c r="J184" s="282" t="n"/>
      <c r="K184" s="282" t="n"/>
      <c r="L184" s="536" t="n"/>
      <c r="M184" s="535" t="n"/>
      <c r="N184" s="282" t="n"/>
      <c r="O184" s="282" t="n"/>
      <c r="P184" s="535" t="n"/>
      <c r="Q184" s="535" t="n"/>
      <c r="R184" s="282" t="n"/>
      <c r="S184" s="282" t="n"/>
      <c r="T184" s="535" t="n"/>
      <c r="U184" s="535" t="n"/>
      <c r="V184" s="282" t="n"/>
      <c r="W184" s="282" t="n"/>
      <c r="X184" s="536" t="n"/>
      <c r="Y184" s="536" t="n"/>
      <c r="Z184" s="282" t="n"/>
      <c r="AA184" s="282" t="n"/>
      <c r="AB184" s="536" t="n"/>
      <c r="AC184" s="536" t="n"/>
      <c r="AD184" s="282" t="n"/>
      <c r="AE184" s="282" t="n"/>
      <c r="AF184" s="537" t="n"/>
      <c r="AG184" s="537" t="n"/>
      <c r="AH184" s="282" t="n"/>
      <c r="AI184" s="282" t="n"/>
      <c r="AJ184" s="537" t="n"/>
      <c r="AK184" s="537" t="n"/>
      <c r="AL184" s="282" t="n"/>
      <c r="AM184" s="282" t="n"/>
      <c r="AN184" s="282" t="n"/>
      <c r="AO184" s="282" t="n"/>
      <c r="AP184" s="282" t="n"/>
      <c r="AQ184" s="282" t="n"/>
      <c r="AR184" s="535" t="n"/>
      <c r="AS184" s="535" t="n"/>
      <c r="AT184" s="282" t="n"/>
      <c r="AU184" s="282" t="n"/>
    </row>
    <row customHeight="1" ht="15.75" r="185" s="452" spans="1:48">
      <c r="A185" s="44" t="n"/>
      <c r="D185" s="535" t="n"/>
      <c r="E185" s="535" t="n"/>
      <c r="F185" s="282" t="n"/>
      <c r="G185" s="282" t="n"/>
      <c r="H185" s="536" t="n"/>
      <c r="I185" s="535" t="n"/>
      <c r="J185" s="282" t="n"/>
      <c r="K185" s="282" t="n"/>
      <c r="L185" s="536" t="n"/>
      <c r="M185" s="535" t="n"/>
      <c r="N185" s="282" t="n"/>
      <c r="O185" s="282" t="n"/>
      <c r="P185" s="535" t="n"/>
      <c r="Q185" s="535" t="n"/>
      <c r="R185" s="282" t="n"/>
      <c r="S185" s="282" t="n"/>
      <c r="T185" s="535" t="n"/>
      <c r="U185" s="535" t="n"/>
      <c r="V185" s="282" t="n"/>
      <c r="W185" s="282" t="n"/>
      <c r="X185" s="536" t="n"/>
      <c r="Y185" s="536" t="n"/>
      <c r="Z185" s="282" t="n"/>
      <c r="AA185" s="282" t="n"/>
      <c r="AB185" s="536" t="n"/>
      <c r="AC185" s="536" t="n"/>
      <c r="AD185" s="282" t="n"/>
      <c r="AE185" s="282" t="n"/>
      <c r="AF185" s="537" t="n"/>
      <c r="AG185" s="537" t="n"/>
      <c r="AH185" s="282" t="n"/>
      <c r="AI185" s="282" t="n"/>
      <c r="AJ185" s="537" t="n"/>
      <c r="AK185" s="537" t="n"/>
      <c r="AL185" s="282" t="n"/>
      <c r="AM185" s="282" t="n"/>
      <c r="AN185" s="282" t="n"/>
      <c r="AO185" s="282" t="n"/>
      <c r="AP185" s="282" t="n"/>
      <c r="AQ185" s="282" t="n"/>
      <c r="AR185" s="535" t="n"/>
      <c r="AS185" s="535" t="n"/>
      <c r="AT185" s="282" t="n"/>
      <c r="AU185" s="282" t="n"/>
    </row>
    <row customHeight="1" ht="15.75" r="186" s="452" spans="1:48">
      <c r="A186" s="44" t="n"/>
      <c r="D186" s="535" t="n"/>
      <c r="E186" s="535" t="n"/>
      <c r="F186" s="282" t="n"/>
      <c r="G186" s="282" t="n"/>
      <c r="H186" s="536" t="n"/>
      <c r="I186" s="535" t="n"/>
      <c r="J186" s="282" t="n"/>
      <c r="K186" s="282" t="n"/>
      <c r="L186" s="536" t="n"/>
      <c r="M186" s="535" t="n"/>
      <c r="N186" s="282" t="n"/>
      <c r="O186" s="282" t="n"/>
      <c r="P186" s="535" t="n"/>
      <c r="Q186" s="535" t="n"/>
      <c r="R186" s="282" t="n"/>
      <c r="S186" s="282" t="n"/>
      <c r="T186" s="535" t="n"/>
      <c r="U186" s="535" t="n"/>
      <c r="V186" s="282" t="n"/>
      <c r="W186" s="282" t="n"/>
      <c r="X186" s="536" t="n"/>
      <c r="Y186" s="536" t="n"/>
      <c r="Z186" s="282" t="n"/>
      <c r="AA186" s="282" t="n"/>
      <c r="AB186" s="536" t="n"/>
      <c r="AC186" s="536" t="n"/>
      <c r="AD186" s="282" t="n"/>
      <c r="AE186" s="282" t="n"/>
      <c r="AF186" s="537" t="n"/>
      <c r="AG186" s="537" t="n"/>
      <c r="AH186" s="282" t="n"/>
      <c r="AI186" s="282" t="n"/>
      <c r="AJ186" s="537" t="n"/>
      <c r="AK186" s="537" t="n"/>
      <c r="AL186" s="282" t="n"/>
      <c r="AM186" s="282" t="n"/>
      <c r="AN186" s="282" t="n"/>
      <c r="AO186" s="282" t="n"/>
      <c r="AP186" s="282" t="n"/>
      <c r="AQ186" s="282" t="n"/>
      <c r="AR186" s="535" t="n"/>
      <c r="AS186" s="535" t="n"/>
      <c r="AT186" s="282" t="n"/>
      <c r="AU186" s="282" t="n"/>
    </row>
    <row customHeight="1" ht="15.75" r="187" s="452" spans="1:48">
      <c r="A187" s="44" t="n"/>
      <c r="D187" s="535" t="n"/>
      <c r="E187" s="535" t="n"/>
      <c r="F187" s="282" t="n"/>
      <c r="G187" s="282" t="n"/>
      <c r="H187" s="536" t="n"/>
      <c r="I187" s="535" t="n"/>
      <c r="J187" s="282" t="n"/>
      <c r="K187" s="282" t="n"/>
      <c r="L187" s="536" t="n"/>
      <c r="M187" s="535" t="n"/>
      <c r="N187" s="282" t="n"/>
      <c r="O187" s="282" t="n"/>
      <c r="P187" s="535" t="n"/>
      <c r="Q187" s="535" t="n"/>
      <c r="R187" s="282" t="n"/>
      <c r="S187" s="282" t="n"/>
      <c r="T187" s="535" t="n"/>
      <c r="U187" s="535" t="n"/>
      <c r="V187" s="282" t="n"/>
      <c r="W187" s="282" t="n"/>
      <c r="X187" s="536" t="n"/>
      <c r="Y187" s="536" t="n"/>
      <c r="Z187" s="282" t="n"/>
      <c r="AA187" s="282" t="n"/>
      <c r="AB187" s="536" t="n"/>
      <c r="AC187" s="536" t="n"/>
      <c r="AD187" s="282" t="n"/>
      <c r="AE187" s="282" t="n"/>
      <c r="AF187" s="537" t="n"/>
      <c r="AG187" s="537" t="n"/>
      <c r="AH187" s="282" t="n"/>
      <c r="AI187" s="282" t="n"/>
      <c r="AJ187" s="537" t="n"/>
      <c r="AK187" s="537" t="n"/>
      <c r="AL187" s="282" t="n"/>
      <c r="AM187" s="282" t="n"/>
      <c r="AN187" s="282" t="n"/>
      <c r="AO187" s="282" t="n"/>
      <c r="AP187" s="282" t="n"/>
      <c r="AQ187" s="282" t="n"/>
      <c r="AR187" s="535" t="n"/>
      <c r="AS187" s="535" t="n"/>
      <c r="AT187" s="282" t="n"/>
      <c r="AU187" s="282" t="n"/>
    </row>
    <row customHeight="1" ht="15.75" r="188" s="452" spans="1:48">
      <c r="A188" s="44" t="n"/>
      <c r="D188" s="535" t="n"/>
      <c r="E188" s="535" t="n"/>
      <c r="F188" s="282" t="n"/>
      <c r="G188" s="282" t="n"/>
      <c r="H188" s="536" t="n"/>
      <c r="I188" s="535" t="n"/>
      <c r="J188" s="282" t="n"/>
      <c r="K188" s="282" t="n"/>
      <c r="L188" s="536" t="n"/>
      <c r="M188" s="535" t="n"/>
      <c r="N188" s="282" t="n"/>
      <c r="O188" s="282" t="n"/>
      <c r="P188" s="535" t="n"/>
      <c r="Q188" s="535" t="n"/>
      <c r="R188" s="282" t="n"/>
      <c r="S188" s="282" t="n"/>
      <c r="T188" s="535" t="n"/>
      <c r="U188" s="535" t="n"/>
      <c r="V188" s="282" t="n"/>
      <c r="W188" s="282" t="n"/>
      <c r="X188" s="536" t="n"/>
      <c r="Y188" s="536" t="n"/>
      <c r="Z188" s="282" t="n"/>
      <c r="AA188" s="282" t="n"/>
      <c r="AB188" s="536" t="n"/>
      <c r="AC188" s="536" t="n"/>
      <c r="AD188" s="282" t="n"/>
      <c r="AE188" s="282" t="n"/>
      <c r="AF188" s="537" t="n"/>
      <c r="AG188" s="537" t="n"/>
      <c r="AH188" s="282" t="n"/>
      <c r="AI188" s="282" t="n"/>
      <c r="AJ188" s="537" t="n"/>
      <c r="AK188" s="537" t="n"/>
      <c r="AL188" s="282" t="n"/>
      <c r="AM188" s="282" t="n"/>
      <c r="AN188" s="282" t="n"/>
      <c r="AO188" s="282" t="n"/>
      <c r="AP188" s="282" t="n"/>
      <c r="AQ188" s="282" t="n"/>
      <c r="AR188" s="535" t="n"/>
      <c r="AS188" s="535" t="n"/>
      <c r="AT188" s="282" t="n"/>
      <c r="AU188" s="282" t="n"/>
    </row>
    <row customHeight="1" ht="15.75" r="189" s="452" spans="1:48">
      <c r="A189" s="44" t="n"/>
      <c r="D189" s="535" t="n"/>
      <c r="E189" s="535" t="n"/>
      <c r="F189" s="282" t="n"/>
      <c r="G189" s="282" t="n"/>
      <c r="H189" s="536" t="n"/>
      <c r="I189" s="535" t="n"/>
      <c r="J189" s="282" t="n"/>
      <c r="K189" s="282" t="n"/>
      <c r="L189" s="536" t="n"/>
      <c r="M189" s="535" t="n"/>
      <c r="N189" s="282" t="n"/>
      <c r="O189" s="282" t="n"/>
      <c r="P189" s="535" t="n"/>
      <c r="Q189" s="535" t="n"/>
      <c r="R189" s="282" t="n"/>
      <c r="S189" s="282" t="n"/>
      <c r="T189" s="535" t="n"/>
      <c r="U189" s="535" t="n"/>
      <c r="V189" s="282" t="n"/>
      <c r="W189" s="282" t="n"/>
      <c r="X189" s="536" t="n"/>
      <c r="Y189" s="536" t="n"/>
      <c r="Z189" s="282" t="n"/>
      <c r="AA189" s="282" t="n"/>
      <c r="AB189" s="536" t="n"/>
      <c r="AC189" s="536" t="n"/>
      <c r="AD189" s="282" t="n"/>
      <c r="AE189" s="282" t="n"/>
      <c r="AF189" s="537" t="n"/>
      <c r="AG189" s="537" t="n"/>
      <c r="AH189" s="282" t="n"/>
      <c r="AI189" s="282" t="n"/>
      <c r="AJ189" s="537" t="n"/>
      <c r="AK189" s="537" t="n"/>
      <c r="AL189" s="282" t="n"/>
      <c r="AM189" s="282" t="n"/>
      <c r="AN189" s="282" t="n"/>
      <c r="AO189" s="282" t="n"/>
      <c r="AP189" s="282" t="n"/>
      <c r="AQ189" s="282" t="n"/>
      <c r="AR189" s="535" t="n"/>
      <c r="AS189" s="535" t="n"/>
      <c r="AT189" s="282" t="n"/>
      <c r="AU189" s="282" t="n"/>
    </row>
    <row customHeight="1" ht="15.75" r="190" s="452" spans="1:48">
      <c r="A190" s="44" t="n"/>
      <c r="D190" s="535" t="n"/>
      <c r="E190" s="535" t="n"/>
      <c r="F190" s="282" t="n"/>
      <c r="G190" s="282" t="n"/>
      <c r="H190" s="536" t="n"/>
      <c r="I190" s="535" t="n"/>
      <c r="J190" s="282" t="n"/>
      <c r="K190" s="282" t="n"/>
      <c r="L190" s="536" t="n"/>
      <c r="M190" s="535" t="n"/>
      <c r="N190" s="282" t="n"/>
      <c r="O190" s="282" t="n"/>
      <c r="P190" s="535" t="n"/>
      <c r="Q190" s="535" t="n"/>
      <c r="R190" s="282" t="n"/>
      <c r="S190" s="282" t="n"/>
      <c r="T190" s="535" t="n"/>
      <c r="U190" s="535" t="n"/>
      <c r="V190" s="282" t="n"/>
      <c r="W190" s="282" t="n"/>
      <c r="X190" s="536" t="n"/>
      <c r="Y190" s="536" t="n"/>
      <c r="Z190" s="282" t="n"/>
      <c r="AA190" s="282" t="n"/>
      <c r="AB190" s="536" t="n"/>
      <c r="AC190" s="536" t="n"/>
      <c r="AD190" s="282" t="n"/>
      <c r="AE190" s="282" t="n"/>
      <c r="AF190" s="537" t="n"/>
      <c r="AG190" s="537" t="n"/>
      <c r="AH190" s="282" t="n"/>
      <c r="AI190" s="282" t="n"/>
      <c r="AJ190" s="537" t="n"/>
      <c r="AK190" s="537" t="n"/>
      <c r="AL190" s="282" t="n"/>
      <c r="AM190" s="282" t="n"/>
      <c r="AN190" s="282" t="n"/>
      <c r="AO190" s="282" t="n"/>
      <c r="AP190" s="282" t="n"/>
      <c r="AQ190" s="282" t="n"/>
      <c r="AR190" s="535" t="n"/>
      <c r="AS190" s="535" t="n"/>
      <c r="AT190" s="282" t="n"/>
      <c r="AU190" s="282" t="n"/>
    </row>
    <row customHeight="1" ht="15.75" r="191" s="452" spans="1:48">
      <c r="A191" s="44" t="n"/>
      <c r="D191" s="535" t="n"/>
      <c r="E191" s="535" t="n"/>
      <c r="F191" s="282" t="n"/>
      <c r="G191" s="282" t="n"/>
      <c r="H191" s="536" t="n"/>
      <c r="I191" s="535" t="n"/>
      <c r="J191" s="282" t="n"/>
      <c r="K191" s="282" t="n"/>
      <c r="L191" s="536" t="n"/>
      <c r="M191" s="535" t="n"/>
      <c r="N191" s="282" t="n"/>
      <c r="O191" s="282" t="n"/>
      <c r="P191" s="535" t="n"/>
      <c r="Q191" s="535" t="n"/>
      <c r="R191" s="282" t="n"/>
      <c r="S191" s="282" t="n"/>
      <c r="T191" s="535" t="n"/>
      <c r="U191" s="535" t="n"/>
      <c r="V191" s="282" t="n"/>
      <c r="W191" s="282" t="n"/>
      <c r="X191" s="536" t="n"/>
      <c r="Y191" s="536" t="n"/>
      <c r="Z191" s="282" t="n"/>
      <c r="AA191" s="282" t="n"/>
      <c r="AB191" s="536" t="n"/>
      <c r="AC191" s="536" t="n"/>
      <c r="AD191" s="282" t="n"/>
      <c r="AE191" s="282" t="n"/>
      <c r="AF191" s="537" t="n"/>
      <c r="AG191" s="537" t="n"/>
      <c r="AH191" s="282" t="n"/>
      <c r="AI191" s="282" t="n"/>
      <c r="AJ191" s="537" t="n"/>
      <c r="AK191" s="537" t="n"/>
      <c r="AL191" s="282" t="n"/>
      <c r="AM191" s="282" t="n"/>
      <c r="AN191" s="282" t="n"/>
      <c r="AO191" s="282" t="n"/>
      <c r="AP191" s="282" t="n"/>
      <c r="AQ191" s="282" t="n"/>
      <c r="AR191" s="535" t="n"/>
      <c r="AS191" s="535" t="n"/>
      <c r="AT191" s="282" t="n"/>
      <c r="AU191" s="282" t="n"/>
    </row>
    <row customHeight="1" ht="15.75" r="192" s="452" spans="1:48">
      <c r="A192" s="44" t="n"/>
      <c r="D192" s="535" t="n"/>
      <c r="E192" s="535" t="n"/>
      <c r="F192" s="282" t="n"/>
      <c r="G192" s="282" t="n"/>
      <c r="H192" s="536" t="n"/>
      <c r="I192" s="535" t="n"/>
      <c r="J192" s="282" t="n"/>
      <c r="K192" s="282" t="n"/>
      <c r="L192" s="536" t="n"/>
      <c r="M192" s="535" t="n"/>
      <c r="N192" s="282" t="n"/>
      <c r="O192" s="282" t="n"/>
      <c r="P192" s="535" t="n"/>
      <c r="Q192" s="535" t="n"/>
      <c r="R192" s="282" t="n"/>
      <c r="S192" s="282" t="n"/>
      <c r="T192" s="535" t="n"/>
      <c r="U192" s="535" t="n"/>
      <c r="V192" s="282" t="n"/>
      <c r="W192" s="282" t="n"/>
      <c r="X192" s="536" t="n"/>
      <c r="Y192" s="536" t="n"/>
      <c r="Z192" s="282" t="n"/>
      <c r="AA192" s="282" t="n"/>
      <c r="AB192" s="536" t="n"/>
      <c r="AC192" s="536" t="n"/>
      <c r="AD192" s="282" t="n"/>
      <c r="AE192" s="282" t="n"/>
      <c r="AF192" s="537" t="n"/>
      <c r="AG192" s="537" t="n"/>
      <c r="AH192" s="282" t="n"/>
      <c r="AI192" s="282" t="n"/>
      <c r="AJ192" s="537" t="n"/>
      <c r="AK192" s="537" t="n"/>
      <c r="AL192" s="282" t="n"/>
      <c r="AM192" s="282" t="n"/>
      <c r="AN192" s="282" t="n"/>
      <c r="AO192" s="282" t="n"/>
      <c r="AP192" s="282" t="n"/>
      <c r="AQ192" s="282" t="n"/>
      <c r="AR192" s="535" t="n"/>
      <c r="AS192" s="535" t="n"/>
      <c r="AT192" s="282" t="n"/>
      <c r="AU192" s="282" t="n"/>
    </row>
    <row customHeight="1" ht="15.75" r="193" s="452" spans="1:48">
      <c r="A193" s="44" t="n"/>
      <c r="D193" s="535" t="n"/>
      <c r="E193" s="535" t="n"/>
      <c r="F193" s="282" t="n"/>
      <c r="G193" s="282" t="n"/>
      <c r="H193" s="536" t="n"/>
      <c r="I193" s="535" t="n"/>
      <c r="J193" s="282" t="n"/>
      <c r="K193" s="282" t="n"/>
      <c r="L193" s="536" t="n"/>
      <c r="M193" s="535" t="n"/>
      <c r="N193" s="282" t="n"/>
      <c r="O193" s="282" t="n"/>
      <c r="P193" s="535" t="n"/>
      <c r="Q193" s="535" t="n"/>
      <c r="R193" s="282" t="n"/>
      <c r="S193" s="282" t="n"/>
      <c r="T193" s="535" t="n"/>
      <c r="U193" s="535" t="n"/>
      <c r="V193" s="282" t="n"/>
      <c r="W193" s="282" t="n"/>
      <c r="X193" s="536" t="n"/>
      <c r="Y193" s="536" t="n"/>
      <c r="Z193" s="282" t="n"/>
      <c r="AA193" s="282" t="n"/>
      <c r="AB193" s="536" t="n"/>
      <c r="AC193" s="536" t="n"/>
      <c r="AD193" s="282" t="n"/>
      <c r="AE193" s="282" t="n"/>
      <c r="AF193" s="537" t="n"/>
      <c r="AG193" s="537" t="n"/>
      <c r="AH193" s="282" t="n"/>
      <c r="AI193" s="282" t="n"/>
      <c r="AJ193" s="537" t="n"/>
      <c r="AK193" s="537" t="n"/>
      <c r="AL193" s="282" t="n"/>
      <c r="AM193" s="282" t="n"/>
      <c r="AN193" s="282" t="n"/>
      <c r="AO193" s="282" t="n"/>
      <c r="AP193" s="282" t="n"/>
      <c r="AQ193" s="282" t="n"/>
      <c r="AR193" s="535" t="n"/>
      <c r="AS193" s="535" t="n"/>
      <c r="AT193" s="282" t="n"/>
      <c r="AU193" s="282" t="n"/>
    </row>
    <row customHeight="1" ht="15.75" r="194" s="452" spans="1:48">
      <c r="A194" s="44" t="n"/>
      <c r="D194" s="535" t="n"/>
      <c r="E194" s="535" t="n"/>
      <c r="F194" s="282" t="n"/>
      <c r="G194" s="282" t="n"/>
      <c r="H194" s="536" t="n"/>
      <c r="I194" s="535" t="n"/>
      <c r="J194" s="282" t="n"/>
      <c r="K194" s="282" t="n"/>
      <c r="L194" s="536" t="n"/>
      <c r="M194" s="535" t="n"/>
      <c r="N194" s="282" t="n"/>
      <c r="O194" s="282" t="n"/>
      <c r="P194" s="535" t="n"/>
      <c r="Q194" s="535" t="n"/>
      <c r="R194" s="282" t="n"/>
      <c r="S194" s="282" t="n"/>
      <c r="T194" s="535" t="n"/>
      <c r="U194" s="535" t="n"/>
      <c r="V194" s="282" t="n"/>
      <c r="W194" s="282" t="n"/>
      <c r="X194" s="536" t="n"/>
      <c r="Y194" s="536" t="n"/>
      <c r="Z194" s="282" t="n"/>
      <c r="AA194" s="282" t="n"/>
      <c r="AB194" s="536" t="n"/>
      <c r="AC194" s="536" t="n"/>
      <c r="AD194" s="282" t="n"/>
      <c r="AE194" s="282" t="n"/>
      <c r="AF194" s="537" t="n"/>
      <c r="AG194" s="537" t="n"/>
      <c r="AH194" s="282" t="n"/>
      <c r="AI194" s="282" t="n"/>
      <c r="AJ194" s="537" t="n"/>
      <c r="AK194" s="537" t="n"/>
      <c r="AL194" s="282" t="n"/>
      <c r="AM194" s="282" t="n"/>
      <c r="AN194" s="282" t="n"/>
      <c r="AO194" s="282" t="n"/>
      <c r="AP194" s="282" t="n"/>
      <c r="AQ194" s="282" t="n"/>
      <c r="AR194" s="535" t="n"/>
      <c r="AS194" s="535" t="n"/>
      <c r="AT194" s="282" t="n"/>
      <c r="AU194" s="282" t="n"/>
    </row>
    <row customHeight="1" ht="15.75" r="195" s="452" spans="1:48">
      <c r="A195" s="44" t="n"/>
      <c r="D195" s="535" t="n"/>
      <c r="E195" s="535" t="n"/>
      <c r="F195" s="282" t="n"/>
      <c r="G195" s="282" t="n"/>
      <c r="H195" s="536" t="n"/>
      <c r="I195" s="535" t="n"/>
      <c r="J195" s="282" t="n"/>
      <c r="K195" s="282" t="n"/>
      <c r="L195" s="536" t="n"/>
      <c r="M195" s="535" t="n"/>
      <c r="N195" s="282" t="n"/>
      <c r="O195" s="282" t="n"/>
      <c r="P195" s="535" t="n"/>
      <c r="Q195" s="535" t="n"/>
      <c r="R195" s="282" t="n"/>
      <c r="S195" s="282" t="n"/>
      <c r="T195" s="535" t="n"/>
      <c r="U195" s="535" t="n"/>
      <c r="V195" s="282" t="n"/>
      <c r="W195" s="282" t="n"/>
      <c r="X195" s="536" t="n"/>
      <c r="Y195" s="536" t="n"/>
      <c r="Z195" s="282" t="n"/>
      <c r="AA195" s="282" t="n"/>
      <c r="AB195" s="536" t="n"/>
      <c r="AC195" s="536" t="n"/>
      <c r="AD195" s="282" t="n"/>
      <c r="AE195" s="282" t="n"/>
      <c r="AF195" s="537" t="n"/>
      <c r="AG195" s="537" t="n"/>
      <c r="AH195" s="282" t="n"/>
      <c r="AI195" s="282" t="n"/>
      <c r="AJ195" s="537" t="n"/>
      <c r="AK195" s="537" t="n"/>
      <c r="AL195" s="282" t="n"/>
      <c r="AM195" s="282" t="n"/>
      <c r="AN195" s="282" t="n"/>
      <c r="AO195" s="282" t="n"/>
      <c r="AP195" s="282" t="n"/>
      <c r="AQ195" s="282" t="n"/>
      <c r="AR195" s="535" t="n"/>
      <c r="AS195" s="535" t="n"/>
      <c r="AT195" s="282" t="n"/>
      <c r="AU195" s="282" t="n"/>
    </row>
    <row customHeight="1" ht="15.75" r="196" s="452" spans="1:48">
      <c r="A196" s="44" t="n"/>
      <c r="D196" s="535" t="n"/>
      <c r="E196" s="535" t="n"/>
      <c r="F196" s="282" t="n"/>
      <c r="G196" s="282" t="n"/>
      <c r="H196" s="536" t="n"/>
      <c r="I196" s="535" t="n"/>
      <c r="J196" s="282" t="n"/>
      <c r="K196" s="282" t="n"/>
      <c r="L196" s="536" t="n"/>
      <c r="M196" s="535" t="n"/>
      <c r="N196" s="282" t="n"/>
      <c r="O196" s="282" t="n"/>
      <c r="P196" s="535" t="n"/>
      <c r="Q196" s="535" t="n"/>
      <c r="R196" s="282" t="n"/>
      <c r="S196" s="282" t="n"/>
      <c r="T196" s="535" t="n"/>
      <c r="U196" s="535" t="n"/>
      <c r="V196" s="282" t="n"/>
      <c r="W196" s="282" t="n"/>
      <c r="X196" s="536" t="n"/>
      <c r="Y196" s="536" t="n"/>
      <c r="Z196" s="282" t="n"/>
      <c r="AA196" s="282" t="n"/>
      <c r="AB196" s="536" t="n"/>
      <c r="AC196" s="536" t="n"/>
      <c r="AD196" s="282" t="n"/>
      <c r="AE196" s="282" t="n"/>
      <c r="AF196" s="537" t="n"/>
      <c r="AG196" s="537" t="n"/>
      <c r="AH196" s="282" t="n"/>
      <c r="AI196" s="282" t="n"/>
      <c r="AJ196" s="537" t="n"/>
      <c r="AK196" s="537" t="n"/>
      <c r="AL196" s="282" t="n"/>
      <c r="AM196" s="282" t="n"/>
      <c r="AN196" s="282" t="n"/>
      <c r="AO196" s="282" t="n"/>
      <c r="AP196" s="282" t="n"/>
      <c r="AQ196" s="282" t="n"/>
      <c r="AR196" s="535" t="n"/>
      <c r="AS196" s="535" t="n"/>
      <c r="AT196" s="282" t="n"/>
      <c r="AU196" s="282" t="n"/>
    </row>
    <row customHeight="1" ht="15.75" r="197" s="452" spans="1:48">
      <c r="A197" s="44" t="n"/>
      <c r="D197" s="535" t="n"/>
      <c r="E197" s="535" t="n"/>
      <c r="F197" s="282" t="n"/>
      <c r="G197" s="282" t="n"/>
      <c r="H197" s="536" t="n"/>
      <c r="I197" s="535" t="n"/>
      <c r="J197" s="282" t="n"/>
      <c r="K197" s="282" t="n"/>
      <c r="L197" s="536" t="n"/>
      <c r="M197" s="535" t="n"/>
      <c r="N197" s="282" t="n"/>
      <c r="O197" s="282" t="n"/>
      <c r="P197" s="535" t="n"/>
      <c r="Q197" s="535" t="n"/>
      <c r="R197" s="282" t="n"/>
      <c r="S197" s="282" t="n"/>
      <c r="T197" s="535" t="n"/>
      <c r="U197" s="535" t="n"/>
      <c r="V197" s="282" t="n"/>
      <c r="W197" s="282" t="n"/>
      <c r="X197" s="536" t="n"/>
      <c r="Y197" s="536" t="n"/>
      <c r="Z197" s="282" t="n"/>
      <c r="AA197" s="282" t="n"/>
      <c r="AB197" s="536" t="n"/>
      <c r="AC197" s="536" t="n"/>
      <c r="AD197" s="282" t="n"/>
      <c r="AE197" s="282" t="n"/>
      <c r="AF197" s="537" t="n"/>
      <c r="AG197" s="537" t="n"/>
      <c r="AH197" s="282" t="n"/>
      <c r="AI197" s="282" t="n"/>
      <c r="AJ197" s="537" t="n"/>
      <c r="AK197" s="537" t="n"/>
      <c r="AL197" s="282" t="n"/>
      <c r="AM197" s="282" t="n"/>
      <c r="AN197" s="282" t="n"/>
      <c r="AO197" s="282" t="n"/>
      <c r="AP197" s="282" t="n"/>
      <c r="AQ197" s="282" t="n"/>
      <c r="AR197" s="535" t="n"/>
      <c r="AS197" s="535" t="n"/>
      <c r="AT197" s="282" t="n"/>
      <c r="AU197" s="282" t="n"/>
    </row>
    <row customHeight="1" ht="15.75" r="198" s="452" spans="1:48">
      <c r="A198" s="44" t="n"/>
      <c r="D198" s="535" t="n"/>
      <c r="E198" s="535" t="n"/>
      <c r="F198" s="282" t="n"/>
      <c r="G198" s="282" t="n"/>
      <c r="H198" s="536" t="n"/>
      <c r="I198" s="535" t="n"/>
      <c r="J198" s="282" t="n"/>
      <c r="K198" s="282" t="n"/>
      <c r="L198" s="536" t="n"/>
      <c r="M198" s="535" t="n"/>
      <c r="N198" s="282" t="n"/>
      <c r="O198" s="282" t="n"/>
      <c r="P198" s="535" t="n"/>
      <c r="Q198" s="535" t="n"/>
      <c r="R198" s="282" t="n"/>
      <c r="S198" s="282" t="n"/>
      <c r="T198" s="535" t="n"/>
      <c r="U198" s="535" t="n"/>
      <c r="V198" s="282" t="n"/>
      <c r="W198" s="282" t="n"/>
      <c r="X198" s="536" t="n"/>
      <c r="Y198" s="536" t="n"/>
      <c r="Z198" s="282" t="n"/>
      <c r="AA198" s="282" t="n"/>
      <c r="AB198" s="536" t="n"/>
      <c r="AC198" s="536" t="n"/>
      <c r="AD198" s="282" t="n"/>
      <c r="AE198" s="282" t="n"/>
      <c r="AF198" s="537" t="n"/>
      <c r="AG198" s="537" t="n"/>
      <c r="AH198" s="282" t="n"/>
      <c r="AI198" s="282" t="n"/>
      <c r="AJ198" s="537" t="n"/>
      <c r="AK198" s="537" t="n"/>
      <c r="AL198" s="282" t="n"/>
      <c r="AM198" s="282" t="n"/>
      <c r="AN198" s="282" t="n"/>
      <c r="AO198" s="282" t="n"/>
      <c r="AP198" s="282" t="n"/>
      <c r="AQ198" s="282" t="n"/>
      <c r="AR198" s="535" t="n"/>
      <c r="AS198" s="535" t="n"/>
      <c r="AT198" s="282" t="n"/>
      <c r="AU198" s="282" t="n"/>
    </row>
    <row customHeight="1" ht="15.75" r="199" s="452" spans="1:48">
      <c r="A199" s="44" t="n"/>
      <c r="D199" s="535" t="n"/>
      <c r="E199" s="535" t="n"/>
      <c r="F199" s="282" t="n"/>
      <c r="G199" s="282" t="n"/>
      <c r="H199" s="536" t="n"/>
      <c r="I199" s="535" t="n"/>
      <c r="J199" s="282" t="n"/>
      <c r="K199" s="282" t="n"/>
      <c r="L199" s="536" t="n"/>
      <c r="M199" s="535" t="n"/>
      <c r="N199" s="282" t="n"/>
      <c r="O199" s="282" t="n"/>
      <c r="P199" s="535" t="n"/>
      <c r="Q199" s="535" t="n"/>
      <c r="R199" s="282" t="n"/>
      <c r="S199" s="282" t="n"/>
      <c r="T199" s="535" t="n"/>
      <c r="U199" s="535" t="n"/>
      <c r="V199" s="282" t="n"/>
      <c r="W199" s="282" t="n"/>
      <c r="X199" s="536" t="n"/>
      <c r="Y199" s="536" t="n"/>
      <c r="Z199" s="282" t="n"/>
      <c r="AA199" s="282" t="n"/>
      <c r="AB199" s="536" t="n"/>
      <c r="AC199" s="536" t="n"/>
      <c r="AD199" s="282" t="n"/>
      <c r="AE199" s="282" t="n"/>
      <c r="AF199" s="537" t="n"/>
      <c r="AG199" s="537" t="n"/>
      <c r="AH199" s="282" t="n"/>
      <c r="AI199" s="282" t="n"/>
      <c r="AJ199" s="537" t="n"/>
      <c r="AK199" s="537" t="n"/>
      <c r="AL199" s="282" t="n"/>
      <c r="AM199" s="282" t="n"/>
      <c r="AN199" s="282" t="n"/>
      <c r="AO199" s="282" t="n"/>
      <c r="AP199" s="282" t="n"/>
      <c r="AQ199" s="282" t="n"/>
      <c r="AR199" s="535" t="n"/>
      <c r="AS199" s="535" t="n"/>
      <c r="AT199" s="282" t="n"/>
      <c r="AU199" s="282" t="n"/>
    </row>
    <row customHeight="1" ht="15.75" r="200" s="452" spans="1:48">
      <c r="A200" s="44" t="n"/>
      <c r="D200" s="535" t="n"/>
      <c r="E200" s="535" t="n"/>
      <c r="F200" s="282" t="n"/>
      <c r="G200" s="282" t="n"/>
      <c r="H200" s="536" t="n"/>
      <c r="I200" s="535" t="n"/>
      <c r="J200" s="282" t="n"/>
      <c r="K200" s="282" t="n"/>
      <c r="L200" s="536" t="n"/>
      <c r="M200" s="535" t="n"/>
      <c r="N200" s="282" t="n"/>
      <c r="O200" s="282" t="n"/>
      <c r="P200" s="535" t="n"/>
      <c r="Q200" s="535" t="n"/>
      <c r="R200" s="282" t="n"/>
      <c r="S200" s="282" t="n"/>
      <c r="T200" s="535" t="n"/>
      <c r="U200" s="535" t="n"/>
      <c r="V200" s="282" t="n"/>
      <c r="W200" s="282" t="n"/>
      <c r="X200" s="536" t="n"/>
      <c r="Y200" s="536" t="n"/>
      <c r="Z200" s="282" t="n"/>
      <c r="AA200" s="282" t="n"/>
      <c r="AB200" s="536" t="n"/>
      <c r="AC200" s="536" t="n"/>
      <c r="AD200" s="282" t="n"/>
      <c r="AE200" s="282" t="n"/>
      <c r="AF200" s="537" t="n"/>
      <c r="AG200" s="537" t="n"/>
      <c r="AH200" s="282" t="n"/>
      <c r="AI200" s="282" t="n"/>
      <c r="AJ200" s="537" t="n"/>
      <c r="AK200" s="537" t="n"/>
      <c r="AL200" s="282" t="n"/>
      <c r="AM200" s="282" t="n"/>
      <c r="AN200" s="282" t="n"/>
      <c r="AO200" s="282" t="n"/>
      <c r="AP200" s="282" t="n"/>
      <c r="AQ200" s="282" t="n"/>
      <c r="AR200" s="535" t="n"/>
      <c r="AS200" s="535" t="n"/>
      <c r="AT200" s="282" t="n"/>
      <c r="AU200" s="282" t="n"/>
    </row>
    <row customHeight="1" ht="15.75" r="201" s="452" spans="1:48">
      <c r="A201" s="44" t="n"/>
      <c r="D201" s="535" t="n"/>
      <c r="E201" s="535" t="n"/>
      <c r="F201" s="282" t="n"/>
      <c r="G201" s="282" t="n"/>
      <c r="H201" s="536" t="n"/>
      <c r="I201" s="535" t="n"/>
      <c r="J201" s="282" t="n"/>
      <c r="K201" s="282" t="n"/>
      <c r="L201" s="536" t="n"/>
      <c r="M201" s="535" t="n"/>
      <c r="N201" s="282" t="n"/>
      <c r="O201" s="282" t="n"/>
      <c r="P201" s="535" t="n"/>
      <c r="Q201" s="535" t="n"/>
      <c r="R201" s="282" t="n"/>
      <c r="S201" s="282" t="n"/>
      <c r="T201" s="535" t="n"/>
      <c r="U201" s="535" t="n"/>
      <c r="V201" s="282" t="n"/>
      <c r="W201" s="282" t="n"/>
      <c r="X201" s="536" t="n"/>
      <c r="Y201" s="536" t="n"/>
      <c r="Z201" s="282" t="n"/>
      <c r="AA201" s="282" t="n"/>
      <c r="AB201" s="536" t="n"/>
      <c r="AC201" s="536" t="n"/>
      <c r="AD201" s="282" t="n"/>
      <c r="AE201" s="282" t="n"/>
      <c r="AF201" s="537" t="n"/>
      <c r="AG201" s="537" t="n"/>
      <c r="AH201" s="282" t="n"/>
      <c r="AI201" s="282" t="n"/>
      <c r="AJ201" s="537" t="n"/>
      <c r="AK201" s="537" t="n"/>
      <c r="AL201" s="282" t="n"/>
      <c r="AM201" s="282" t="n"/>
      <c r="AN201" s="282" t="n"/>
      <c r="AO201" s="282" t="n"/>
      <c r="AP201" s="282" t="n"/>
      <c r="AQ201" s="282" t="n"/>
      <c r="AR201" s="535" t="n"/>
      <c r="AS201" s="535" t="n"/>
      <c r="AT201" s="282" t="n"/>
      <c r="AU201" s="282" t="n"/>
    </row>
    <row customHeight="1" ht="15.75" r="202" s="452" spans="1:48">
      <c r="A202" s="44" t="n"/>
      <c r="D202" s="535" t="n"/>
      <c r="E202" s="535" t="n"/>
      <c r="F202" s="282" t="n"/>
      <c r="G202" s="282" t="n"/>
      <c r="H202" s="536" t="n"/>
      <c r="I202" s="535" t="n"/>
      <c r="J202" s="282" t="n"/>
      <c r="K202" s="282" t="n"/>
      <c r="L202" s="536" t="n"/>
      <c r="M202" s="535" t="n"/>
      <c r="N202" s="282" t="n"/>
      <c r="O202" s="282" t="n"/>
      <c r="P202" s="535" t="n"/>
      <c r="Q202" s="535" t="n"/>
      <c r="R202" s="282" t="n"/>
      <c r="S202" s="282" t="n"/>
      <c r="T202" s="535" t="n"/>
      <c r="U202" s="535" t="n"/>
      <c r="V202" s="282" t="n"/>
      <c r="W202" s="282" t="n"/>
      <c r="X202" s="536" t="n"/>
      <c r="Y202" s="536" t="n"/>
      <c r="Z202" s="282" t="n"/>
      <c r="AA202" s="282" t="n"/>
      <c r="AB202" s="536" t="n"/>
      <c r="AC202" s="536" t="n"/>
      <c r="AD202" s="282" t="n"/>
      <c r="AE202" s="282" t="n"/>
      <c r="AF202" s="537" t="n"/>
      <c r="AG202" s="537" t="n"/>
      <c r="AH202" s="282" t="n"/>
      <c r="AI202" s="282" t="n"/>
      <c r="AJ202" s="537" t="n"/>
      <c r="AK202" s="537" t="n"/>
      <c r="AL202" s="282" t="n"/>
      <c r="AM202" s="282" t="n"/>
      <c r="AN202" s="282" t="n"/>
      <c r="AO202" s="282" t="n"/>
      <c r="AP202" s="282" t="n"/>
      <c r="AQ202" s="282" t="n"/>
      <c r="AR202" s="535" t="n"/>
      <c r="AS202" s="535" t="n"/>
      <c r="AT202" s="282" t="n"/>
      <c r="AU202" s="282" t="n"/>
    </row>
    <row customHeight="1" ht="15.75" r="203" s="452" spans="1:48">
      <c r="A203" s="44" t="n"/>
      <c r="D203" s="535" t="n"/>
      <c r="E203" s="535" t="n"/>
      <c r="F203" s="282" t="n"/>
      <c r="G203" s="282" t="n"/>
      <c r="H203" s="536" t="n"/>
      <c r="I203" s="535" t="n"/>
      <c r="J203" s="282" t="n"/>
      <c r="K203" s="282" t="n"/>
      <c r="L203" s="536" t="n"/>
      <c r="M203" s="535" t="n"/>
      <c r="N203" s="282" t="n"/>
      <c r="O203" s="282" t="n"/>
      <c r="P203" s="535" t="n"/>
      <c r="Q203" s="535" t="n"/>
      <c r="R203" s="282" t="n"/>
      <c r="S203" s="282" t="n"/>
      <c r="T203" s="535" t="n"/>
      <c r="U203" s="535" t="n"/>
      <c r="V203" s="282" t="n"/>
      <c r="W203" s="282" t="n"/>
      <c r="X203" s="536" t="n"/>
      <c r="Y203" s="536" t="n"/>
      <c r="Z203" s="282" t="n"/>
      <c r="AA203" s="282" t="n"/>
      <c r="AB203" s="536" t="n"/>
      <c r="AC203" s="536" t="n"/>
      <c r="AD203" s="282" t="n"/>
      <c r="AE203" s="282" t="n"/>
      <c r="AF203" s="537" t="n"/>
      <c r="AG203" s="537" t="n"/>
      <c r="AH203" s="282" t="n"/>
      <c r="AI203" s="282" t="n"/>
      <c r="AJ203" s="537" t="n"/>
      <c r="AK203" s="537" t="n"/>
      <c r="AL203" s="282" t="n"/>
      <c r="AM203" s="282" t="n"/>
      <c r="AN203" s="282" t="n"/>
      <c r="AO203" s="282" t="n"/>
      <c r="AP203" s="282" t="n"/>
      <c r="AQ203" s="282" t="n"/>
      <c r="AR203" s="535" t="n"/>
      <c r="AS203" s="535" t="n"/>
      <c r="AT203" s="282" t="n"/>
      <c r="AU203" s="282" t="n"/>
    </row>
    <row customHeight="1" ht="15.75" r="204" s="452" spans="1:48">
      <c r="A204" s="44" t="n"/>
      <c r="D204" s="535" t="n"/>
      <c r="E204" s="535" t="n"/>
      <c r="F204" s="282" t="n"/>
      <c r="G204" s="282" t="n"/>
      <c r="H204" s="536" t="n"/>
      <c r="I204" s="535" t="n"/>
      <c r="J204" s="282" t="n"/>
      <c r="K204" s="282" t="n"/>
      <c r="L204" s="536" t="n"/>
      <c r="M204" s="535" t="n"/>
      <c r="N204" s="282" t="n"/>
      <c r="O204" s="282" t="n"/>
      <c r="P204" s="535" t="n"/>
      <c r="Q204" s="535" t="n"/>
      <c r="R204" s="282" t="n"/>
      <c r="S204" s="282" t="n"/>
      <c r="T204" s="535" t="n"/>
      <c r="U204" s="535" t="n"/>
      <c r="V204" s="282" t="n"/>
      <c r="W204" s="282" t="n"/>
      <c r="X204" s="536" t="n"/>
      <c r="Y204" s="536" t="n"/>
      <c r="Z204" s="282" t="n"/>
      <c r="AA204" s="282" t="n"/>
      <c r="AB204" s="536" t="n"/>
      <c r="AC204" s="536" t="n"/>
      <c r="AD204" s="282" t="n"/>
      <c r="AE204" s="282" t="n"/>
      <c r="AF204" s="537" t="n"/>
      <c r="AG204" s="537" t="n"/>
      <c r="AH204" s="282" t="n"/>
      <c r="AI204" s="282" t="n"/>
      <c r="AJ204" s="537" t="n"/>
      <c r="AK204" s="537" t="n"/>
      <c r="AL204" s="282" t="n"/>
      <c r="AM204" s="282" t="n"/>
      <c r="AN204" s="282" t="n"/>
      <c r="AO204" s="282" t="n"/>
      <c r="AP204" s="282" t="n"/>
      <c r="AQ204" s="282" t="n"/>
      <c r="AR204" s="535" t="n"/>
      <c r="AS204" s="535" t="n"/>
      <c r="AT204" s="282" t="n"/>
      <c r="AU204" s="282" t="n"/>
    </row>
    <row customHeight="1" ht="15.75" r="205" s="452" spans="1:48">
      <c r="A205" s="44" t="n"/>
      <c r="D205" s="535" t="n"/>
      <c r="E205" s="535" t="n"/>
      <c r="F205" s="282" t="n"/>
      <c r="G205" s="282" t="n"/>
      <c r="H205" s="536" t="n"/>
      <c r="I205" s="535" t="n"/>
      <c r="J205" s="282" t="n"/>
      <c r="K205" s="282" t="n"/>
      <c r="L205" s="536" t="n"/>
      <c r="M205" s="535" t="n"/>
      <c r="N205" s="282" t="n"/>
      <c r="O205" s="282" t="n"/>
      <c r="P205" s="535" t="n"/>
      <c r="Q205" s="535" t="n"/>
      <c r="R205" s="282" t="n"/>
      <c r="S205" s="282" t="n"/>
      <c r="T205" s="535" t="n"/>
      <c r="U205" s="535" t="n"/>
      <c r="V205" s="282" t="n"/>
      <c r="W205" s="282" t="n"/>
      <c r="X205" s="536" t="n"/>
      <c r="Y205" s="536" t="n"/>
      <c r="Z205" s="282" t="n"/>
      <c r="AA205" s="282" t="n"/>
      <c r="AB205" s="536" t="n"/>
      <c r="AC205" s="536" t="n"/>
      <c r="AD205" s="282" t="n"/>
      <c r="AE205" s="282" t="n"/>
      <c r="AF205" s="537" t="n"/>
      <c r="AG205" s="537" t="n"/>
      <c r="AH205" s="282" t="n"/>
      <c r="AI205" s="282" t="n"/>
      <c r="AJ205" s="537" t="n"/>
      <c r="AK205" s="537" t="n"/>
      <c r="AL205" s="282" t="n"/>
      <c r="AM205" s="282" t="n"/>
      <c r="AN205" s="282" t="n"/>
      <c r="AO205" s="282" t="n"/>
      <c r="AP205" s="282" t="n"/>
      <c r="AQ205" s="282" t="n"/>
      <c r="AR205" s="535" t="n"/>
      <c r="AS205" s="535" t="n"/>
      <c r="AT205" s="282" t="n"/>
      <c r="AU205" s="282" t="n"/>
    </row>
    <row customHeight="1" ht="15.75" r="206" s="452" spans="1:48">
      <c r="A206" s="44" t="n"/>
      <c r="D206" s="535" t="n"/>
      <c r="E206" s="535" t="n"/>
      <c r="F206" s="282" t="n"/>
      <c r="G206" s="282" t="n"/>
      <c r="H206" s="536" t="n"/>
      <c r="I206" s="535" t="n"/>
      <c r="J206" s="282" t="n"/>
      <c r="K206" s="282" t="n"/>
      <c r="L206" s="536" t="n"/>
      <c r="M206" s="535" t="n"/>
      <c r="N206" s="282" t="n"/>
      <c r="O206" s="282" t="n"/>
      <c r="P206" s="535" t="n"/>
      <c r="Q206" s="535" t="n"/>
      <c r="R206" s="282" t="n"/>
      <c r="S206" s="282" t="n"/>
      <c r="T206" s="535" t="n"/>
      <c r="U206" s="535" t="n"/>
      <c r="V206" s="282" t="n"/>
      <c r="W206" s="282" t="n"/>
      <c r="X206" s="536" t="n"/>
      <c r="Y206" s="536" t="n"/>
      <c r="Z206" s="282" t="n"/>
      <c r="AA206" s="282" t="n"/>
      <c r="AB206" s="536" t="n"/>
      <c r="AC206" s="536" t="n"/>
      <c r="AD206" s="282" t="n"/>
      <c r="AE206" s="282" t="n"/>
      <c r="AF206" s="537" t="n"/>
      <c r="AG206" s="537" t="n"/>
      <c r="AH206" s="282" t="n"/>
      <c r="AI206" s="282" t="n"/>
      <c r="AJ206" s="537" t="n"/>
      <c r="AK206" s="537" t="n"/>
      <c r="AL206" s="282" t="n"/>
      <c r="AM206" s="282" t="n"/>
      <c r="AN206" s="282" t="n"/>
      <c r="AO206" s="282" t="n"/>
      <c r="AP206" s="282" t="n"/>
      <c r="AQ206" s="282" t="n"/>
      <c r="AR206" s="535" t="n"/>
      <c r="AS206" s="535" t="n"/>
      <c r="AT206" s="282" t="n"/>
      <c r="AU206" s="282" t="n"/>
    </row>
    <row customHeight="1" ht="15.75" r="207" s="452" spans="1:48">
      <c r="A207" s="44" t="n"/>
      <c r="D207" s="535" t="n"/>
      <c r="E207" s="535" t="n"/>
      <c r="F207" s="282" t="n"/>
      <c r="G207" s="282" t="n"/>
      <c r="H207" s="536" t="n"/>
      <c r="I207" s="535" t="n"/>
      <c r="J207" s="282" t="n"/>
      <c r="K207" s="282" t="n"/>
      <c r="L207" s="536" t="n"/>
      <c r="M207" s="535" t="n"/>
      <c r="N207" s="282" t="n"/>
      <c r="O207" s="282" t="n"/>
      <c r="P207" s="535" t="n"/>
      <c r="Q207" s="535" t="n"/>
      <c r="R207" s="282" t="n"/>
      <c r="S207" s="282" t="n"/>
      <c r="T207" s="535" t="n"/>
      <c r="U207" s="535" t="n"/>
      <c r="V207" s="282" t="n"/>
      <c r="W207" s="282" t="n"/>
      <c r="X207" s="536" t="n"/>
      <c r="Y207" s="536" t="n"/>
      <c r="Z207" s="282" t="n"/>
      <c r="AA207" s="282" t="n"/>
      <c r="AB207" s="536" t="n"/>
      <c r="AC207" s="536" t="n"/>
      <c r="AD207" s="282" t="n"/>
      <c r="AE207" s="282" t="n"/>
      <c r="AF207" s="537" t="n"/>
      <c r="AG207" s="537" t="n"/>
      <c r="AH207" s="282" t="n"/>
      <c r="AI207" s="282" t="n"/>
      <c r="AJ207" s="537" t="n"/>
      <c r="AK207" s="537" t="n"/>
      <c r="AL207" s="282" t="n"/>
      <c r="AM207" s="282" t="n"/>
      <c r="AN207" s="282" t="n"/>
      <c r="AO207" s="282" t="n"/>
      <c r="AP207" s="282" t="n"/>
      <c r="AQ207" s="282" t="n"/>
      <c r="AR207" s="535" t="n"/>
      <c r="AS207" s="535" t="n"/>
      <c r="AT207" s="282" t="n"/>
      <c r="AU207" s="282" t="n"/>
    </row>
    <row customHeight="1" ht="15.75" r="208" s="452" spans="1:48">
      <c r="A208" s="44" t="n"/>
      <c r="D208" s="535" t="n"/>
      <c r="E208" s="535" t="n"/>
      <c r="F208" s="282" t="n"/>
      <c r="G208" s="282" t="n"/>
      <c r="H208" s="536" t="n"/>
      <c r="I208" s="535" t="n"/>
      <c r="J208" s="282" t="n"/>
      <c r="K208" s="282" t="n"/>
      <c r="L208" s="536" t="n"/>
      <c r="M208" s="535" t="n"/>
      <c r="N208" s="282" t="n"/>
      <c r="O208" s="282" t="n"/>
      <c r="P208" s="535" t="n"/>
      <c r="Q208" s="535" t="n"/>
      <c r="R208" s="282" t="n"/>
      <c r="S208" s="282" t="n"/>
      <c r="T208" s="535" t="n"/>
      <c r="U208" s="535" t="n"/>
      <c r="V208" s="282" t="n"/>
      <c r="W208" s="282" t="n"/>
      <c r="X208" s="536" t="n"/>
      <c r="Y208" s="536" t="n"/>
      <c r="Z208" s="282" t="n"/>
      <c r="AA208" s="282" t="n"/>
      <c r="AB208" s="536" t="n"/>
      <c r="AC208" s="536" t="n"/>
      <c r="AD208" s="282" t="n"/>
      <c r="AE208" s="282" t="n"/>
      <c r="AF208" s="537" t="n"/>
      <c r="AG208" s="537" t="n"/>
      <c r="AH208" s="282" t="n"/>
      <c r="AI208" s="282" t="n"/>
      <c r="AJ208" s="537" t="n"/>
      <c r="AK208" s="537" t="n"/>
      <c r="AL208" s="282" t="n"/>
      <c r="AM208" s="282" t="n"/>
      <c r="AN208" s="282" t="n"/>
      <c r="AO208" s="282" t="n"/>
      <c r="AP208" s="282" t="n"/>
      <c r="AQ208" s="282" t="n"/>
      <c r="AR208" s="535" t="n"/>
      <c r="AS208" s="535" t="n"/>
      <c r="AT208" s="282" t="n"/>
      <c r="AU208" s="282" t="n"/>
    </row>
    <row customHeight="1" ht="15.75" r="209" s="452" spans="1:48">
      <c r="A209" s="44" t="n"/>
      <c r="D209" s="535" t="n"/>
      <c r="E209" s="535" t="n"/>
      <c r="F209" s="282" t="n"/>
      <c r="G209" s="282" t="n"/>
      <c r="H209" s="536" t="n"/>
      <c r="I209" s="535" t="n"/>
      <c r="J209" s="282" t="n"/>
      <c r="K209" s="282" t="n"/>
      <c r="L209" s="536" t="n"/>
      <c r="M209" s="535" t="n"/>
      <c r="N209" s="282" t="n"/>
      <c r="O209" s="282" t="n"/>
      <c r="P209" s="535" t="n"/>
      <c r="Q209" s="535" t="n"/>
      <c r="R209" s="282" t="n"/>
      <c r="S209" s="282" t="n"/>
      <c r="T209" s="535" t="n"/>
      <c r="U209" s="535" t="n"/>
      <c r="V209" s="282" t="n"/>
      <c r="W209" s="282" t="n"/>
      <c r="X209" s="536" t="n"/>
      <c r="Y209" s="536" t="n"/>
      <c r="Z209" s="282" t="n"/>
      <c r="AA209" s="282" t="n"/>
      <c r="AB209" s="536" t="n"/>
      <c r="AC209" s="536" t="n"/>
      <c r="AD209" s="282" t="n"/>
      <c r="AE209" s="282" t="n"/>
      <c r="AF209" s="537" t="n"/>
      <c r="AG209" s="537" t="n"/>
      <c r="AH209" s="282" t="n"/>
      <c r="AI209" s="282" t="n"/>
      <c r="AJ209" s="537" t="n"/>
      <c r="AK209" s="537" t="n"/>
      <c r="AL209" s="282" t="n"/>
      <c r="AM209" s="282" t="n"/>
      <c r="AN209" s="282" t="n"/>
      <c r="AO209" s="282" t="n"/>
      <c r="AP209" s="282" t="n"/>
      <c r="AQ209" s="282" t="n"/>
      <c r="AR209" s="535" t="n"/>
      <c r="AS209" s="535" t="n"/>
      <c r="AT209" s="282" t="n"/>
      <c r="AU209" s="282" t="n"/>
    </row>
    <row customHeight="1" ht="15.75" r="210" s="452" spans="1:48">
      <c r="A210" s="44" t="n"/>
      <c r="D210" s="535" t="n"/>
      <c r="E210" s="535" t="n"/>
      <c r="F210" s="282" t="n"/>
      <c r="G210" s="282" t="n"/>
      <c r="H210" s="536" t="n"/>
      <c r="I210" s="535" t="n"/>
      <c r="J210" s="282" t="n"/>
      <c r="K210" s="282" t="n"/>
      <c r="L210" s="536" t="n"/>
      <c r="M210" s="535" t="n"/>
      <c r="N210" s="282" t="n"/>
      <c r="O210" s="282" t="n"/>
      <c r="P210" s="535" t="n"/>
      <c r="Q210" s="535" t="n"/>
      <c r="R210" s="282" t="n"/>
      <c r="S210" s="282" t="n"/>
      <c r="T210" s="535" t="n"/>
      <c r="U210" s="535" t="n"/>
      <c r="V210" s="282" t="n"/>
      <c r="W210" s="282" t="n"/>
      <c r="X210" s="536" t="n"/>
      <c r="Y210" s="536" t="n"/>
      <c r="Z210" s="282" t="n"/>
      <c r="AA210" s="282" t="n"/>
      <c r="AB210" s="536" t="n"/>
      <c r="AC210" s="536" t="n"/>
      <c r="AD210" s="282" t="n"/>
      <c r="AE210" s="282" t="n"/>
      <c r="AF210" s="537" t="n"/>
      <c r="AG210" s="537" t="n"/>
      <c r="AH210" s="282" t="n"/>
      <c r="AI210" s="282" t="n"/>
      <c r="AJ210" s="537" t="n"/>
      <c r="AK210" s="537" t="n"/>
      <c r="AL210" s="282" t="n"/>
      <c r="AM210" s="282" t="n"/>
      <c r="AN210" s="282" t="n"/>
      <c r="AO210" s="282" t="n"/>
      <c r="AP210" s="282" t="n"/>
      <c r="AQ210" s="282" t="n"/>
      <c r="AR210" s="535" t="n"/>
      <c r="AS210" s="535" t="n"/>
      <c r="AT210" s="282" t="n"/>
      <c r="AU210" s="282" t="n"/>
    </row>
    <row customHeight="1" ht="15.75" r="211" s="452" spans="1:48">
      <c r="A211" s="44" t="n"/>
      <c r="D211" s="535" t="n"/>
      <c r="E211" s="535" t="n"/>
      <c r="F211" s="282" t="n"/>
      <c r="G211" s="282" t="n"/>
      <c r="H211" s="536" t="n"/>
      <c r="I211" s="535" t="n"/>
      <c r="J211" s="282" t="n"/>
      <c r="K211" s="282" t="n"/>
      <c r="L211" s="536" t="n"/>
      <c r="M211" s="535" t="n"/>
      <c r="N211" s="282" t="n"/>
      <c r="O211" s="282" t="n"/>
      <c r="P211" s="535" t="n"/>
      <c r="Q211" s="535" t="n"/>
      <c r="R211" s="282" t="n"/>
      <c r="S211" s="282" t="n"/>
      <c r="T211" s="535" t="n"/>
      <c r="U211" s="535" t="n"/>
      <c r="V211" s="282" t="n"/>
      <c r="W211" s="282" t="n"/>
      <c r="X211" s="536" t="n"/>
      <c r="Y211" s="536" t="n"/>
      <c r="Z211" s="282" t="n"/>
      <c r="AA211" s="282" t="n"/>
      <c r="AB211" s="536" t="n"/>
      <c r="AC211" s="536" t="n"/>
      <c r="AD211" s="282" t="n"/>
      <c r="AE211" s="282" t="n"/>
      <c r="AF211" s="537" t="n"/>
      <c r="AG211" s="537" t="n"/>
      <c r="AH211" s="282" t="n"/>
      <c r="AI211" s="282" t="n"/>
      <c r="AJ211" s="537" t="n"/>
      <c r="AK211" s="537" t="n"/>
      <c r="AL211" s="282" t="n"/>
      <c r="AM211" s="282" t="n"/>
      <c r="AN211" s="282" t="n"/>
      <c r="AO211" s="282" t="n"/>
      <c r="AP211" s="282" t="n"/>
      <c r="AQ211" s="282" t="n"/>
      <c r="AR211" s="535" t="n"/>
      <c r="AS211" s="535" t="n"/>
      <c r="AT211" s="282" t="n"/>
      <c r="AU211" s="282" t="n"/>
    </row>
    <row customHeight="1" ht="15.75" r="212" s="452" spans="1:48">
      <c r="A212" s="44" t="n"/>
      <c r="D212" s="535" t="n"/>
      <c r="E212" s="535" t="n"/>
      <c r="F212" s="282" t="n"/>
      <c r="G212" s="282" t="n"/>
      <c r="H212" s="536" t="n"/>
      <c r="I212" s="535" t="n"/>
      <c r="J212" s="282" t="n"/>
      <c r="K212" s="282" t="n"/>
      <c r="L212" s="536" t="n"/>
      <c r="M212" s="535" t="n"/>
      <c r="N212" s="282" t="n"/>
      <c r="O212" s="282" t="n"/>
      <c r="P212" s="535" t="n"/>
      <c r="Q212" s="535" t="n"/>
      <c r="R212" s="282" t="n"/>
      <c r="S212" s="282" t="n"/>
      <c r="T212" s="535" t="n"/>
      <c r="U212" s="535" t="n"/>
      <c r="V212" s="282" t="n"/>
      <c r="W212" s="282" t="n"/>
      <c r="X212" s="536" t="n"/>
      <c r="Y212" s="536" t="n"/>
      <c r="Z212" s="282" t="n"/>
      <c r="AA212" s="282" t="n"/>
      <c r="AB212" s="536" t="n"/>
      <c r="AC212" s="536" t="n"/>
      <c r="AD212" s="282" t="n"/>
      <c r="AE212" s="282" t="n"/>
      <c r="AF212" s="537" t="n"/>
      <c r="AG212" s="537" t="n"/>
      <c r="AH212" s="282" t="n"/>
      <c r="AI212" s="282" t="n"/>
      <c r="AJ212" s="537" t="n"/>
      <c r="AK212" s="537" t="n"/>
      <c r="AL212" s="282" t="n"/>
      <c r="AM212" s="282" t="n"/>
      <c r="AN212" s="282" t="n"/>
      <c r="AO212" s="282" t="n"/>
      <c r="AP212" s="282" t="n"/>
      <c r="AQ212" s="282" t="n"/>
      <c r="AR212" s="535" t="n"/>
      <c r="AS212" s="535" t="n"/>
      <c r="AT212" s="282" t="n"/>
      <c r="AU212" s="282" t="n"/>
    </row>
    <row customHeight="1" ht="15.75" r="213" s="452" spans="1:48">
      <c r="A213" s="44" t="n"/>
      <c r="D213" s="535" t="n"/>
      <c r="E213" s="535" t="n"/>
      <c r="F213" s="282" t="n"/>
      <c r="G213" s="282" t="n"/>
      <c r="H213" s="536" t="n"/>
      <c r="I213" s="535" t="n"/>
      <c r="J213" s="282" t="n"/>
      <c r="K213" s="282" t="n"/>
      <c r="L213" s="536" t="n"/>
      <c r="M213" s="535" t="n"/>
      <c r="N213" s="282" t="n"/>
      <c r="O213" s="282" t="n"/>
      <c r="P213" s="535" t="n"/>
      <c r="Q213" s="535" t="n"/>
      <c r="R213" s="282" t="n"/>
      <c r="S213" s="282" t="n"/>
      <c r="T213" s="535" t="n"/>
      <c r="U213" s="535" t="n"/>
      <c r="V213" s="282" t="n"/>
      <c r="W213" s="282" t="n"/>
      <c r="X213" s="536" t="n"/>
      <c r="Y213" s="536" t="n"/>
      <c r="Z213" s="282" t="n"/>
      <c r="AA213" s="282" t="n"/>
      <c r="AB213" s="536" t="n"/>
      <c r="AC213" s="536" t="n"/>
      <c r="AD213" s="282" t="n"/>
      <c r="AE213" s="282" t="n"/>
      <c r="AF213" s="537" t="n"/>
      <c r="AG213" s="537" t="n"/>
      <c r="AH213" s="282" t="n"/>
      <c r="AI213" s="282" t="n"/>
      <c r="AJ213" s="537" t="n"/>
      <c r="AK213" s="537" t="n"/>
      <c r="AL213" s="282" t="n"/>
      <c r="AM213" s="282" t="n"/>
      <c r="AN213" s="282" t="n"/>
      <c r="AO213" s="282" t="n"/>
      <c r="AP213" s="282" t="n"/>
      <c r="AQ213" s="282" t="n"/>
      <c r="AR213" s="535" t="n"/>
      <c r="AS213" s="535" t="n"/>
      <c r="AT213" s="282" t="n"/>
      <c r="AU213" s="282" t="n"/>
    </row>
    <row customHeight="1" ht="15.75" r="214" s="452" spans="1:48">
      <c r="A214" s="44" t="n"/>
      <c r="D214" s="535" t="n"/>
      <c r="E214" s="535" t="n"/>
      <c r="F214" s="282" t="n"/>
      <c r="G214" s="282" t="n"/>
      <c r="H214" s="536" t="n"/>
      <c r="I214" s="535" t="n"/>
      <c r="J214" s="282" t="n"/>
      <c r="K214" s="282" t="n"/>
      <c r="L214" s="536" t="n"/>
      <c r="M214" s="535" t="n"/>
      <c r="N214" s="282" t="n"/>
      <c r="O214" s="282" t="n"/>
      <c r="P214" s="535" t="n"/>
      <c r="Q214" s="535" t="n"/>
      <c r="R214" s="282" t="n"/>
      <c r="S214" s="282" t="n"/>
      <c r="T214" s="535" t="n"/>
      <c r="U214" s="535" t="n"/>
      <c r="V214" s="282" t="n"/>
      <c r="W214" s="282" t="n"/>
      <c r="X214" s="536" t="n"/>
      <c r="Y214" s="536" t="n"/>
      <c r="Z214" s="282" t="n"/>
      <c r="AA214" s="282" t="n"/>
      <c r="AB214" s="536" t="n"/>
      <c r="AC214" s="536" t="n"/>
      <c r="AD214" s="282" t="n"/>
      <c r="AE214" s="282" t="n"/>
      <c r="AF214" s="537" t="n"/>
      <c r="AG214" s="537" t="n"/>
      <c r="AH214" s="282" t="n"/>
      <c r="AI214" s="282" t="n"/>
      <c r="AJ214" s="537" t="n"/>
      <c r="AK214" s="537" t="n"/>
      <c r="AL214" s="282" t="n"/>
      <c r="AM214" s="282" t="n"/>
      <c r="AN214" s="282" t="n"/>
      <c r="AO214" s="282" t="n"/>
      <c r="AP214" s="282" t="n"/>
      <c r="AQ214" s="282" t="n"/>
      <c r="AR214" s="535" t="n"/>
      <c r="AS214" s="535" t="n"/>
      <c r="AT214" s="282" t="n"/>
      <c r="AU214" s="282" t="n"/>
    </row>
    <row customHeight="1" ht="15.75" r="215" s="452" spans="1:48">
      <c r="A215" s="44" t="n"/>
      <c r="D215" s="535" t="n"/>
      <c r="E215" s="535" t="n"/>
      <c r="F215" s="282" t="n"/>
      <c r="G215" s="282" t="n"/>
      <c r="H215" s="536" t="n"/>
      <c r="I215" s="535" t="n"/>
      <c r="J215" s="282" t="n"/>
      <c r="K215" s="282" t="n"/>
      <c r="L215" s="536" t="n"/>
      <c r="M215" s="535" t="n"/>
      <c r="N215" s="282" t="n"/>
      <c r="O215" s="282" t="n"/>
      <c r="P215" s="535" t="n"/>
      <c r="Q215" s="535" t="n"/>
      <c r="R215" s="282" t="n"/>
      <c r="S215" s="282" t="n"/>
      <c r="T215" s="535" t="n"/>
      <c r="U215" s="535" t="n"/>
      <c r="V215" s="282" t="n"/>
      <c r="W215" s="282" t="n"/>
      <c r="X215" s="536" t="n"/>
      <c r="Y215" s="536" t="n"/>
      <c r="Z215" s="282" t="n"/>
      <c r="AA215" s="282" t="n"/>
      <c r="AB215" s="536" t="n"/>
      <c r="AC215" s="536" t="n"/>
      <c r="AD215" s="282" t="n"/>
      <c r="AE215" s="282" t="n"/>
      <c r="AF215" s="537" t="n"/>
      <c r="AG215" s="537" t="n"/>
      <c r="AH215" s="282" t="n"/>
      <c r="AI215" s="282" t="n"/>
      <c r="AJ215" s="537" t="n"/>
      <c r="AK215" s="537" t="n"/>
      <c r="AL215" s="282" t="n"/>
      <c r="AM215" s="282" t="n"/>
      <c r="AN215" s="282" t="n"/>
      <c r="AO215" s="282" t="n"/>
      <c r="AP215" s="282" t="n"/>
      <c r="AQ215" s="282" t="n"/>
      <c r="AR215" s="535" t="n"/>
      <c r="AS215" s="535" t="n"/>
      <c r="AT215" s="282" t="n"/>
      <c r="AU215" s="282" t="n"/>
    </row>
    <row customHeight="1" ht="15.75" r="216" s="452" spans="1:48">
      <c r="A216" s="44" t="n"/>
      <c r="D216" s="535" t="n"/>
      <c r="E216" s="535" t="n"/>
      <c r="F216" s="282" t="n"/>
      <c r="G216" s="282" t="n"/>
      <c r="H216" s="536" t="n"/>
      <c r="I216" s="535" t="n"/>
      <c r="J216" s="282" t="n"/>
      <c r="K216" s="282" t="n"/>
      <c r="L216" s="536" t="n"/>
      <c r="M216" s="535" t="n"/>
      <c r="N216" s="282" t="n"/>
      <c r="O216" s="282" t="n"/>
      <c r="P216" s="535" t="n"/>
      <c r="Q216" s="535" t="n"/>
      <c r="R216" s="282" t="n"/>
      <c r="S216" s="282" t="n"/>
      <c r="T216" s="535" t="n"/>
      <c r="U216" s="535" t="n"/>
      <c r="V216" s="282" t="n"/>
      <c r="W216" s="282" t="n"/>
      <c r="X216" s="536" t="n"/>
      <c r="Y216" s="536" t="n"/>
      <c r="Z216" s="282" t="n"/>
      <c r="AA216" s="282" t="n"/>
      <c r="AB216" s="536" t="n"/>
      <c r="AC216" s="536" t="n"/>
      <c r="AD216" s="282" t="n"/>
      <c r="AE216" s="282" t="n"/>
      <c r="AF216" s="537" t="n"/>
      <c r="AG216" s="537" t="n"/>
      <c r="AH216" s="282" t="n"/>
      <c r="AI216" s="282" t="n"/>
      <c r="AJ216" s="537" t="n"/>
      <c r="AK216" s="537" t="n"/>
      <c r="AL216" s="282" t="n"/>
      <c r="AM216" s="282" t="n"/>
      <c r="AN216" s="282" t="n"/>
      <c r="AO216" s="282" t="n"/>
      <c r="AP216" s="282" t="n"/>
      <c r="AQ216" s="282" t="n"/>
      <c r="AR216" s="535" t="n"/>
      <c r="AS216" s="535" t="n"/>
      <c r="AT216" s="282" t="n"/>
      <c r="AU216" s="282" t="n"/>
    </row>
    <row customHeight="1" ht="15.75" r="217" s="452" spans="1:48">
      <c r="A217" s="44" t="n"/>
      <c r="D217" s="535" t="n"/>
      <c r="E217" s="535" t="n"/>
      <c r="F217" s="282" t="n"/>
      <c r="G217" s="282" t="n"/>
      <c r="H217" s="536" t="n"/>
      <c r="I217" s="535" t="n"/>
      <c r="J217" s="282" t="n"/>
      <c r="K217" s="282" t="n"/>
      <c r="L217" s="536" t="n"/>
      <c r="M217" s="535" t="n"/>
      <c r="N217" s="282" t="n"/>
      <c r="O217" s="282" t="n"/>
      <c r="P217" s="535" t="n"/>
      <c r="Q217" s="535" t="n"/>
      <c r="R217" s="282" t="n"/>
      <c r="S217" s="282" t="n"/>
      <c r="T217" s="535" t="n"/>
      <c r="U217" s="535" t="n"/>
      <c r="V217" s="282" t="n"/>
      <c r="W217" s="282" t="n"/>
      <c r="X217" s="536" t="n"/>
      <c r="Y217" s="536" t="n"/>
      <c r="Z217" s="282" t="n"/>
      <c r="AA217" s="282" t="n"/>
      <c r="AB217" s="536" t="n"/>
      <c r="AC217" s="536" t="n"/>
      <c r="AD217" s="282" t="n"/>
      <c r="AE217" s="282" t="n"/>
      <c r="AF217" s="537" t="n"/>
      <c r="AG217" s="537" t="n"/>
      <c r="AH217" s="282" t="n"/>
      <c r="AI217" s="282" t="n"/>
      <c r="AJ217" s="537" t="n"/>
      <c r="AK217" s="537" t="n"/>
      <c r="AL217" s="282" t="n"/>
      <c r="AM217" s="282" t="n"/>
      <c r="AN217" s="282" t="n"/>
      <c r="AO217" s="282" t="n"/>
      <c r="AP217" s="282" t="n"/>
      <c r="AQ217" s="282" t="n"/>
      <c r="AR217" s="535" t="n"/>
      <c r="AS217" s="535" t="n"/>
      <c r="AT217" s="282" t="n"/>
      <c r="AU217" s="282" t="n"/>
    </row>
    <row customHeight="1" ht="15.75" r="218" s="452" spans="1:48">
      <c r="A218" s="44" t="n"/>
      <c r="D218" s="535" t="n"/>
      <c r="E218" s="535" t="n"/>
      <c r="F218" s="282" t="n"/>
      <c r="G218" s="282" t="n"/>
      <c r="H218" s="536" t="n"/>
      <c r="I218" s="535" t="n"/>
      <c r="J218" s="282" t="n"/>
      <c r="K218" s="282" t="n"/>
      <c r="L218" s="536" t="n"/>
      <c r="M218" s="535" t="n"/>
      <c r="N218" s="282" t="n"/>
      <c r="O218" s="282" t="n"/>
      <c r="P218" s="535" t="n"/>
      <c r="Q218" s="535" t="n"/>
      <c r="R218" s="282" t="n"/>
      <c r="S218" s="282" t="n"/>
      <c r="T218" s="535" t="n"/>
      <c r="U218" s="535" t="n"/>
      <c r="V218" s="282" t="n"/>
      <c r="W218" s="282" t="n"/>
      <c r="X218" s="536" t="n"/>
      <c r="Y218" s="536" t="n"/>
      <c r="Z218" s="282" t="n"/>
      <c r="AA218" s="282" t="n"/>
      <c r="AB218" s="536" t="n"/>
      <c r="AC218" s="536" t="n"/>
      <c r="AD218" s="282" t="n"/>
      <c r="AE218" s="282" t="n"/>
      <c r="AF218" s="537" t="n"/>
      <c r="AG218" s="537" t="n"/>
      <c r="AH218" s="282" t="n"/>
      <c r="AI218" s="282" t="n"/>
      <c r="AJ218" s="537" t="n"/>
      <c r="AK218" s="537" t="n"/>
      <c r="AL218" s="282" t="n"/>
      <c r="AM218" s="282" t="n"/>
      <c r="AN218" s="282" t="n"/>
      <c r="AO218" s="282" t="n"/>
      <c r="AP218" s="282" t="n"/>
      <c r="AQ218" s="282" t="n"/>
      <c r="AR218" s="535" t="n"/>
      <c r="AS218" s="535" t="n"/>
      <c r="AT218" s="282" t="n"/>
      <c r="AU218" s="282" t="n"/>
    </row>
    <row customHeight="1" ht="15.75" r="219" s="452" spans="1:48">
      <c r="A219" s="44" t="n"/>
      <c r="D219" s="535" t="n"/>
      <c r="E219" s="535" t="n"/>
      <c r="F219" s="282" t="n"/>
      <c r="G219" s="282" t="n"/>
      <c r="H219" s="536" t="n"/>
      <c r="I219" s="535" t="n"/>
      <c r="J219" s="282" t="n"/>
      <c r="K219" s="282" t="n"/>
      <c r="L219" s="536" t="n"/>
      <c r="M219" s="535" t="n"/>
      <c r="N219" s="282" t="n"/>
      <c r="O219" s="282" t="n"/>
      <c r="P219" s="535" t="n"/>
      <c r="Q219" s="535" t="n"/>
      <c r="R219" s="282" t="n"/>
      <c r="S219" s="282" t="n"/>
      <c r="T219" s="535" t="n"/>
      <c r="U219" s="535" t="n"/>
      <c r="V219" s="282" t="n"/>
      <c r="W219" s="282" t="n"/>
      <c r="X219" s="536" t="n"/>
      <c r="Y219" s="536" t="n"/>
      <c r="Z219" s="282" t="n"/>
      <c r="AA219" s="282" t="n"/>
      <c r="AB219" s="536" t="n"/>
      <c r="AC219" s="536" t="n"/>
      <c r="AD219" s="282" t="n"/>
      <c r="AE219" s="282" t="n"/>
      <c r="AF219" s="537" t="n"/>
      <c r="AG219" s="537" t="n"/>
      <c r="AH219" s="282" t="n"/>
      <c r="AI219" s="282" t="n"/>
      <c r="AJ219" s="537" t="n"/>
      <c r="AK219" s="537" t="n"/>
      <c r="AL219" s="282" t="n"/>
      <c r="AM219" s="282" t="n"/>
      <c r="AN219" s="282" t="n"/>
      <c r="AO219" s="282" t="n"/>
      <c r="AP219" s="282" t="n"/>
      <c r="AQ219" s="282" t="n"/>
      <c r="AR219" s="535" t="n"/>
      <c r="AS219" s="535" t="n"/>
      <c r="AT219" s="282" t="n"/>
      <c r="AU219" s="282" t="n"/>
    </row>
    <row customHeight="1" ht="15.75" r="220" s="452" spans="1:48">
      <c r="A220" s="44" t="n"/>
      <c r="D220" s="535" t="n"/>
      <c r="E220" s="535" t="n"/>
      <c r="F220" s="282" t="n"/>
      <c r="G220" s="282" t="n"/>
      <c r="H220" s="536" t="n"/>
      <c r="I220" s="535" t="n"/>
      <c r="J220" s="282" t="n"/>
      <c r="K220" s="282" t="n"/>
      <c r="L220" s="536" t="n"/>
      <c r="M220" s="535" t="n"/>
      <c r="N220" s="282" t="n"/>
      <c r="O220" s="282" t="n"/>
      <c r="P220" s="535" t="n"/>
      <c r="Q220" s="535" t="n"/>
      <c r="R220" s="282" t="n"/>
      <c r="S220" s="282" t="n"/>
      <c r="T220" s="535" t="n"/>
      <c r="U220" s="535" t="n"/>
      <c r="V220" s="282" t="n"/>
      <c r="W220" s="282" t="n"/>
      <c r="X220" s="536" t="n"/>
      <c r="Y220" s="536" t="n"/>
      <c r="Z220" s="282" t="n"/>
      <c r="AA220" s="282" t="n"/>
      <c r="AB220" s="536" t="n"/>
      <c r="AC220" s="536" t="n"/>
      <c r="AD220" s="282" t="n"/>
      <c r="AE220" s="282" t="n"/>
      <c r="AF220" s="537" t="n"/>
      <c r="AG220" s="537" t="n"/>
      <c r="AH220" s="282" t="n"/>
      <c r="AI220" s="282" t="n"/>
      <c r="AJ220" s="537" t="n"/>
      <c r="AK220" s="537" t="n"/>
      <c r="AL220" s="282" t="n"/>
      <c r="AM220" s="282" t="n"/>
      <c r="AN220" s="282" t="n"/>
      <c r="AO220" s="282" t="n"/>
      <c r="AP220" s="282" t="n"/>
      <c r="AQ220" s="282" t="n"/>
      <c r="AR220" s="535" t="n"/>
      <c r="AS220" s="535" t="n"/>
      <c r="AT220" s="282" t="n"/>
      <c r="AU220" s="282" t="n"/>
    </row>
    <row customHeight="1" ht="15.75" r="221" s="452" spans="1:48">
      <c r="A221" s="44" t="n"/>
      <c r="D221" s="535" t="n"/>
      <c r="E221" s="535" t="n"/>
      <c r="F221" s="282" t="n"/>
      <c r="G221" s="282" t="n"/>
      <c r="H221" s="536" t="n"/>
      <c r="I221" s="535" t="n"/>
      <c r="J221" s="282" t="n"/>
      <c r="K221" s="282" t="n"/>
      <c r="L221" s="536" t="n"/>
      <c r="M221" s="535" t="n"/>
      <c r="N221" s="282" t="n"/>
      <c r="O221" s="282" t="n"/>
      <c r="P221" s="535" t="n"/>
      <c r="Q221" s="535" t="n"/>
      <c r="R221" s="282" t="n"/>
      <c r="S221" s="282" t="n"/>
      <c r="T221" s="535" t="n"/>
      <c r="U221" s="535" t="n"/>
      <c r="V221" s="282" t="n"/>
      <c r="W221" s="282" t="n"/>
      <c r="X221" s="536" t="n"/>
      <c r="Y221" s="536" t="n"/>
      <c r="Z221" s="282" t="n"/>
      <c r="AA221" s="282" t="n"/>
      <c r="AB221" s="536" t="n"/>
      <c r="AC221" s="536" t="n"/>
      <c r="AD221" s="282" t="n"/>
      <c r="AE221" s="282" t="n"/>
      <c r="AF221" s="537" t="n"/>
      <c r="AG221" s="537" t="n"/>
      <c r="AH221" s="282" t="n"/>
      <c r="AI221" s="282" t="n"/>
      <c r="AJ221" s="537" t="n"/>
      <c r="AK221" s="537" t="n"/>
      <c r="AL221" s="282" t="n"/>
      <c r="AM221" s="282" t="n"/>
      <c r="AN221" s="282" t="n"/>
      <c r="AO221" s="282" t="n"/>
      <c r="AP221" s="282" t="n"/>
      <c r="AQ221" s="282" t="n"/>
      <c r="AR221" s="535" t="n"/>
      <c r="AS221" s="535" t="n"/>
      <c r="AT221" s="282" t="n"/>
      <c r="AU221" s="282" t="n"/>
    </row>
    <row customHeight="1" ht="15.75" r="222" s="452" spans="1:48">
      <c r="A222" s="44" t="n"/>
      <c r="D222" s="535" t="n"/>
      <c r="E222" s="535" t="n"/>
      <c r="F222" s="282" t="n"/>
      <c r="G222" s="282" t="n"/>
      <c r="H222" s="536" t="n"/>
      <c r="I222" s="535" t="n"/>
      <c r="J222" s="282" t="n"/>
      <c r="K222" s="282" t="n"/>
      <c r="L222" s="536" t="n"/>
      <c r="M222" s="535" t="n"/>
      <c r="N222" s="282" t="n"/>
      <c r="O222" s="282" t="n"/>
      <c r="P222" s="535" t="n"/>
      <c r="Q222" s="535" t="n"/>
      <c r="R222" s="282" t="n"/>
      <c r="S222" s="282" t="n"/>
      <c r="T222" s="535" t="n"/>
      <c r="U222" s="535" t="n"/>
      <c r="V222" s="282" t="n"/>
      <c r="W222" s="282" t="n"/>
      <c r="X222" s="536" t="n"/>
      <c r="Y222" s="536" t="n"/>
      <c r="Z222" s="282" t="n"/>
      <c r="AA222" s="282" t="n"/>
      <c r="AB222" s="536" t="n"/>
      <c r="AC222" s="536" t="n"/>
      <c r="AD222" s="282" t="n"/>
      <c r="AE222" s="282" t="n"/>
      <c r="AF222" s="537" t="n"/>
      <c r="AG222" s="537" t="n"/>
      <c r="AH222" s="282" t="n"/>
      <c r="AI222" s="282" t="n"/>
      <c r="AJ222" s="537" t="n"/>
      <c r="AK222" s="537" t="n"/>
      <c r="AL222" s="282" t="n"/>
      <c r="AM222" s="282" t="n"/>
      <c r="AN222" s="282" t="n"/>
      <c r="AO222" s="282" t="n"/>
      <c r="AP222" s="282" t="n"/>
      <c r="AQ222" s="282" t="n"/>
      <c r="AR222" s="535" t="n"/>
      <c r="AS222" s="535" t="n"/>
      <c r="AT222" s="282" t="n"/>
      <c r="AU222" s="282" t="n"/>
    </row>
    <row customHeight="1" ht="15.75" r="223" s="452" spans="1:48">
      <c r="A223" s="44" t="n"/>
      <c r="D223" s="535" t="n"/>
      <c r="E223" s="535" t="n"/>
      <c r="F223" s="282" t="n"/>
      <c r="G223" s="282" t="n"/>
      <c r="H223" s="536" t="n"/>
      <c r="I223" s="535" t="n"/>
      <c r="J223" s="282" t="n"/>
      <c r="K223" s="282" t="n"/>
      <c r="L223" s="536" t="n"/>
      <c r="M223" s="535" t="n"/>
      <c r="N223" s="282" t="n"/>
      <c r="O223" s="282" t="n"/>
      <c r="P223" s="535" t="n"/>
      <c r="Q223" s="535" t="n"/>
      <c r="R223" s="282" t="n"/>
      <c r="S223" s="282" t="n"/>
      <c r="T223" s="535" t="n"/>
      <c r="U223" s="535" t="n"/>
      <c r="V223" s="282" t="n"/>
      <c r="W223" s="282" t="n"/>
      <c r="X223" s="536" t="n"/>
      <c r="Y223" s="536" t="n"/>
      <c r="Z223" s="282" t="n"/>
      <c r="AA223" s="282" t="n"/>
      <c r="AB223" s="536" t="n"/>
      <c r="AC223" s="536" t="n"/>
      <c r="AD223" s="282" t="n"/>
      <c r="AE223" s="282" t="n"/>
      <c r="AF223" s="537" t="n"/>
      <c r="AG223" s="537" t="n"/>
      <c r="AH223" s="282" t="n"/>
      <c r="AI223" s="282" t="n"/>
      <c r="AJ223" s="537" t="n"/>
      <c r="AK223" s="537" t="n"/>
      <c r="AL223" s="282" t="n"/>
      <c r="AM223" s="282" t="n"/>
      <c r="AN223" s="282" t="n"/>
      <c r="AO223" s="282" t="n"/>
      <c r="AP223" s="282" t="n"/>
      <c r="AQ223" s="282" t="n"/>
      <c r="AR223" s="535" t="n"/>
      <c r="AS223" s="535" t="n"/>
      <c r="AT223" s="282" t="n"/>
      <c r="AU223" s="282" t="n"/>
    </row>
    <row customHeight="1" ht="15.75" r="224" s="452" spans="1:48">
      <c r="A224" s="44" t="n"/>
      <c r="D224" s="535" t="n"/>
      <c r="E224" s="535" t="n"/>
      <c r="F224" s="282" t="n"/>
      <c r="G224" s="282" t="n"/>
      <c r="H224" s="536" t="n"/>
      <c r="I224" s="535" t="n"/>
      <c r="J224" s="282" t="n"/>
      <c r="K224" s="282" t="n"/>
      <c r="L224" s="536" t="n"/>
      <c r="M224" s="535" t="n"/>
      <c r="N224" s="282" t="n"/>
      <c r="O224" s="282" t="n"/>
      <c r="P224" s="535" t="n"/>
      <c r="Q224" s="535" t="n"/>
      <c r="R224" s="282" t="n"/>
      <c r="S224" s="282" t="n"/>
      <c r="T224" s="535" t="n"/>
      <c r="U224" s="535" t="n"/>
      <c r="V224" s="282" t="n"/>
      <c r="W224" s="282" t="n"/>
      <c r="X224" s="536" t="n"/>
      <c r="Y224" s="536" t="n"/>
      <c r="Z224" s="282" t="n"/>
      <c r="AA224" s="282" t="n"/>
      <c r="AB224" s="536" t="n"/>
      <c r="AC224" s="536" t="n"/>
      <c r="AD224" s="282" t="n"/>
      <c r="AE224" s="282" t="n"/>
      <c r="AF224" s="537" t="n"/>
      <c r="AG224" s="537" t="n"/>
      <c r="AH224" s="282" t="n"/>
      <c r="AI224" s="282" t="n"/>
      <c r="AJ224" s="537" t="n"/>
      <c r="AK224" s="537" t="n"/>
      <c r="AL224" s="282" t="n"/>
      <c r="AM224" s="282" t="n"/>
      <c r="AN224" s="282" t="n"/>
      <c r="AO224" s="282" t="n"/>
      <c r="AP224" s="282" t="n"/>
      <c r="AQ224" s="282" t="n"/>
      <c r="AR224" s="535" t="n"/>
      <c r="AS224" s="535" t="n"/>
      <c r="AT224" s="282" t="n"/>
      <c r="AU224" s="282" t="n"/>
    </row>
    <row customHeight="1" ht="15.75" r="225" s="452" spans="1:48">
      <c r="A225" s="44" t="n"/>
      <c r="D225" s="535" t="n"/>
      <c r="E225" s="535" t="n"/>
      <c r="F225" s="282" t="n"/>
      <c r="G225" s="282" t="n"/>
      <c r="H225" s="536" t="n"/>
      <c r="I225" s="535" t="n"/>
      <c r="J225" s="282" t="n"/>
      <c r="K225" s="282" t="n"/>
      <c r="L225" s="536" t="n"/>
      <c r="M225" s="535" t="n"/>
      <c r="N225" s="282" t="n"/>
      <c r="O225" s="282" t="n"/>
      <c r="P225" s="535" t="n"/>
      <c r="Q225" s="535" t="n"/>
      <c r="R225" s="282" t="n"/>
      <c r="S225" s="282" t="n"/>
      <c r="T225" s="535" t="n"/>
      <c r="U225" s="535" t="n"/>
      <c r="V225" s="282" t="n"/>
      <c r="W225" s="282" t="n"/>
      <c r="X225" s="536" t="n"/>
      <c r="Y225" s="536" t="n"/>
      <c r="Z225" s="282" t="n"/>
      <c r="AA225" s="282" t="n"/>
      <c r="AB225" s="536" t="n"/>
      <c r="AC225" s="536" t="n"/>
      <c r="AD225" s="282" t="n"/>
      <c r="AE225" s="282" t="n"/>
      <c r="AF225" s="537" t="n"/>
      <c r="AG225" s="537" t="n"/>
      <c r="AH225" s="282" t="n"/>
      <c r="AI225" s="282" t="n"/>
      <c r="AJ225" s="537" t="n"/>
      <c r="AK225" s="537" t="n"/>
      <c r="AL225" s="282" t="n"/>
      <c r="AM225" s="282" t="n"/>
      <c r="AN225" s="282" t="n"/>
      <c r="AO225" s="282" t="n"/>
      <c r="AP225" s="282" t="n"/>
      <c r="AQ225" s="282" t="n"/>
      <c r="AR225" s="535" t="n"/>
      <c r="AS225" s="535" t="n"/>
      <c r="AT225" s="282" t="n"/>
      <c r="AU225" s="282" t="n"/>
    </row>
    <row customHeight="1" ht="15.75" r="226" s="452" spans="1:48">
      <c r="A226" s="44" t="n"/>
      <c r="D226" s="535" t="n"/>
      <c r="E226" s="535" t="n"/>
      <c r="F226" s="282" t="n"/>
      <c r="G226" s="282" t="n"/>
      <c r="H226" s="536" t="n"/>
      <c r="I226" s="535" t="n"/>
      <c r="J226" s="282" t="n"/>
      <c r="K226" s="282" t="n"/>
      <c r="L226" s="536" t="n"/>
      <c r="M226" s="535" t="n"/>
      <c r="N226" s="282" t="n"/>
      <c r="O226" s="282" t="n"/>
      <c r="P226" s="535" t="n"/>
      <c r="Q226" s="535" t="n"/>
      <c r="R226" s="282" t="n"/>
      <c r="S226" s="282" t="n"/>
      <c r="T226" s="535" t="n"/>
      <c r="U226" s="535" t="n"/>
      <c r="V226" s="282" t="n"/>
      <c r="W226" s="282" t="n"/>
      <c r="X226" s="536" t="n"/>
      <c r="Y226" s="536" t="n"/>
      <c r="Z226" s="282" t="n"/>
      <c r="AA226" s="282" t="n"/>
      <c r="AB226" s="536" t="n"/>
      <c r="AC226" s="536" t="n"/>
      <c r="AD226" s="282" t="n"/>
      <c r="AE226" s="282" t="n"/>
      <c r="AF226" s="537" t="n"/>
      <c r="AG226" s="537" t="n"/>
      <c r="AH226" s="282" t="n"/>
      <c r="AI226" s="282" t="n"/>
      <c r="AJ226" s="537" t="n"/>
      <c r="AK226" s="537" t="n"/>
      <c r="AL226" s="282" t="n"/>
      <c r="AM226" s="282" t="n"/>
      <c r="AN226" s="282" t="n"/>
      <c r="AO226" s="282" t="n"/>
      <c r="AP226" s="282" t="n"/>
      <c r="AQ226" s="282" t="n"/>
      <c r="AR226" s="535" t="n"/>
      <c r="AS226" s="535" t="n"/>
      <c r="AT226" s="282" t="n"/>
      <c r="AU226" s="282" t="n"/>
    </row>
    <row customHeight="1" ht="15.75" r="227" s="452" spans="1:48">
      <c r="A227" s="44" t="n"/>
      <c r="D227" s="535" t="n"/>
      <c r="E227" s="535" t="n"/>
      <c r="F227" s="282" t="n"/>
      <c r="G227" s="282" t="n"/>
      <c r="H227" s="536" t="n"/>
      <c r="I227" s="535" t="n"/>
      <c r="J227" s="282" t="n"/>
      <c r="K227" s="282" t="n"/>
      <c r="L227" s="536" t="n"/>
      <c r="M227" s="535" t="n"/>
      <c r="N227" s="282" t="n"/>
      <c r="O227" s="282" t="n"/>
      <c r="P227" s="535" t="n"/>
      <c r="Q227" s="535" t="n"/>
      <c r="R227" s="282" t="n"/>
      <c r="S227" s="282" t="n"/>
      <c r="T227" s="535" t="n"/>
      <c r="U227" s="535" t="n"/>
      <c r="V227" s="282" t="n"/>
      <c r="W227" s="282" t="n"/>
      <c r="X227" s="536" t="n"/>
      <c r="Y227" s="536" t="n"/>
      <c r="Z227" s="282" t="n"/>
      <c r="AA227" s="282" t="n"/>
      <c r="AB227" s="536" t="n"/>
      <c r="AC227" s="536" t="n"/>
      <c r="AD227" s="282" t="n"/>
      <c r="AE227" s="282" t="n"/>
      <c r="AF227" s="537" t="n"/>
      <c r="AG227" s="537" t="n"/>
      <c r="AH227" s="282" t="n"/>
      <c r="AI227" s="282" t="n"/>
      <c r="AJ227" s="537" t="n"/>
      <c r="AK227" s="537" t="n"/>
      <c r="AL227" s="282" t="n"/>
      <c r="AM227" s="282" t="n"/>
      <c r="AN227" s="282" t="n"/>
      <c r="AO227" s="282" t="n"/>
      <c r="AP227" s="282" t="n"/>
      <c r="AQ227" s="282" t="n"/>
      <c r="AR227" s="535" t="n"/>
      <c r="AS227" s="535" t="n"/>
      <c r="AT227" s="282" t="n"/>
      <c r="AU227" s="282" t="n"/>
    </row>
    <row customHeight="1" ht="15.75" r="228" s="452" spans="1:48">
      <c r="A228" s="44" t="n"/>
      <c r="D228" s="535" t="n"/>
      <c r="E228" s="535" t="n"/>
      <c r="F228" s="282" t="n"/>
      <c r="G228" s="282" t="n"/>
      <c r="H228" s="536" t="n"/>
      <c r="I228" s="535" t="n"/>
      <c r="J228" s="282" t="n"/>
      <c r="K228" s="282" t="n"/>
      <c r="L228" s="536" t="n"/>
      <c r="M228" s="535" t="n"/>
      <c r="N228" s="282" t="n"/>
      <c r="O228" s="282" t="n"/>
      <c r="P228" s="535" t="n"/>
      <c r="Q228" s="535" t="n"/>
      <c r="R228" s="282" t="n"/>
      <c r="S228" s="282" t="n"/>
      <c r="T228" s="535" t="n"/>
      <c r="U228" s="535" t="n"/>
      <c r="V228" s="282" t="n"/>
      <c r="W228" s="282" t="n"/>
      <c r="X228" s="536" t="n"/>
      <c r="Y228" s="536" t="n"/>
      <c r="Z228" s="282" t="n"/>
      <c r="AA228" s="282" t="n"/>
      <c r="AB228" s="536" t="n"/>
      <c r="AC228" s="536" t="n"/>
      <c r="AD228" s="282" t="n"/>
      <c r="AE228" s="282" t="n"/>
      <c r="AF228" s="537" t="n"/>
      <c r="AG228" s="537" t="n"/>
      <c r="AH228" s="282" t="n"/>
      <c r="AI228" s="282" t="n"/>
      <c r="AJ228" s="537" t="n"/>
      <c r="AK228" s="537" t="n"/>
      <c r="AL228" s="282" t="n"/>
      <c r="AM228" s="282" t="n"/>
      <c r="AN228" s="282" t="n"/>
      <c r="AO228" s="282" t="n"/>
      <c r="AP228" s="282" t="n"/>
      <c r="AQ228" s="282" t="n"/>
      <c r="AR228" s="535" t="n"/>
      <c r="AS228" s="535" t="n"/>
      <c r="AT228" s="282" t="n"/>
      <c r="AU228" s="282" t="n"/>
    </row>
    <row customHeight="1" ht="15.75" r="229" s="452" spans="1:48">
      <c r="A229" s="44" t="n"/>
      <c r="D229" s="535" t="n"/>
      <c r="E229" s="535" t="n"/>
      <c r="F229" s="282" t="n"/>
      <c r="G229" s="282" t="n"/>
      <c r="H229" s="536" t="n"/>
      <c r="I229" s="535" t="n"/>
      <c r="J229" s="282" t="n"/>
      <c r="K229" s="282" t="n"/>
      <c r="L229" s="536" t="n"/>
      <c r="M229" s="535" t="n"/>
      <c r="N229" s="282" t="n"/>
      <c r="O229" s="282" t="n"/>
      <c r="P229" s="535" t="n"/>
      <c r="Q229" s="535" t="n"/>
      <c r="R229" s="282" t="n"/>
      <c r="S229" s="282" t="n"/>
      <c r="T229" s="535" t="n"/>
      <c r="U229" s="535" t="n"/>
      <c r="V229" s="282" t="n"/>
      <c r="W229" s="282" t="n"/>
      <c r="X229" s="536" t="n"/>
      <c r="Y229" s="536" t="n"/>
      <c r="Z229" s="282" t="n"/>
      <c r="AA229" s="282" t="n"/>
      <c r="AB229" s="536" t="n"/>
      <c r="AC229" s="536" t="n"/>
      <c r="AD229" s="282" t="n"/>
      <c r="AE229" s="282" t="n"/>
      <c r="AF229" s="537" t="n"/>
      <c r="AG229" s="537" t="n"/>
      <c r="AH229" s="282" t="n"/>
      <c r="AI229" s="282" t="n"/>
      <c r="AJ229" s="537" t="n"/>
      <c r="AK229" s="537" t="n"/>
      <c r="AL229" s="282" t="n"/>
      <c r="AM229" s="282" t="n"/>
      <c r="AN229" s="282" t="n"/>
      <c r="AO229" s="282" t="n"/>
      <c r="AP229" s="282" t="n"/>
      <c r="AQ229" s="282" t="n"/>
      <c r="AR229" s="535" t="n"/>
      <c r="AS229" s="535" t="n"/>
      <c r="AT229" s="282" t="n"/>
      <c r="AU229" s="282" t="n"/>
    </row>
    <row customHeight="1" ht="15.75" r="230" s="452" spans="1:48">
      <c r="A230" s="44" t="n"/>
      <c r="D230" s="535" t="n"/>
      <c r="E230" s="535" t="n"/>
      <c r="F230" s="282" t="n"/>
      <c r="G230" s="282" t="n"/>
      <c r="H230" s="536" t="n"/>
      <c r="I230" s="535" t="n"/>
      <c r="J230" s="282" t="n"/>
      <c r="K230" s="282" t="n"/>
      <c r="L230" s="536" t="n"/>
      <c r="M230" s="535" t="n"/>
      <c r="N230" s="282" t="n"/>
      <c r="O230" s="282" t="n"/>
      <c r="P230" s="535" t="n"/>
      <c r="Q230" s="535" t="n"/>
      <c r="R230" s="282" t="n"/>
      <c r="S230" s="282" t="n"/>
      <c r="T230" s="535" t="n"/>
      <c r="U230" s="535" t="n"/>
      <c r="V230" s="282" t="n"/>
      <c r="W230" s="282" t="n"/>
      <c r="X230" s="536" t="n"/>
      <c r="Y230" s="536" t="n"/>
      <c r="Z230" s="282" t="n"/>
      <c r="AA230" s="282" t="n"/>
      <c r="AB230" s="536" t="n"/>
      <c r="AC230" s="536" t="n"/>
      <c r="AD230" s="282" t="n"/>
      <c r="AE230" s="282" t="n"/>
      <c r="AF230" s="537" t="n"/>
      <c r="AG230" s="537" t="n"/>
      <c r="AH230" s="282" t="n"/>
      <c r="AI230" s="282" t="n"/>
      <c r="AJ230" s="537" t="n"/>
      <c r="AK230" s="537" t="n"/>
      <c r="AL230" s="282" t="n"/>
      <c r="AM230" s="282" t="n"/>
      <c r="AN230" s="282" t="n"/>
      <c r="AO230" s="282" t="n"/>
      <c r="AP230" s="282" t="n"/>
      <c r="AQ230" s="282" t="n"/>
      <c r="AR230" s="535" t="n"/>
      <c r="AS230" s="535" t="n"/>
      <c r="AT230" s="282" t="n"/>
      <c r="AU230" s="282" t="n"/>
    </row>
    <row customHeight="1" ht="15.75" r="231" s="452" spans="1:48">
      <c r="A231" s="44" t="n"/>
      <c r="D231" s="535" t="n"/>
      <c r="E231" s="535" t="n"/>
      <c r="F231" s="282" t="n"/>
      <c r="G231" s="282" t="n"/>
      <c r="H231" s="536" t="n"/>
      <c r="I231" s="535" t="n"/>
      <c r="J231" s="282" t="n"/>
      <c r="K231" s="282" t="n"/>
      <c r="L231" s="536" t="n"/>
      <c r="M231" s="535" t="n"/>
      <c r="N231" s="282" t="n"/>
      <c r="O231" s="282" t="n"/>
      <c r="P231" s="535" t="n"/>
      <c r="Q231" s="535" t="n"/>
      <c r="R231" s="282" t="n"/>
      <c r="S231" s="282" t="n"/>
      <c r="T231" s="535" t="n"/>
      <c r="U231" s="535" t="n"/>
      <c r="V231" s="282" t="n"/>
      <c r="W231" s="282" t="n"/>
      <c r="X231" s="536" t="n"/>
      <c r="Y231" s="536" t="n"/>
      <c r="Z231" s="282" t="n"/>
      <c r="AA231" s="282" t="n"/>
      <c r="AB231" s="536" t="n"/>
      <c r="AC231" s="536" t="n"/>
      <c r="AD231" s="282" t="n"/>
      <c r="AE231" s="282" t="n"/>
      <c r="AF231" s="537" t="n"/>
      <c r="AG231" s="537" t="n"/>
      <c r="AH231" s="282" t="n"/>
      <c r="AI231" s="282" t="n"/>
      <c r="AJ231" s="537" t="n"/>
      <c r="AK231" s="537" t="n"/>
      <c r="AL231" s="282" t="n"/>
      <c r="AM231" s="282" t="n"/>
      <c r="AN231" s="282" t="n"/>
      <c r="AO231" s="282" t="n"/>
      <c r="AP231" s="282" t="n"/>
      <c r="AQ231" s="282" t="n"/>
      <c r="AR231" s="535" t="n"/>
      <c r="AS231" s="535" t="n"/>
      <c r="AT231" s="282" t="n"/>
      <c r="AU231" s="282" t="n"/>
    </row>
    <row customHeight="1" ht="15.75" r="232" s="452" spans="1:48">
      <c r="A232" s="44" t="n"/>
      <c r="D232" s="535" t="n"/>
      <c r="E232" s="535" t="n"/>
      <c r="F232" s="282" t="n"/>
      <c r="G232" s="282" t="n"/>
      <c r="H232" s="536" t="n"/>
      <c r="I232" s="535" t="n"/>
      <c r="J232" s="282" t="n"/>
      <c r="K232" s="282" t="n"/>
      <c r="L232" s="536" t="n"/>
      <c r="M232" s="535" t="n"/>
      <c r="N232" s="282" t="n"/>
      <c r="O232" s="282" t="n"/>
      <c r="P232" s="535" t="n"/>
      <c r="Q232" s="535" t="n"/>
      <c r="R232" s="282" t="n"/>
      <c r="S232" s="282" t="n"/>
      <c r="T232" s="535" t="n"/>
      <c r="U232" s="535" t="n"/>
      <c r="V232" s="282" t="n"/>
      <c r="W232" s="282" t="n"/>
      <c r="X232" s="536" t="n"/>
      <c r="Y232" s="536" t="n"/>
      <c r="Z232" s="282" t="n"/>
      <c r="AA232" s="282" t="n"/>
      <c r="AB232" s="536" t="n"/>
      <c r="AC232" s="536" t="n"/>
      <c r="AD232" s="282" t="n"/>
      <c r="AE232" s="282" t="n"/>
      <c r="AF232" s="537" t="n"/>
      <c r="AG232" s="537" t="n"/>
      <c r="AH232" s="282" t="n"/>
      <c r="AI232" s="282" t="n"/>
      <c r="AJ232" s="537" t="n"/>
      <c r="AK232" s="537" t="n"/>
      <c r="AL232" s="282" t="n"/>
      <c r="AM232" s="282" t="n"/>
      <c r="AN232" s="282" t="n"/>
      <c r="AO232" s="282" t="n"/>
      <c r="AP232" s="282" t="n"/>
      <c r="AQ232" s="282" t="n"/>
      <c r="AR232" s="535" t="n"/>
      <c r="AS232" s="535" t="n"/>
      <c r="AT232" s="282" t="n"/>
      <c r="AU232" s="282" t="n"/>
    </row>
    <row customHeight="1" ht="15.75" r="233" s="452" spans="1:48">
      <c r="A233" s="44" t="n"/>
      <c r="D233" s="535" t="n"/>
      <c r="E233" s="535" t="n"/>
      <c r="F233" s="282" t="n"/>
      <c r="G233" s="282" t="n"/>
      <c r="H233" s="536" t="n"/>
      <c r="I233" s="535" t="n"/>
      <c r="J233" s="282" t="n"/>
      <c r="K233" s="282" t="n"/>
      <c r="L233" s="536" t="n"/>
      <c r="M233" s="535" t="n"/>
      <c r="N233" s="282" t="n"/>
      <c r="O233" s="282" t="n"/>
      <c r="P233" s="535" t="n"/>
      <c r="Q233" s="535" t="n"/>
      <c r="R233" s="282" t="n"/>
      <c r="S233" s="282" t="n"/>
      <c r="T233" s="535" t="n"/>
      <c r="U233" s="535" t="n"/>
      <c r="V233" s="282" t="n"/>
      <c r="W233" s="282" t="n"/>
      <c r="X233" s="536" t="n"/>
      <c r="Y233" s="536" t="n"/>
      <c r="Z233" s="282" t="n"/>
      <c r="AA233" s="282" t="n"/>
      <c r="AB233" s="536" t="n"/>
      <c r="AC233" s="536" t="n"/>
      <c r="AD233" s="282" t="n"/>
      <c r="AE233" s="282" t="n"/>
      <c r="AF233" s="537" t="n"/>
      <c r="AG233" s="537" t="n"/>
      <c r="AH233" s="282" t="n"/>
      <c r="AI233" s="282" t="n"/>
      <c r="AJ233" s="537" t="n"/>
      <c r="AK233" s="537" t="n"/>
      <c r="AL233" s="282" t="n"/>
      <c r="AM233" s="282" t="n"/>
      <c r="AN233" s="282" t="n"/>
      <c r="AO233" s="282" t="n"/>
      <c r="AP233" s="282" t="n"/>
      <c r="AQ233" s="282" t="n"/>
      <c r="AR233" s="535" t="n"/>
      <c r="AS233" s="535" t="n"/>
      <c r="AT233" s="282" t="n"/>
      <c r="AU233" s="282" t="n"/>
    </row>
    <row customHeight="1" ht="15.75" r="234" s="452" spans="1:48">
      <c r="A234" s="44" t="n"/>
      <c r="D234" s="535" t="n"/>
      <c r="E234" s="535" t="n"/>
      <c r="F234" s="282" t="n"/>
      <c r="G234" s="282" t="n"/>
      <c r="H234" s="536" t="n"/>
      <c r="I234" s="535" t="n"/>
      <c r="J234" s="282" t="n"/>
      <c r="K234" s="282" t="n"/>
      <c r="L234" s="536" t="n"/>
      <c r="M234" s="535" t="n"/>
      <c r="N234" s="282" t="n"/>
      <c r="O234" s="282" t="n"/>
      <c r="P234" s="535" t="n"/>
      <c r="Q234" s="535" t="n"/>
      <c r="R234" s="282" t="n"/>
      <c r="S234" s="282" t="n"/>
      <c r="T234" s="535" t="n"/>
      <c r="U234" s="535" t="n"/>
      <c r="V234" s="282" t="n"/>
      <c r="W234" s="282" t="n"/>
      <c r="X234" s="536" t="n"/>
      <c r="Y234" s="536" t="n"/>
      <c r="Z234" s="282" t="n"/>
      <c r="AA234" s="282" t="n"/>
      <c r="AB234" s="536" t="n"/>
      <c r="AC234" s="536" t="n"/>
      <c r="AD234" s="282" t="n"/>
      <c r="AE234" s="282" t="n"/>
      <c r="AF234" s="537" t="n"/>
      <c r="AG234" s="537" t="n"/>
      <c r="AH234" s="282" t="n"/>
      <c r="AI234" s="282" t="n"/>
      <c r="AJ234" s="537" t="n"/>
      <c r="AK234" s="537" t="n"/>
      <c r="AL234" s="282" t="n"/>
      <c r="AM234" s="282" t="n"/>
      <c r="AN234" s="282" t="n"/>
      <c r="AO234" s="282" t="n"/>
      <c r="AP234" s="282" t="n"/>
      <c r="AQ234" s="282" t="n"/>
      <c r="AR234" s="535" t="n"/>
      <c r="AS234" s="535" t="n"/>
      <c r="AT234" s="282" t="n"/>
      <c r="AU234" s="282" t="n"/>
    </row>
    <row customHeight="1" ht="15.75" r="235" s="452" spans="1:48">
      <c r="A235" s="44" t="n"/>
      <c r="D235" s="535" t="n"/>
      <c r="E235" s="535" t="n"/>
      <c r="F235" s="282" t="n"/>
      <c r="G235" s="282" t="n"/>
      <c r="H235" s="536" t="n"/>
      <c r="I235" s="535" t="n"/>
      <c r="J235" s="282" t="n"/>
      <c r="K235" s="282" t="n"/>
      <c r="L235" s="536" t="n"/>
      <c r="M235" s="535" t="n"/>
      <c r="N235" s="282" t="n"/>
      <c r="O235" s="282" t="n"/>
      <c r="P235" s="535" t="n"/>
      <c r="Q235" s="535" t="n"/>
      <c r="R235" s="282" t="n"/>
      <c r="S235" s="282" t="n"/>
      <c r="T235" s="535" t="n"/>
      <c r="U235" s="535" t="n"/>
      <c r="V235" s="282" t="n"/>
      <c r="W235" s="282" t="n"/>
      <c r="X235" s="536" t="n"/>
      <c r="Y235" s="536" t="n"/>
      <c r="Z235" s="282" t="n"/>
      <c r="AA235" s="282" t="n"/>
      <c r="AB235" s="536" t="n"/>
      <c r="AC235" s="536" t="n"/>
      <c r="AD235" s="282" t="n"/>
      <c r="AE235" s="282" t="n"/>
      <c r="AF235" s="537" t="n"/>
      <c r="AG235" s="537" t="n"/>
      <c r="AH235" s="282" t="n"/>
      <c r="AI235" s="282" t="n"/>
      <c r="AJ235" s="537" t="n"/>
      <c r="AK235" s="537" t="n"/>
      <c r="AL235" s="282" t="n"/>
      <c r="AM235" s="282" t="n"/>
      <c r="AN235" s="282" t="n"/>
      <c r="AO235" s="282" t="n"/>
      <c r="AP235" s="282" t="n"/>
      <c r="AQ235" s="282" t="n"/>
      <c r="AR235" s="535" t="n"/>
      <c r="AS235" s="535" t="n"/>
      <c r="AT235" s="282" t="n"/>
      <c r="AU235" s="282" t="n"/>
    </row>
    <row customHeight="1" ht="15.75" r="236" s="452" spans="1:48">
      <c r="A236" s="44" t="n"/>
      <c r="D236" s="535" t="n"/>
      <c r="E236" s="535" t="n"/>
      <c r="F236" s="282" t="n"/>
      <c r="G236" s="282" t="n"/>
      <c r="H236" s="536" t="n"/>
      <c r="I236" s="535" t="n"/>
      <c r="J236" s="282" t="n"/>
      <c r="K236" s="282" t="n"/>
      <c r="L236" s="536" t="n"/>
      <c r="M236" s="535" t="n"/>
      <c r="N236" s="282" t="n"/>
      <c r="O236" s="282" t="n"/>
      <c r="P236" s="535" t="n"/>
      <c r="Q236" s="535" t="n"/>
      <c r="R236" s="282" t="n"/>
      <c r="S236" s="282" t="n"/>
      <c r="T236" s="535" t="n"/>
      <c r="U236" s="535" t="n"/>
      <c r="V236" s="282" t="n"/>
      <c r="W236" s="282" t="n"/>
      <c r="X236" s="536" t="n"/>
      <c r="Y236" s="536" t="n"/>
      <c r="Z236" s="282" t="n"/>
      <c r="AA236" s="282" t="n"/>
      <c r="AB236" s="536" t="n"/>
      <c r="AC236" s="536" t="n"/>
      <c r="AD236" s="282" t="n"/>
      <c r="AE236" s="282" t="n"/>
      <c r="AF236" s="537" t="n"/>
      <c r="AG236" s="537" t="n"/>
      <c r="AH236" s="282" t="n"/>
      <c r="AI236" s="282" t="n"/>
      <c r="AJ236" s="537" t="n"/>
      <c r="AK236" s="537" t="n"/>
      <c r="AL236" s="282" t="n"/>
      <c r="AM236" s="282" t="n"/>
      <c r="AN236" s="282" t="n"/>
      <c r="AO236" s="282" t="n"/>
      <c r="AP236" s="282" t="n"/>
      <c r="AQ236" s="282" t="n"/>
      <c r="AR236" s="535" t="n"/>
      <c r="AS236" s="535" t="n"/>
      <c r="AT236" s="282" t="n"/>
      <c r="AU236" s="282" t="n"/>
    </row>
    <row customHeight="1" ht="15.75" r="237" s="452" spans="1:48">
      <c r="A237" s="44" t="n"/>
      <c r="D237" s="535" t="n"/>
      <c r="E237" s="535" t="n"/>
      <c r="F237" s="282" t="n"/>
      <c r="G237" s="282" t="n"/>
      <c r="H237" s="536" t="n"/>
      <c r="I237" s="535" t="n"/>
      <c r="J237" s="282" t="n"/>
      <c r="K237" s="282" t="n"/>
      <c r="L237" s="536" t="n"/>
      <c r="M237" s="535" t="n"/>
      <c r="N237" s="282" t="n"/>
      <c r="O237" s="282" t="n"/>
      <c r="P237" s="535" t="n"/>
      <c r="Q237" s="535" t="n"/>
      <c r="R237" s="282" t="n"/>
      <c r="S237" s="282" t="n"/>
      <c r="T237" s="535" t="n"/>
      <c r="U237" s="535" t="n"/>
      <c r="V237" s="282" t="n"/>
      <c r="W237" s="282" t="n"/>
      <c r="X237" s="536" t="n"/>
      <c r="Y237" s="536" t="n"/>
      <c r="Z237" s="282" t="n"/>
      <c r="AA237" s="282" t="n"/>
      <c r="AB237" s="536" t="n"/>
      <c r="AC237" s="536" t="n"/>
      <c r="AD237" s="282" t="n"/>
      <c r="AE237" s="282" t="n"/>
      <c r="AF237" s="537" t="n"/>
      <c r="AG237" s="537" t="n"/>
      <c r="AH237" s="282" t="n"/>
      <c r="AI237" s="282" t="n"/>
      <c r="AJ237" s="537" t="n"/>
      <c r="AK237" s="537" t="n"/>
      <c r="AL237" s="282" t="n"/>
      <c r="AM237" s="282" t="n"/>
      <c r="AN237" s="282" t="n"/>
      <c r="AO237" s="282" t="n"/>
      <c r="AP237" s="282" t="n"/>
      <c r="AQ237" s="282" t="n"/>
      <c r="AR237" s="535" t="n"/>
      <c r="AS237" s="535" t="n"/>
      <c r="AT237" s="282" t="n"/>
      <c r="AU237" s="282" t="n"/>
    </row>
    <row customHeight="1" ht="15.75" r="238" s="452" spans="1:48">
      <c r="A238" s="44" t="n"/>
      <c r="D238" s="535" t="n"/>
      <c r="E238" s="535" t="n"/>
      <c r="F238" s="282" t="n"/>
      <c r="G238" s="282" t="n"/>
      <c r="H238" s="536" t="n"/>
      <c r="I238" s="535" t="n"/>
      <c r="J238" s="282" t="n"/>
      <c r="K238" s="282" t="n"/>
      <c r="L238" s="536" t="n"/>
      <c r="M238" s="535" t="n"/>
      <c r="N238" s="282" t="n"/>
      <c r="O238" s="282" t="n"/>
      <c r="P238" s="535" t="n"/>
      <c r="Q238" s="535" t="n"/>
      <c r="R238" s="282" t="n"/>
      <c r="S238" s="282" t="n"/>
      <c r="T238" s="535" t="n"/>
      <c r="U238" s="535" t="n"/>
      <c r="V238" s="282" t="n"/>
      <c r="W238" s="282" t="n"/>
      <c r="X238" s="536" t="n"/>
      <c r="Y238" s="536" t="n"/>
      <c r="Z238" s="282" t="n"/>
      <c r="AA238" s="282" t="n"/>
      <c r="AB238" s="536" t="n"/>
      <c r="AC238" s="536" t="n"/>
      <c r="AD238" s="282" t="n"/>
      <c r="AE238" s="282" t="n"/>
      <c r="AF238" s="537" t="n"/>
      <c r="AG238" s="537" t="n"/>
      <c r="AH238" s="282" t="n"/>
      <c r="AI238" s="282" t="n"/>
      <c r="AJ238" s="537" t="n"/>
      <c r="AK238" s="537" t="n"/>
      <c r="AL238" s="282" t="n"/>
      <c r="AM238" s="282" t="n"/>
      <c r="AN238" s="282" t="n"/>
      <c r="AO238" s="282" t="n"/>
      <c r="AP238" s="282" t="n"/>
      <c r="AQ238" s="282" t="n"/>
      <c r="AR238" s="535" t="n"/>
      <c r="AS238" s="535" t="n"/>
      <c r="AT238" s="282" t="n"/>
      <c r="AU238" s="282" t="n"/>
    </row>
    <row customHeight="1" ht="15.75" r="239" s="452" spans="1:48">
      <c r="A239" s="44" t="n"/>
      <c r="D239" s="535" t="n"/>
      <c r="E239" s="535" t="n"/>
      <c r="F239" s="282" t="n"/>
      <c r="G239" s="282" t="n"/>
      <c r="H239" s="536" t="n"/>
      <c r="I239" s="535" t="n"/>
      <c r="J239" s="282" t="n"/>
      <c r="K239" s="282" t="n"/>
      <c r="L239" s="536" t="n"/>
      <c r="M239" s="535" t="n"/>
      <c r="N239" s="282" t="n"/>
      <c r="O239" s="282" t="n"/>
      <c r="P239" s="535" t="n"/>
      <c r="Q239" s="535" t="n"/>
      <c r="R239" s="282" t="n"/>
      <c r="S239" s="282" t="n"/>
      <c r="T239" s="535" t="n"/>
      <c r="U239" s="535" t="n"/>
      <c r="V239" s="282" t="n"/>
      <c r="W239" s="282" t="n"/>
      <c r="X239" s="536" t="n"/>
      <c r="Y239" s="536" t="n"/>
      <c r="Z239" s="282" t="n"/>
      <c r="AA239" s="282" t="n"/>
      <c r="AB239" s="536" t="n"/>
      <c r="AC239" s="536" t="n"/>
      <c r="AD239" s="282" t="n"/>
      <c r="AE239" s="282" t="n"/>
      <c r="AF239" s="537" t="n"/>
      <c r="AG239" s="537" t="n"/>
      <c r="AH239" s="282" t="n"/>
      <c r="AI239" s="282" t="n"/>
      <c r="AJ239" s="537" t="n"/>
      <c r="AK239" s="537" t="n"/>
      <c r="AL239" s="282" t="n"/>
      <c r="AM239" s="282" t="n"/>
      <c r="AN239" s="282" t="n"/>
      <c r="AO239" s="282" t="n"/>
      <c r="AP239" s="282" t="n"/>
      <c r="AQ239" s="282" t="n"/>
      <c r="AR239" s="535" t="n"/>
      <c r="AS239" s="535" t="n"/>
      <c r="AT239" s="282" t="n"/>
      <c r="AU239" s="282" t="n"/>
    </row>
    <row customHeight="1" ht="15.75" r="240" s="452" spans="1:48">
      <c r="A240" s="44" t="n"/>
      <c r="D240" s="535" t="n"/>
      <c r="E240" s="535" t="n"/>
      <c r="F240" s="282" t="n"/>
      <c r="G240" s="282" t="n"/>
      <c r="H240" s="536" t="n"/>
      <c r="I240" s="535" t="n"/>
      <c r="J240" s="282" t="n"/>
      <c r="K240" s="282" t="n"/>
      <c r="L240" s="536" t="n"/>
      <c r="M240" s="535" t="n"/>
      <c r="N240" s="282" t="n"/>
      <c r="O240" s="282" t="n"/>
      <c r="P240" s="535" t="n"/>
      <c r="Q240" s="535" t="n"/>
      <c r="R240" s="282" t="n"/>
      <c r="S240" s="282" t="n"/>
      <c r="T240" s="535" t="n"/>
      <c r="U240" s="535" t="n"/>
      <c r="V240" s="282" t="n"/>
      <c r="W240" s="282" t="n"/>
      <c r="X240" s="536" t="n"/>
      <c r="Y240" s="536" t="n"/>
      <c r="Z240" s="282" t="n"/>
      <c r="AA240" s="282" t="n"/>
      <c r="AB240" s="536" t="n"/>
      <c r="AC240" s="536" t="n"/>
      <c r="AD240" s="282" t="n"/>
      <c r="AE240" s="282" t="n"/>
      <c r="AF240" s="537" t="n"/>
      <c r="AG240" s="537" t="n"/>
      <c r="AH240" s="282" t="n"/>
      <c r="AI240" s="282" t="n"/>
      <c r="AJ240" s="537" t="n"/>
      <c r="AK240" s="537" t="n"/>
      <c r="AL240" s="282" t="n"/>
      <c r="AM240" s="282" t="n"/>
      <c r="AN240" s="282" t="n"/>
      <c r="AO240" s="282" t="n"/>
      <c r="AP240" s="282" t="n"/>
      <c r="AQ240" s="282" t="n"/>
      <c r="AR240" s="535" t="n"/>
      <c r="AS240" s="535" t="n"/>
      <c r="AT240" s="282" t="n"/>
      <c r="AU240" s="282" t="n"/>
    </row>
    <row customHeight="1" ht="15.75" r="241" s="452" spans="1:48">
      <c r="A241" s="44" t="n"/>
      <c r="D241" s="535" t="n"/>
      <c r="E241" s="535" t="n"/>
      <c r="F241" s="282" t="n"/>
      <c r="G241" s="282" t="n"/>
      <c r="H241" s="536" t="n"/>
      <c r="I241" s="535" t="n"/>
      <c r="J241" s="282" t="n"/>
      <c r="K241" s="282" t="n"/>
      <c r="L241" s="536" t="n"/>
      <c r="M241" s="535" t="n"/>
      <c r="N241" s="282" t="n"/>
      <c r="O241" s="282" t="n"/>
      <c r="P241" s="535" t="n"/>
      <c r="Q241" s="535" t="n"/>
      <c r="R241" s="282" t="n"/>
      <c r="S241" s="282" t="n"/>
      <c r="T241" s="535" t="n"/>
      <c r="U241" s="535" t="n"/>
      <c r="V241" s="282" t="n"/>
      <c r="W241" s="282" t="n"/>
      <c r="X241" s="536" t="n"/>
      <c r="Y241" s="536" t="n"/>
      <c r="Z241" s="282" t="n"/>
      <c r="AA241" s="282" t="n"/>
      <c r="AB241" s="536" t="n"/>
      <c r="AC241" s="536" t="n"/>
      <c r="AD241" s="282" t="n"/>
      <c r="AE241" s="282" t="n"/>
      <c r="AF241" s="537" t="n"/>
      <c r="AG241" s="537" t="n"/>
      <c r="AH241" s="282" t="n"/>
      <c r="AI241" s="282" t="n"/>
      <c r="AJ241" s="537" t="n"/>
      <c r="AK241" s="537" t="n"/>
      <c r="AL241" s="282" t="n"/>
      <c r="AM241" s="282" t="n"/>
      <c r="AN241" s="282" t="n"/>
      <c r="AO241" s="282" t="n"/>
      <c r="AP241" s="282" t="n"/>
      <c r="AQ241" s="282" t="n"/>
      <c r="AR241" s="535" t="n"/>
      <c r="AS241" s="535" t="n"/>
      <c r="AT241" s="282" t="n"/>
      <c r="AU241" s="282" t="n"/>
    </row>
    <row customHeight="1" ht="15.75" r="242" s="452" spans="1:48">
      <c r="A242" s="44" t="n"/>
      <c r="D242" s="535" t="n"/>
      <c r="E242" s="535" t="n"/>
      <c r="F242" s="282" t="n"/>
      <c r="G242" s="282" t="n"/>
      <c r="H242" s="536" t="n"/>
      <c r="I242" s="535" t="n"/>
      <c r="J242" s="282" t="n"/>
      <c r="K242" s="282" t="n"/>
      <c r="L242" s="536" t="n"/>
      <c r="M242" s="535" t="n"/>
      <c r="N242" s="282" t="n"/>
      <c r="O242" s="282" t="n"/>
      <c r="P242" s="535" t="n"/>
      <c r="Q242" s="535" t="n"/>
      <c r="R242" s="282" t="n"/>
      <c r="S242" s="282" t="n"/>
      <c r="T242" s="535" t="n"/>
      <c r="U242" s="535" t="n"/>
      <c r="V242" s="282" t="n"/>
      <c r="W242" s="282" t="n"/>
      <c r="X242" s="536" t="n"/>
      <c r="Y242" s="536" t="n"/>
      <c r="Z242" s="282" t="n"/>
      <c r="AA242" s="282" t="n"/>
      <c r="AB242" s="536" t="n"/>
      <c r="AC242" s="536" t="n"/>
      <c r="AD242" s="282" t="n"/>
      <c r="AE242" s="282" t="n"/>
      <c r="AF242" s="537" t="n"/>
      <c r="AG242" s="537" t="n"/>
      <c r="AH242" s="282" t="n"/>
      <c r="AI242" s="282" t="n"/>
      <c r="AJ242" s="537" t="n"/>
      <c r="AK242" s="537" t="n"/>
      <c r="AL242" s="282" t="n"/>
      <c r="AM242" s="282" t="n"/>
      <c r="AN242" s="282" t="n"/>
      <c r="AO242" s="282" t="n"/>
      <c r="AP242" s="282" t="n"/>
      <c r="AQ242" s="282" t="n"/>
      <c r="AR242" s="535" t="n"/>
      <c r="AS242" s="535" t="n"/>
      <c r="AT242" s="282" t="n"/>
      <c r="AU242" s="282" t="n"/>
    </row>
    <row customHeight="1" ht="15.75" r="243" s="452" spans="1:48">
      <c r="A243" s="44" t="n"/>
      <c r="D243" s="535" t="n"/>
      <c r="E243" s="535" t="n"/>
      <c r="F243" s="282" t="n"/>
      <c r="G243" s="282" t="n"/>
      <c r="H243" s="536" t="n"/>
      <c r="I243" s="535" t="n"/>
      <c r="J243" s="282" t="n"/>
      <c r="K243" s="282" t="n"/>
      <c r="L243" s="536" t="n"/>
      <c r="M243" s="535" t="n"/>
      <c r="N243" s="282" t="n"/>
      <c r="O243" s="282" t="n"/>
      <c r="P243" s="535" t="n"/>
      <c r="Q243" s="535" t="n"/>
      <c r="R243" s="282" t="n"/>
      <c r="S243" s="282" t="n"/>
      <c r="T243" s="535" t="n"/>
      <c r="U243" s="535" t="n"/>
      <c r="V243" s="282" t="n"/>
      <c r="W243" s="282" t="n"/>
      <c r="X243" s="536" t="n"/>
      <c r="Y243" s="536" t="n"/>
      <c r="Z243" s="282" t="n"/>
      <c r="AA243" s="282" t="n"/>
      <c r="AB243" s="536" t="n"/>
      <c r="AC243" s="536" t="n"/>
      <c r="AD243" s="282" t="n"/>
      <c r="AE243" s="282" t="n"/>
      <c r="AF243" s="537" t="n"/>
      <c r="AG243" s="537" t="n"/>
      <c r="AH243" s="282" t="n"/>
      <c r="AI243" s="282" t="n"/>
      <c r="AJ243" s="537" t="n"/>
      <c r="AK243" s="537" t="n"/>
      <c r="AL243" s="282" t="n"/>
      <c r="AM243" s="282" t="n"/>
      <c r="AN243" s="282" t="n"/>
      <c r="AO243" s="282" t="n"/>
      <c r="AP243" s="282" t="n"/>
      <c r="AQ243" s="282" t="n"/>
      <c r="AR243" s="535" t="n"/>
      <c r="AS243" s="535" t="n"/>
      <c r="AT243" s="282" t="n"/>
      <c r="AU243" s="282" t="n"/>
    </row>
    <row customHeight="1" ht="15.75" r="244" s="452" spans="1:48">
      <c r="A244" s="44" t="n"/>
      <c r="D244" s="535" t="n"/>
      <c r="E244" s="535" t="n"/>
      <c r="F244" s="282" t="n"/>
      <c r="G244" s="282" t="n"/>
      <c r="H244" s="536" t="n"/>
      <c r="I244" s="535" t="n"/>
      <c r="J244" s="282" t="n"/>
      <c r="K244" s="282" t="n"/>
      <c r="L244" s="536" t="n"/>
      <c r="M244" s="535" t="n"/>
      <c r="N244" s="282" t="n"/>
      <c r="O244" s="282" t="n"/>
      <c r="P244" s="535" t="n"/>
      <c r="Q244" s="535" t="n"/>
      <c r="R244" s="282" t="n"/>
      <c r="S244" s="282" t="n"/>
      <c r="T244" s="535" t="n"/>
      <c r="U244" s="535" t="n"/>
      <c r="V244" s="282" t="n"/>
      <c r="W244" s="282" t="n"/>
      <c r="X244" s="536" t="n"/>
      <c r="Y244" s="536" t="n"/>
      <c r="Z244" s="282" t="n"/>
      <c r="AA244" s="282" t="n"/>
      <c r="AB244" s="536" t="n"/>
      <c r="AC244" s="536" t="n"/>
      <c r="AD244" s="282" t="n"/>
      <c r="AE244" s="282" t="n"/>
      <c r="AF244" s="537" t="n"/>
      <c r="AG244" s="537" t="n"/>
      <c r="AH244" s="282" t="n"/>
      <c r="AI244" s="282" t="n"/>
      <c r="AJ244" s="537" t="n"/>
      <c r="AK244" s="537" t="n"/>
      <c r="AL244" s="282" t="n"/>
      <c r="AM244" s="282" t="n"/>
      <c r="AN244" s="282" t="n"/>
      <c r="AO244" s="282" t="n"/>
      <c r="AP244" s="282" t="n"/>
      <c r="AQ244" s="282" t="n"/>
      <c r="AR244" s="535" t="n"/>
      <c r="AS244" s="535" t="n"/>
      <c r="AT244" s="282" t="n"/>
      <c r="AU244" s="282" t="n"/>
    </row>
    <row customHeight="1" ht="15.75" r="245" s="452" spans="1:48">
      <c r="A245" s="44" t="n"/>
      <c r="D245" s="535" t="n"/>
      <c r="E245" s="535" t="n"/>
      <c r="F245" s="282" t="n"/>
      <c r="G245" s="282" t="n"/>
      <c r="H245" s="536" t="n"/>
      <c r="I245" s="535" t="n"/>
      <c r="J245" s="282" t="n"/>
      <c r="K245" s="282" t="n"/>
      <c r="L245" s="536" t="n"/>
      <c r="M245" s="535" t="n"/>
      <c r="N245" s="282" t="n"/>
      <c r="O245" s="282" t="n"/>
      <c r="P245" s="535" t="n"/>
      <c r="Q245" s="535" t="n"/>
      <c r="R245" s="282" t="n"/>
      <c r="S245" s="282" t="n"/>
      <c r="T245" s="535" t="n"/>
      <c r="U245" s="535" t="n"/>
      <c r="V245" s="282" t="n"/>
      <c r="W245" s="282" t="n"/>
      <c r="X245" s="536" t="n"/>
      <c r="Y245" s="536" t="n"/>
      <c r="Z245" s="282" t="n"/>
      <c r="AA245" s="282" t="n"/>
      <c r="AB245" s="536" t="n"/>
      <c r="AC245" s="536" t="n"/>
      <c r="AD245" s="282" t="n"/>
      <c r="AE245" s="282" t="n"/>
      <c r="AF245" s="537" t="n"/>
      <c r="AG245" s="537" t="n"/>
      <c r="AH245" s="282" t="n"/>
      <c r="AI245" s="282" t="n"/>
      <c r="AJ245" s="537" t="n"/>
      <c r="AK245" s="537" t="n"/>
      <c r="AL245" s="282" t="n"/>
      <c r="AM245" s="282" t="n"/>
      <c r="AN245" s="282" t="n"/>
      <c r="AO245" s="282" t="n"/>
      <c r="AP245" s="282" t="n"/>
      <c r="AQ245" s="282" t="n"/>
      <c r="AR245" s="535" t="n"/>
      <c r="AS245" s="535" t="n"/>
      <c r="AT245" s="282" t="n"/>
      <c r="AU245" s="282" t="n"/>
    </row>
    <row customHeight="1" ht="15.75" r="246" s="452" spans="1:48">
      <c r="A246" s="44" t="n"/>
      <c r="D246" s="535" t="n"/>
      <c r="E246" s="535" t="n"/>
      <c r="F246" s="282" t="n"/>
      <c r="G246" s="282" t="n"/>
      <c r="H246" s="536" t="n"/>
      <c r="I246" s="535" t="n"/>
      <c r="J246" s="282" t="n"/>
      <c r="K246" s="282" t="n"/>
      <c r="L246" s="536" t="n"/>
      <c r="M246" s="535" t="n"/>
      <c r="N246" s="282" t="n"/>
      <c r="O246" s="282" t="n"/>
      <c r="P246" s="535" t="n"/>
      <c r="Q246" s="535" t="n"/>
      <c r="R246" s="282" t="n"/>
      <c r="S246" s="282" t="n"/>
      <c r="T246" s="535" t="n"/>
      <c r="U246" s="535" t="n"/>
      <c r="V246" s="282" t="n"/>
      <c r="W246" s="282" t="n"/>
      <c r="X246" s="536" t="n"/>
      <c r="Y246" s="536" t="n"/>
      <c r="Z246" s="282" t="n"/>
      <c r="AA246" s="282" t="n"/>
      <c r="AB246" s="536" t="n"/>
      <c r="AC246" s="536" t="n"/>
      <c r="AD246" s="282" t="n"/>
      <c r="AE246" s="282" t="n"/>
      <c r="AF246" s="537" t="n"/>
      <c r="AG246" s="537" t="n"/>
      <c r="AH246" s="282" t="n"/>
      <c r="AI246" s="282" t="n"/>
      <c r="AJ246" s="537" t="n"/>
      <c r="AK246" s="537" t="n"/>
      <c r="AL246" s="282" t="n"/>
      <c r="AM246" s="282" t="n"/>
      <c r="AN246" s="282" t="n"/>
      <c r="AO246" s="282" t="n"/>
      <c r="AP246" s="282" t="n"/>
      <c r="AQ246" s="282" t="n"/>
      <c r="AR246" s="535" t="n"/>
      <c r="AS246" s="535" t="n"/>
      <c r="AT246" s="282" t="n"/>
      <c r="AU246" s="282" t="n"/>
    </row>
    <row customHeight="1" ht="15.75" r="247" s="452" spans="1:48">
      <c r="A247" s="44" t="n"/>
      <c r="D247" s="535" t="n"/>
      <c r="E247" s="535" t="n"/>
      <c r="F247" s="282" t="n"/>
      <c r="G247" s="282" t="n"/>
      <c r="H247" s="536" t="n"/>
      <c r="I247" s="535" t="n"/>
      <c r="J247" s="282" t="n"/>
      <c r="K247" s="282" t="n"/>
      <c r="L247" s="536" t="n"/>
      <c r="M247" s="535" t="n"/>
      <c r="N247" s="282" t="n"/>
      <c r="O247" s="282" t="n"/>
      <c r="P247" s="535" t="n"/>
      <c r="Q247" s="535" t="n"/>
      <c r="R247" s="282" t="n"/>
      <c r="S247" s="282" t="n"/>
      <c r="T247" s="535" t="n"/>
      <c r="U247" s="535" t="n"/>
      <c r="V247" s="282" t="n"/>
      <c r="W247" s="282" t="n"/>
      <c r="X247" s="536" t="n"/>
      <c r="Y247" s="536" t="n"/>
      <c r="Z247" s="282" t="n"/>
      <c r="AA247" s="282" t="n"/>
      <c r="AB247" s="536" t="n"/>
      <c r="AC247" s="536" t="n"/>
      <c r="AD247" s="282" t="n"/>
      <c r="AE247" s="282" t="n"/>
      <c r="AF247" s="537" t="n"/>
      <c r="AG247" s="537" t="n"/>
      <c r="AH247" s="282" t="n"/>
      <c r="AI247" s="282" t="n"/>
      <c r="AJ247" s="537" t="n"/>
      <c r="AK247" s="537" t="n"/>
      <c r="AL247" s="282" t="n"/>
      <c r="AM247" s="282" t="n"/>
      <c r="AN247" s="282" t="n"/>
      <c r="AO247" s="282" t="n"/>
      <c r="AP247" s="282" t="n"/>
      <c r="AQ247" s="282" t="n"/>
      <c r="AR247" s="535" t="n"/>
      <c r="AS247" s="535" t="n"/>
      <c r="AT247" s="282" t="n"/>
      <c r="AU247" s="282" t="n"/>
    </row>
    <row customHeight="1" ht="15.75" r="248" s="452" spans="1:48">
      <c r="A248" s="44" t="n"/>
      <c r="D248" s="535" t="n"/>
      <c r="E248" s="535" t="n"/>
      <c r="F248" s="282" t="n"/>
      <c r="G248" s="282" t="n"/>
      <c r="H248" s="536" t="n"/>
      <c r="I248" s="535" t="n"/>
      <c r="J248" s="282" t="n"/>
      <c r="K248" s="282" t="n"/>
      <c r="L248" s="536" t="n"/>
      <c r="M248" s="535" t="n"/>
      <c r="N248" s="282" t="n"/>
      <c r="O248" s="282" t="n"/>
      <c r="P248" s="535" t="n"/>
      <c r="Q248" s="535" t="n"/>
      <c r="R248" s="282" t="n"/>
      <c r="S248" s="282" t="n"/>
      <c r="T248" s="535" t="n"/>
      <c r="U248" s="535" t="n"/>
      <c r="V248" s="282" t="n"/>
      <c r="W248" s="282" t="n"/>
      <c r="X248" s="536" t="n"/>
      <c r="Y248" s="536" t="n"/>
      <c r="Z248" s="282" t="n"/>
      <c r="AA248" s="282" t="n"/>
      <c r="AB248" s="536" t="n"/>
      <c r="AC248" s="536" t="n"/>
      <c r="AD248" s="282" t="n"/>
      <c r="AE248" s="282" t="n"/>
      <c r="AF248" s="537" t="n"/>
      <c r="AG248" s="537" t="n"/>
      <c r="AH248" s="282" t="n"/>
      <c r="AI248" s="282" t="n"/>
      <c r="AJ248" s="537" t="n"/>
      <c r="AK248" s="537" t="n"/>
      <c r="AL248" s="282" t="n"/>
      <c r="AM248" s="282" t="n"/>
      <c r="AN248" s="282" t="n"/>
      <c r="AO248" s="282" t="n"/>
      <c r="AP248" s="282" t="n"/>
      <c r="AQ248" s="282" t="n"/>
      <c r="AR248" s="535" t="n"/>
      <c r="AS248" s="535" t="n"/>
      <c r="AT248" s="282" t="n"/>
      <c r="AU248" s="282" t="n"/>
    </row>
    <row customHeight="1" ht="15.75" r="249" s="452" spans="1:48">
      <c r="A249" s="44" t="n"/>
      <c r="D249" s="535" t="n"/>
      <c r="E249" s="535" t="n"/>
      <c r="F249" s="282" t="n"/>
      <c r="G249" s="282" t="n"/>
      <c r="H249" s="536" t="n"/>
      <c r="I249" s="535" t="n"/>
      <c r="J249" s="282" t="n"/>
      <c r="K249" s="282" t="n"/>
      <c r="L249" s="536" t="n"/>
      <c r="M249" s="535" t="n"/>
      <c r="N249" s="282" t="n"/>
      <c r="O249" s="282" t="n"/>
      <c r="P249" s="535" t="n"/>
      <c r="Q249" s="535" t="n"/>
      <c r="R249" s="282" t="n"/>
      <c r="S249" s="282" t="n"/>
      <c r="T249" s="535" t="n"/>
      <c r="U249" s="535" t="n"/>
      <c r="V249" s="282" t="n"/>
      <c r="W249" s="282" t="n"/>
      <c r="X249" s="536" t="n"/>
      <c r="Y249" s="536" t="n"/>
      <c r="Z249" s="282" t="n"/>
      <c r="AA249" s="282" t="n"/>
      <c r="AB249" s="536" t="n"/>
      <c r="AC249" s="536" t="n"/>
      <c r="AD249" s="282" t="n"/>
      <c r="AE249" s="282" t="n"/>
      <c r="AF249" s="537" t="n"/>
      <c r="AG249" s="537" t="n"/>
      <c r="AH249" s="282" t="n"/>
      <c r="AI249" s="282" t="n"/>
      <c r="AJ249" s="537" t="n"/>
      <c r="AK249" s="537" t="n"/>
      <c r="AL249" s="282" t="n"/>
      <c r="AM249" s="282" t="n"/>
      <c r="AN249" s="282" t="n"/>
      <c r="AO249" s="282" t="n"/>
      <c r="AP249" s="282" t="n"/>
      <c r="AQ249" s="282" t="n"/>
      <c r="AR249" s="535" t="n"/>
      <c r="AS249" s="535" t="n"/>
      <c r="AT249" s="282" t="n"/>
      <c r="AU249" s="282" t="n"/>
    </row>
    <row customHeight="1" ht="15.75" r="250" s="452" spans="1:48">
      <c r="A250" s="44" t="n"/>
      <c r="D250" s="535" t="n"/>
      <c r="E250" s="535" t="n"/>
      <c r="F250" s="282" t="n"/>
      <c r="G250" s="282" t="n"/>
      <c r="H250" s="536" t="n"/>
      <c r="I250" s="535" t="n"/>
      <c r="J250" s="282" t="n"/>
      <c r="K250" s="282" t="n"/>
      <c r="L250" s="536" t="n"/>
      <c r="M250" s="535" t="n"/>
      <c r="N250" s="282" t="n"/>
      <c r="O250" s="282" t="n"/>
      <c r="P250" s="535" t="n"/>
      <c r="Q250" s="535" t="n"/>
      <c r="R250" s="282" t="n"/>
      <c r="S250" s="282" t="n"/>
      <c r="T250" s="535" t="n"/>
      <c r="U250" s="535" t="n"/>
      <c r="V250" s="282" t="n"/>
      <c r="W250" s="282" t="n"/>
      <c r="X250" s="536" t="n"/>
      <c r="Y250" s="536" t="n"/>
      <c r="Z250" s="282" t="n"/>
      <c r="AA250" s="282" t="n"/>
      <c r="AB250" s="536" t="n"/>
      <c r="AC250" s="536" t="n"/>
      <c r="AD250" s="282" t="n"/>
      <c r="AE250" s="282" t="n"/>
      <c r="AF250" s="537" t="n"/>
      <c r="AG250" s="537" t="n"/>
      <c r="AH250" s="282" t="n"/>
      <c r="AI250" s="282" t="n"/>
      <c r="AJ250" s="537" t="n"/>
      <c r="AK250" s="537" t="n"/>
      <c r="AL250" s="282" t="n"/>
      <c r="AM250" s="282" t="n"/>
      <c r="AN250" s="282" t="n"/>
      <c r="AO250" s="282" t="n"/>
      <c r="AP250" s="282" t="n"/>
      <c r="AQ250" s="282" t="n"/>
      <c r="AR250" s="535" t="n"/>
      <c r="AS250" s="535" t="n"/>
      <c r="AT250" s="282" t="n"/>
      <c r="AU250" s="282" t="n"/>
    </row>
    <row customHeight="1" ht="15.75" r="251" s="452" spans="1:48">
      <c r="A251" s="44" t="n"/>
      <c r="D251" s="535" t="n"/>
      <c r="E251" s="535" t="n"/>
      <c r="F251" s="282" t="n"/>
      <c r="G251" s="282" t="n"/>
      <c r="H251" s="536" t="n"/>
      <c r="I251" s="535" t="n"/>
      <c r="J251" s="282" t="n"/>
      <c r="K251" s="282" t="n"/>
      <c r="L251" s="536" t="n"/>
      <c r="M251" s="535" t="n"/>
      <c r="N251" s="282" t="n"/>
      <c r="O251" s="282" t="n"/>
      <c r="P251" s="535" t="n"/>
      <c r="Q251" s="535" t="n"/>
      <c r="R251" s="282" t="n"/>
      <c r="S251" s="282" t="n"/>
      <c r="T251" s="535" t="n"/>
      <c r="U251" s="535" t="n"/>
      <c r="V251" s="282" t="n"/>
      <c r="W251" s="282" t="n"/>
      <c r="X251" s="536" t="n"/>
      <c r="Y251" s="536" t="n"/>
      <c r="Z251" s="282" t="n"/>
      <c r="AA251" s="282" t="n"/>
      <c r="AB251" s="536" t="n"/>
      <c r="AC251" s="536" t="n"/>
      <c r="AD251" s="282" t="n"/>
      <c r="AE251" s="282" t="n"/>
      <c r="AF251" s="537" t="n"/>
      <c r="AG251" s="537" t="n"/>
      <c r="AH251" s="282" t="n"/>
      <c r="AI251" s="282" t="n"/>
      <c r="AJ251" s="537" t="n"/>
      <c r="AK251" s="537" t="n"/>
      <c r="AL251" s="282" t="n"/>
      <c r="AM251" s="282" t="n"/>
      <c r="AN251" s="282" t="n"/>
      <c r="AO251" s="282" t="n"/>
      <c r="AP251" s="282" t="n"/>
      <c r="AQ251" s="282" t="n"/>
      <c r="AR251" s="535" t="n"/>
      <c r="AS251" s="535" t="n"/>
      <c r="AT251" s="282" t="n"/>
      <c r="AU251" s="282" t="n"/>
    </row>
    <row customHeight="1" ht="15.75" r="252" s="452" spans="1:48">
      <c r="A252" s="44" t="n"/>
      <c r="D252" s="535" t="n"/>
      <c r="E252" s="535" t="n"/>
      <c r="F252" s="282" t="n"/>
      <c r="G252" s="282" t="n"/>
      <c r="H252" s="536" t="n"/>
      <c r="I252" s="535" t="n"/>
      <c r="J252" s="282" t="n"/>
      <c r="K252" s="282" t="n"/>
      <c r="L252" s="536" t="n"/>
      <c r="M252" s="535" t="n"/>
      <c r="N252" s="282" t="n"/>
      <c r="O252" s="282" t="n"/>
      <c r="P252" s="535" t="n"/>
      <c r="Q252" s="535" t="n"/>
      <c r="R252" s="282" t="n"/>
      <c r="S252" s="282" t="n"/>
      <c r="T252" s="535" t="n"/>
      <c r="U252" s="535" t="n"/>
      <c r="V252" s="282" t="n"/>
      <c r="W252" s="282" t="n"/>
      <c r="X252" s="536" t="n"/>
      <c r="Y252" s="536" t="n"/>
      <c r="Z252" s="282" t="n"/>
      <c r="AA252" s="282" t="n"/>
      <c r="AB252" s="536" t="n"/>
      <c r="AC252" s="536" t="n"/>
      <c r="AD252" s="282" t="n"/>
      <c r="AE252" s="282" t="n"/>
      <c r="AF252" s="537" t="n"/>
      <c r="AG252" s="537" t="n"/>
      <c r="AH252" s="282" t="n"/>
      <c r="AI252" s="282" t="n"/>
      <c r="AJ252" s="537" t="n"/>
      <c r="AK252" s="537" t="n"/>
      <c r="AL252" s="282" t="n"/>
      <c r="AM252" s="282" t="n"/>
      <c r="AN252" s="282" t="n"/>
      <c r="AO252" s="282" t="n"/>
      <c r="AP252" s="282" t="n"/>
      <c r="AQ252" s="282" t="n"/>
      <c r="AR252" s="535" t="n"/>
      <c r="AS252" s="535" t="n"/>
      <c r="AT252" s="282" t="n"/>
      <c r="AU252" s="282" t="n"/>
    </row>
    <row customHeight="1" ht="15.75" r="253" s="452" spans="1:48">
      <c r="A253" s="44" t="n"/>
      <c r="D253" s="535" t="n"/>
      <c r="E253" s="535" t="n"/>
      <c r="F253" s="282" t="n"/>
      <c r="G253" s="282" t="n"/>
      <c r="H253" s="536" t="n"/>
      <c r="I253" s="535" t="n"/>
      <c r="J253" s="282" t="n"/>
      <c r="K253" s="282" t="n"/>
      <c r="L253" s="536" t="n"/>
      <c r="M253" s="535" t="n"/>
      <c r="N253" s="282" t="n"/>
      <c r="O253" s="282" t="n"/>
      <c r="P253" s="535" t="n"/>
      <c r="Q253" s="535" t="n"/>
      <c r="R253" s="282" t="n"/>
      <c r="S253" s="282" t="n"/>
      <c r="T253" s="535" t="n"/>
      <c r="U253" s="535" t="n"/>
      <c r="V253" s="282" t="n"/>
      <c r="W253" s="282" t="n"/>
      <c r="X253" s="536" t="n"/>
      <c r="Y253" s="536" t="n"/>
      <c r="Z253" s="282" t="n"/>
      <c r="AA253" s="282" t="n"/>
      <c r="AB253" s="536" t="n"/>
      <c r="AC253" s="536" t="n"/>
      <c r="AD253" s="282" t="n"/>
      <c r="AE253" s="282" t="n"/>
      <c r="AF253" s="537" t="n"/>
      <c r="AG253" s="537" t="n"/>
      <c r="AH253" s="282" t="n"/>
      <c r="AI253" s="282" t="n"/>
      <c r="AJ253" s="537" t="n"/>
      <c r="AK253" s="537" t="n"/>
      <c r="AL253" s="282" t="n"/>
      <c r="AM253" s="282" t="n"/>
      <c r="AN253" s="282" t="n"/>
      <c r="AO253" s="282" t="n"/>
      <c r="AP253" s="282" t="n"/>
      <c r="AQ253" s="282" t="n"/>
      <c r="AR253" s="535" t="n"/>
      <c r="AS253" s="535" t="n"/>
      <c r="AT253" s="282" t="n"/>
      <c r="AU253" s="282" t="n"/>
    </row>
    <row customHeight="1" ht="15.75" r="254" s="452" spans="1:48">
      <c r="A254" s="44" t="n"/>
      <c r="D254" s="535" t="n"/>
      <c r="E254" s="535" t="n"/>
      <c r="F254" s="282" t="n"/>
      <c r="G254" s="282" t="n"/>
      <c r="H254" s="536" t="n"/>
      <c r="I254" s="535" t="n"/>
      <c r="J254" s="282" t="n"/>
      <c r="K254" s="282" t="n"/>
      <c r="L254" s="536" t="n"/>
      <c r="M254" s="535" t="n"/>
      <c r="N254" s="282" t="n"/>
      <c r="O254" s="282" t="n"/>
      <c r="P254" s="535" t="n"/>
      <c r="Q254" s="535" t="n"/>
      <c r="R254" s="282" t="n"/>
      <c r="S254" s="282" t="n"/>
      <c r="T254" s="535" t="n"/>
      <c r="U254" s="535" t="n"/>
      <c r="V254" s="282" t="n"/>
      <c r="W254" s="282" t="n"/>
      <c r="X254" s="536" t="n"/>
      <c r="Y254" s="536" t="n"/>
      <c r="Z254" s="282" t="n"/>
      <c r="AA254" s="282" t="n"/>
      <c r="AB254" s="536" t="n"/>
      <c r="AC254" s="536" t="n"/>
      <c r="AD254" s="282" t="n"/>
      <c r="AE254" s="282" t="n"/>
      <c r="AF254" s="537" t="n"/>
      <c r="AG254" s="537" t="n"/>
      <c r="AH254" s="282" t="n"/>
      <c r="AI254" s="282" t="n"/>
      <c r="AJ254" s="537" t="n"/>
      <c r="AK254" s="537" t="n"/>
      <c r="AL254" s="282" t="n"/>
      <c r="AM254" s="282" t="n"/>
      <c r="AN254" s="282" t="n"/>
      <c r="AO254" s="282" t="n"/>
      <c r="AP254" s="282" t="n"/>
      <c r="AQ254" s="282" t="n"/>
      <c r="AR254" s="535" t="n"/>
      <c r="AS254" s="535" t="n"/>
      <c r="AT254" s="282" t="n"/>
      <c r="AU254" s="282" t="n"/>
    </row>
    <row customHeight="1" ht="15.75" r="255" s="452" spans="1:48">
      <c r="A255" s="44" t="n"/>
      <c r="D255" s="535" t="n"/>
      <c r="E255" s="535" t="n"/>
      <c r="F255" s="282" t="n"/>
      <c r="G255" s="282" t="n"/>
      <c r="H255" s="536" t="n"/>
      <c r="I255" s="535" t="n"/>
      <c r="J255" s="282" t="n"/>
      <c r="K255" s="282" t="n"/>
      <c r="L255" s="536" t="n"/>
      <c r="M255" s="535" t="n"/>
      <c r="N255" s="282" t="n"/>
      <c r="O255" s="282" t="n"/>
      <c r="P255" s="535" t="n"/>
      <c r="Q255" s="535" t="n"/>
      <c r="R255" s="282" t="n"/>
      <c r="S255" s="282" t="n"/>
      <c r="T255" s="535" t="n"/>
      <c r="U255" s="535" t="n"/>
      <c r="V255" s="282" t="n"/>
      <c r="W255" s="282" t="n"/>
      <c r="X255" s="536" t="n"/>
      <c r="Y255" s="536" t="n"/>
      <c r="Z255" s="282" t="n"/>
      <c r="AA255" s="282" t="n"/>
      <c r="AB255" s="536" t="n"/>
      <c r="AC255" s="536" t="n"/>
      <c r="AD255" s="282" t="n"/>
      <c r="AE255" s="282" t="n"/>
      <c r="AF255" s="537" t="n"/>
      <c r="AG255" s="537" t="n"/>
      <c r="AH255" s="282" t="n"/>
      <c r="AI255" s="282" t="n"/>
      <c r="AJ255" s="537" t="n"/>
      <c r="AK255" s="537" t="n"/>
      <c r="AL255" s="282" t="n"/>
      <c r="AM255" s="282" t="n"/>
      <c r="AN255" s="282" t="n"/>
      <c r="AO255" s="282" t="n"/>
      <c r="AP255" s="282" t="n"/>
      <c r="AQ255" s="282" t="n"/>
      <c r="AR255" s="535" t="n"/>
      <c r="AS255" s="535" t="n"/>
      <c r="AT255" s="282" t="n"/>
      <c r="AU255" s="282" t="n"/>
    </row>
    <row customHeight="1" ht="15.75" r="256" s="452" spans="1:48">
      <c r="A256" s="44" t="n"/>
      <c r="D256" s="535" t="n"/>
      <c r="E256" s="535" t="n"/>
      <c r="F256" s="282" t="n"/>
      <c r="G256" s="282" t="n"/>
      <c r="H256" s="536" t="n"/>
      <c r="I256" s="535" t="n"/>
      <c r="J256" s="282" t="n"/>
      <c r="K256" s="282" t="n"/>
      <c r="L256" s="536" t="n"/>
      <c r="M256" s="535" t="n"/>
      <c r="N256" s="282" t="n"/>
      <c r="O256" s="282" t="n"/>
      <c r="P256" s="535" t="n"/>
      <c r="Q256" s="535" t="n"/>
      <c r="R256" s="282" t="n"/>
      <c r="S256" s="282" t="n"/>
      <c r="T256" s="535" t="n"/>
      <c r="U256" s="535" t="n"/>
      <c r="V256" s="282" t="n"/>
      <c r="W256" s="282" t="n"/>
      <c r="X256" s="536" t="n"/>
      <c r="Y256" s="536" t="n"/>
      <c r="Z256" s="282" t="n"/>
      <c r="AA256" s="282" t="n"/>
      <c r="AB256" s="536" t="n"/>
      <c r="AC256" s="536" t="n"/>
      <c r="AD256" s="282" t="n"/>
      <c r="AE256" s="282" t="n"/>
      <c r="AF256" s="537" t="n"/>
      <c r="AG256" s="537" t="n"/>
      <c r="AH256" s="282" t="n"/>
      <c r="AI256" s="282" t="n"/>
      <c r="AJ256" s="537" t="n"/>
      <c r="AK256" s="537" t="n"/>
      <c r="AL256" s="282" t="n"/>
      <c r="AM256" s="282" t="n"/>
      <c r="AN256" s="282" t="n"/>
      <c r="AO256" s="282" t="n"/>
      <c r="AP256" s="282" t="n"/>
      <c r="AQ256" s="282" t="n"/>
      <c r="AR256" s="535" t="n"/>
      <c r="AS256" s="535" t="n"/>
      <c r="AT256" s="282" t="n"/>
      <c r="AU256" s="282" t="n"/>
    </row>
    <row customHeight="1" ht="15.75" r="257" s="452" spans="1:48">
      <c r="A257" s="44" t="n"/>
      <c r="D257" s="535" t="n"/>
      <c r="E257" s="535" t="n"/>
      <c r="F257" s="282" t="n"/>
      <c r="G257" s="282" t="n"/>
      <c r="H257" s="536" t="n"/>
      <c r="I257" s="535" t="n"/>
      <c r="J257" s="282" t="n"/>
      <c r="K257" s="282" t="n"/>
      <c r="L257" s="536" t="n"/>
      <c r="M257" s="535" t="n"/>
      <c r="N257" s="282" t="n"/>
      <c r="O257" s="282" t="n"/>
      <c r="P257" s="535" t="n"/>
      <c r="Q257" s="535" t="n"/>
      <c r="R257" s="282" t="n"/>
      <c r="S257" s="282" t="n"/>
      <c r="T257" s="535" t="n"/>
      <c r="U257" s="535" t="n"/>
      <c r="V257" s="282" t="n"/>
      <c r="W257" s="282" t="n"/>
      <c r="X257" s="536" t="n"/>
      <c r="Y257" s="536" t="n"/>
      <c r="Z257" s="282" t="n"/>
      <c r="AA257" s="282" t="n"/>
      <c r="AB257" s="536" t="n"/>
      <c r="AC257" s="536" t="n"/>
      <c r="AD257" s="282" t="n"/>
      <c r="AE257" s="282" t="n"/>
      <c r="AF257" s="537" t="n"/>
      <c r="AG257" s="537" t="n"/>
      <c r="AH257" s="282" t="n"/>
      <c r="AI257" s="282" t="n"/>
      <c r="AJ257" s="537" t="n"/>
      <c r="AK257" s="537" t="n"/>
      <c r="AL257" s="282" t="n"/>
      <c r="AM257" s="282" t="n"/>
      <c r="AN257" s="282" t="n"/>
      <c r="AO257" s="282" t="n"/>
      <c r="AP257" s="282" t="n"/>
      <c r="AQ257" s="282" t="n"/>
      <c r="AR257" s="535" t="n"/>
      <c r="AS257" s="535" t="n"/>
      <c r="AT257" s="282" t="n"/>
      <c r="AU257" s="282" t="n"/>
    </row>
    <row customHeight="1" ht="15.75" r="258" s="452" spans="1:48">
      <c r="A258" s="44" t="n"/>
      <c r="D258" s="535" t="n"/>
      <c r="E258" s="535" t="n"/>
      <c r="F258" s="282" t="n"/>
      <c r="G258" s="282" t="n"/>
      <c r="H258" s="536" t="n"/>
      <c r="I258" s="535" t="n"/>
      <c r="J258" s="282" t="n"/>
      <c r="K258" s="282" t="n"/>
      <c r="L258" s="536" t="n"/>
      <c r="M258" s="535" t="n"/>
      <c r="N258" s="282" t="n"/>
      <c r="O258" s="282" t="n"/>
      <c r="P258" s="535" t="n"/>
      <c r="Q258" s="535" t="n"/>
      <c r="R258" s="282" t="n"/>
      <c r="S258" s="282" t="n"/>
      <c r="T258" s="535" t="n"/>
      <c r="U258" s="535" t="n"/>
      <c r="V258" s="282" t="n"/>
      <c r="W258" s="282" t="n"/>
      <c r="X258" s="536" t="n"/>
      <c r="Y258" s="536" t="n"/>
      <c r="Z258" s="282" t="n"/>
      <c r="AA258" s="282" t="n"/>
      <c r="AB258" s="536" t="n"/>
      <c r="AC258" s="536" t="n"/>
      <c r="AD258" s="282" t="n"/>
      <c r="AE258" s="282" t="n"/>
      <c r="AF258" s="537" t="n"/>
      <c r="AG258" s="537" t="n"/>
      <c r="AH258" s="282" t="n"/>
      <c r="AI258" s="282" t="n"/>
      <c r="AJ258" s="537" t="n"/>
      <c r="AK258" s="537" t="n"/>
      <c r="AL258" s="282" t="n"/>
      <c r="AM258" s="282" t="n"/>
      <c r="AN258" s="282" t="n"/>
      <c r="AO258" s="282" t="n"/>
      <c r="AP258" s="282" t="n"/>
      <c r="AQ258" s="282" t="n"/>
      <c r="AR258" s="535" t="n"/>
      <c r="AS258" s="535" t="n"/>
      <c r="AT258" s="282" t="n"/>
      <c r="AU258" s="282" t="n"/>
    </row>
    <row customHeight="1" ht="15.75" r="259" s="452" spans="1:48">
      <c r="A259" s="44" t="n"/>
      <c r="D259" s="535" t="n"/>
      <c r="E259" s="535" t="n"/>
      <c r="F259" s="282" t="n"/>
      <c r="G259" s="282" t="n"/>
      <c r="H259" s="536" t="n"/>
      <c r="I259" s="535" t="n"/>
      <c r="J259" s="282" t="n"/>
      <c r="K259" s="282" t="n"/>
      <c r="L259" s="536" t="n"/>
      <c r="M259" s="535" t="n"/>
      <c r="N259" s="282" t="n"/>
      <c r="O259" s="282" t="n"/>
      <c r="P259" s="535" t="n"/>
      <c r="Q259" s="535" t="n"/>
      <c r="R259" s="282" t="n"/>
      <c r="S259" s="282" t="n"/>
      <c r="T259" s="535" t="n"/>
      <c r="U259" s="535" t="n"/>
      <c r="V259" s="282" t="n"/>
      <c r="W259" s="282" t="n"/>
      <c r="X259" s="536" t="n"/>
      <c r="Y259" s="536" t="n"/>
      <c r="Z259" s="282" t="n"/>
      <c r="AA259" s="282" t="n"/>
      <c r="AB259" s="536" t="n"/>
      <c r="AC259" s="536" t="n"/>
      <c r="AD259" s="282" t="n"/>
      <c r="AE259" s="282" t="n"/>
      <c r="AF259" s="537" t="n"/>
      <c r="AG259" s="537" t="n"/>
      <c r="AH259" s="282" t="n"/>
      <c r="AI259" s="282" t="n"/>
      <c r="AJ259" s="537" t="n"/>
      <c r="AK259" s="537" t="n"/>
      <c r="AL259" s="282" t="n"/>
      <c r="AM259" s="282" t="n"/>
      <c r="AN259" s="282" t="n"/>
      <c r="AO259" s="282" t="n"/>
      <c r="AP259" s="282" t="n"/>
      <c r="AQ259" s="282" t="n"/>
      <c r="AR259" s="535" t="n"/>
      <c r="AS259" s="535" t="n"/>
      <c r="AT259" s="282" t="n"/>
      <c r="AU259" s="282" t="n"/>
    </row>
    <row customHeight="1" ht="15.75" r="260" s="452" spans="1:48">
      <c r="A260" s="44" t="n"/>
      <c r="D260" s="535" t="n"/>
      <c r="E260" s="535" t="n"/>
      <c r="F260" s="282" t="n"/>
      <c r="G260" s="282" t="n"/>
      <c r="H260" s="536" t="n"/>
      <c r="I260" s="535" t="n"/>
      <c r="J260" s="282" t="n"/>
      <c r="K260" s="282" t="n"/>
      <c r="L260" s="536" t="n"/>
      <c r="M260" s="535" t="n"/>
      <c r="N260" s="282" t="n"/>
      <c r="O260" s="282" t="n"/>
      <c r="P260" s="535" t="n"/>
      <c r="Q260" s="535" t="n"/>
      <c r="R260" s="282" t="n"/>
      <c r="S260" s="282" t="n"/>
      <c r="T260" s="535" t="n"/>
      <c r="U260" s="535" t="n"/>
      <c r="V260" s="282" t="n"/>
      <c r="W260" s="282" t="n"/>
      <c r="X260" s="536" t="n"/>
      <c r="Y260" s="536" t="n"/>
      <c r="Z260" s="282" t="n"/>
      <c r="AA260" s="282" t="n"/>
      <c r="AB260" s="536" t="n"/>
      <c r="AC260" s="536" t="n"/>
      <c r="AD260" s="282" t="n"/>
      <c r="AE260" s="282" t="n"/>
      <c r="AF260" s="537" t="n"/>
      <c r="AG260" s="537" t="n"/>
      <c r="AH260" s="282" t="n"/>
      <c r="AI260" s="282" t="n"/>
      <c r="AJ260" s="537" t="n"/>
      <c r="AK260" s="537" t="n"/>
      <c r="AL260" s="282" t="n"/>
      <c r="AM260" s="282" t="n"/>
      <c r="AN260" s="282" t="n"/>
      <c r="AO260" s="282" t="n"/>
      <c r="AP260" s="282" t="n"/>
      <c r="AQ260" s="282" t="n"/>
      <c r="AR260" s="535" t="n"/>
      <c r="AS260" s="535" t="n"/>
      <c r="AT260" s="282" t="n"/>
      <c r="AU260" s="282" t="n"/>
    </row>
    <row customHeight="1" ht="15.75" r="261" s="452" spans="1:48">
      <c r="A261" s="44" t="n"/>
      <c r="D261" s="535" t="n"/>
      <c r="E261" s="535" t="n"/>
      <c r="F261" s="282" t="n"/>
      <c r="G261" s="282" t="n"/>
      <c r="H261" s="536" t="n"/>
      <c r="I261" s="535" t="n"/>
      <c r="J261" s="282" t="n"/>
      <c r="K261" s="282" t="n"/>
      <c r="L261" s="536" t="n"/>
      <c r="M261" s="535" t="n"/>
      <c r="N261" s="282" t="n"/>
      <c r="O261" s="282" t="n"/>
      <c r="P261" s="535" t="n"/>
      <c r="Q261" s="535" t="n"/>
      <c r="R261" s="282" t="n"/>
      <c r="S261" s="282" t="n"/>
      <c r="T261" s="535" t="n"/>
      <c r="U261" s="535" t="n"/>
      <c r="V261" s="282" t="n"/>
      <c r="W261" s="282" t="n"/>
      <c r="X261" s="536" t="n"/>
      <c r="Y261" s="536" t="n"/>
      <c r="Z261" s="282" t="n"/>
      <c r="AA261" s="282" t="n"/>
      <c r="AB261" s="536" t="n"/>
      <c r="AC261" s="536" t="n"/>
      <c r="AD261" s="282" t="n"/>
      <c r="AE261" s="282" t="n"/>
      <c r="AF261" s="537" t="n"/>
      <c r="AG261" s="537" t="n"/>
      <c r="AH261" s="282" t="n"/>
      <c r="AI261" s="282" t="n"/>
      <c r="AJ261" s="537" t="n"/>
      <c r="AK261" s="537" t="n"/>
      <c r="AL261" s="282" t="n"/>
      <c r="AM261" s="282" t="n"/>
      <c r="AN261" s="282" t="n"/>
      <c r="AO261" s="282" t="n"/>
      <c r="AP261" s="282" t="n"/>
      <c r="AQ261" s="282" t="n"/>
      <c r="AR261" s="535" t="n"/>
      <c r="AS261" s="535" t="n"/>
      <c r="AT261" s="282" t="n"/>
      <c r="AU261" s="282" t="n"/>
    </row>
    <row customHeight="1" ht="15.75" r="262" s="452" spans="1:48">
      <c r="A262" s="44" t="n"/>
      <c r="D262" s="535" t="n"/>
      <c r="E262" s="535" t="n"/>
      <c r="F262" s="282" t="n"/>
      <c r="G262" s="282" t="n"/>
      <c r="H262" s="536" t="n"/>
      <c r="I262" s="535" t="n"/>
      <c r="J262" s="282" t="n"/>
      <c r="K262" s="282" t="n"/>
      <c r="L262" s="536" t="n"/>
      <c r="M262" s="535" t="n"/>
      <c r="N262" s="282" t="n"/>
      <c r="O262" s="282" t="n"/>
      <c r="P262" s="535" t="n"/>
      <c r="Q262" s="535" t="n"/>
      <c r="R262" s="282" t="n"/>
      <c r="S262" s="282" t="n"/>
      <c r="T262" s="535" t="n"/>
      <c r="U262" s="535" t="n"/>
      <c r="V262" s="282" t="n"/>
      <c r="W262" s="282" t="n"/>
      <c r="X262" s="536" t="n"/>
      <c r="Y262" s="536" t="n"/>
      <c r="Z262" s="282" t="n"/>
      <c r="AA262" s="282" t="n"/>
      <c r="AB262" s="536" t="n"/>
      <c r="AC262" s="536" t="n"/>
      <c r="AD262" s="282" t="n"/>
      <c r="AE262" s="282" t="n"/>
      <c r="AF262" s="537" t="n"/>
      <c r="AG262" s="537" t="n"/>
      <c r="AH262" s="282" t="n"/>
      <c r="AI262" s="282" t="n"/>
      <c r="AJ262" s="537" t="n"/>
      <c r="AK262" s="537" t="n"/>
      <c r="AL262" s="282" t="n"/>
      <c r="AM262" s="282" t="n"/>
      <c r="AN262" s="282" t="n"/>
      <c r="AO262" s="282" t="n"/>
      <c r="AP262" s="282" t="n"/>
      <c r="AQ262" s="282" t="n"/>
      <c r="AR262" s="535" t="n"/>
      <c r="AS262" s="535" t="n"/>
      <c r="AT262" s="282" t="n"/>
      <c r="AU262" s="282" t="n"/>
    </row>
    <row customHeight="1" ht="15.75" r="263" s="452" spans="1:48">
      <c r="A263" s="44" t="n"/>
      <c r="D263" s="535" t="n"/>
      <c r="E263" s="535" t="n"/>
      <c r="F263" s="282" t="n"/>
      <c r="G263" s="282" t="n"/>
      <c r="H263" s="536" t="n"/>
      <c r="I263" s="535" t="n"/>
      <c r="J263" s="282" t="n"/>
      <c r="K263" s="282" t="n"/>
      <c r="L263" s="536" t="n"/>
      <c r="M263" s="535" t="n"/>
      <c r="N263" s="282" t="n"/>
      <c r="O263" s="282" t="n"/>
      <c r="P263" s="535" t="n"/>
      <c r="Q263" s="535" t="n"/>
      <c r="R263" s="282" t="n"/>
      <c r="S263" s="282" t="n"/>
      <c r="T263" s="535" t="n"/>
      <c r="U263" s="535" t="n"/>
      <c r="V263" s="282" t="n"/>
      <c r="W263" s="282" t="n"/>
      <c r="X263" s="536" t="n"/>
      <c r="Y263" s="536" t="n"/>
      <c r="Z263" s="282" t="n"/>
      <c r="AA263" s="282" t="n"/>
      <c r="AB263" s="536" t="n"/>
      <c r="AC263" s="536" t="n"/>
      <c r="AD263" s="282" t="n"/>
      <c r="AE263" s="282" t="n"/>
      <c r="AF263" s="537" t="n"/>
      <c r="AG263" s="537" t="n"/>
      <c r="AH263" s="282" t="n"/>
      <c r="AI263" s="282" t="n"/>
      <c r="AJ263" s="537" t="n"/>
      <c r="AK263" s="537" t="n"/>
      <c r="AL263" s="282" t="n"/>
      <c r="AM263" s="282" t="n"/>
      <c r="AN263" s="282" t="n"/>
      <c r="AO263" s="282" t="n"/>
      <c r="AP263" s="282" t="n"/>
      <c r="AQ263" s="282" t="n"/>
      <c r="AR263" s="535" t="n"/>
      <c r="AS263" s="535" t="n"/>
      <c r="AT263" s="282" t="n"/>
      <c r="AU263" s="282" t="n"/>
    </row>
    <row customHeight="1" ht="15.75" r="264" s="452" spans="1:48">
      <c r="A264" s="44" t="n"/>
      <c r="D264" s="535" t="n"/>
      <c r="E264" s="535" t="n"/>
      <c r="F264" s="282" t="n"/>
      <c r="G264" s="282" t="n"/>
      <c r="H264" s="536" t="n"/>
      <c r="I264" s="535" t="n"/>
      <c r="J264" s="282" t="n"/>
      <c r="K264" s="282" t="n"/>
      <c r="L264" s="536" t="n"/>
      <c r="M264" s="535" t="n"/>
      <c r="N264" s="282" t="n"/>
      <c r="O264" s="282" t="n"/>
      <c r="P264" s="535" t="n"/>
      <c r="Q264" s="535" t="n"/>
      <c r="R264" s="282" t="n"/>
      <c r="S264" s="282" t="n"/>
      <c r="T264" s="535" t="n"/>
      <c r="U264" s="535" t="n"/>
      <c r="V264" s="282" t="n"/>
      <c r="W264" s="282" t="n"/>
      <c r="X264" s="536" t="n"/>
      <c r="Y264" s="536" t="n"/>
      <c r="Z264" s="282" t="n"/>
      <c r="AA264" s="282" t="n"/>
      <c r="AB264" s="536" t="n"/>
      <c r="AC264" s="536" t="n"/>
      <c r="AD264" s="282" t="n"/>
      <c r="AE264" s="282" t="n"/>
      <c r="AF264" s="537" t="n"/>
      <c r="AG264" s="537" t="n"/>
      <c r="AH264" s="282" t="n"/>
      <c r="AI264" s="282" t="n"/>
      <c r="AJ264" s="537" t="n"/>
      <c r="AK264" s="537" t="n"/>
      <c r="AL264" s="282" t="n"/>
      <c r="AM264" s="282" t="n"/>
      <c r="AN264" s="282" t="n"/>
      <c r="AO264" s="282" t="n"/>
      <c r="AP264" s="282" t="n"/>
      <c r="AQ264" s="282" t="n"/>
      <c r="AR264" s="535" t="n"/>
      <c r="AS264" s="535" t="n"/>
      <c r="AT264" s="282" t="n"/>
      <c r="AU264" s="282" t="n"/>
    </row>
    <row customHeight="1" ht="15.75" r="265" s="452" spans="1:48">
      <c r="A265" s="44" t="n"/>
      <c r="D265" s="535" t="n"/>
      <c r="E265" s="535" t="n"/>
      <c r="F265" s="282" t="n"/>
      <c r="G265" s="282" t="n"/>
      <c r="H265" s="536" t="n"/>
      <c r="I265" s="535" t="n"/>
      <c r="J265" s="282" t="n"/>
      <c r="K265" s="282" t="n"/>
      <c r="L265" s="536" t="n"/>
      <c r="M265" s="535" t="n"/>
      <c r="N265" s="282" t="n"/>
      <c r="O265" s="282" t="n"/>
      <c r="P265" s="535" t="n"/>
      <c r="Q265" s="535" t="n"/>
      <c r="R265" s="282" t="n"/>
      <c r="S265" s="282" t="n"/>
      <c r="T265" s="535" t="n"/>
      <c r="U265" s="535" t="n"/>
      <c r="V265" s="282" t="n"/>
      <c r="W265" s="282" t="n"/>
      <c r="X265" s="536" t="n"/>
      <c r="Y265" s="536" t="n"/>
      <c r="Z265" s="282" t="n"/>
      <c r="AA265" s="282" t="n"/>
      <c r="AB265" s="536" t="n"/>
      <c r="AC265" s="536" t="n"/>
      <c r="AD265" s="282" t="n"/>
      <c r="AE265" s="282" t="n"/>
      <c r="AF265" s="537" t="n"/>
      <c r="AG265" s="537" t="n"/>
      <c r="AH265" s="282" t="n"/>
      <c r="AI265" s="282" t="n"/>
      <c r="AJ265" s="537" t="n"/>
      <c r="AK265" s="537" t="n"/>
      <c r="AL265" s="282" t="n"/>
      <c r="AM265" s="282" t="n"/>
      <c r="AN265" s="282" t="n"/>
      <c r="AO265" s="282" t="n"/>
      <c r="AP265" s="282" t="n"/>
      <c r="AQ265" s="282" t="n"/>
      <c r="AR265" s="535" t="n"/>
      <c r="AS265" s="535" t="n"/>
      <c r="AT265" s="282" t="n"/>
      <c r="AU265" s="282" t="n"/>
    </row>
    <row customHeight="1" ht="15.75" r="266" s="452" spans="1:48">
      <c r="A266" s="44" t="n"/>
      <c r="D266" s="535" t="n"/>
      <c r="E266" s="535" t="n"/>
      <c r="F266" s="282" t="n"/>
      <c r="G266" s="282" t="n"/>
      <c r="H266" s="536" t="n"/>
      <c r="I266" s="535" t="n"/>
      <c r="J266" s="282" t="n"/>
      <c r="K266" s="282" t="n"/>
      <c r="L266" s="536" t="n"/>
      <c r="M266" s="535" t="n"/>
      <c r="N266" s="282" t="n"/>
      <c r="O266" s="282" t="n"/>
      <c r="P266" s="535" t="n"/>
      <c r="Q266" s="535" t="n"/>
      <c r="R266" s="282" t="n"/>
      <c r="S266" s="282" t="n"/>
      <c r="T266" s="535" t="n"/>
      <c r="U266" s="535" t="n"/>
      <c r="V266" s="282" t="n"/>
      <c r="W266" s="282" t="n"/>
      <c r="X266" s="536" t="n"/>
      <c r="Y266" s="536" t="n"/>
      <c r="Z266" s="282" t="n"/>
      <c r="AA266" s="282" t="n"/>
      <c r="AB266" s="536" t="n"/>
      <c r="AC266" s="536" t="n"/>
      <c r="AD266" s="282" t="n"/>
      <c r="AE266" s="282" t="n"/>
      <c r="AF266" s="537" t="n"/>
      <c r="AG266" s="537" t="n"/>
      <c r="AH266" s="282" t="n"/>
      <c r="AI266" s="282" t="n"/>
      <c r="AJ266" s="537" t="n"/>
      <c r="AK266" s="537" t="n"/>
      <c r="AL266" s="282" t="n"/>
      <c r="AM266" s="282" t="n"/>
      <c r="AN266" s="282" t="n"/>
      <c r="AO266" s="282" t="n"/>
      <c r="AP266" s="282" t="n"/>
      <c r="AQ266" s="282" t="n"/>
      <c r="AR266" s="535" t="n"/>
      <c r="AS266" s="535" t="n"/>
      <c r="AT266" s="282" t="n"/>
      <c r="AU266" s="282" t="n"/>
    </row>
    <row customHeight="1" ht="15.75" r="267" s="452" spans="1:48">
      <c r="A267" s="44" t="n"/>
      <c r="D267" s="535" t="n"/>
      <c r="E267" s="535" t="n"/>
      <c r="F267" s="282" t="n"/>
      <c r="G267" s="282" t="n"/>
      <c r="H267" s="536" t="n"/>
      <c r="I267" s="535" t="n"/>
      <c r="J267" s="282" t="n"/>
      <c r="K267" s="282" t="n"/>
      <c r="L267" s="536" t="n"/>
      <c r="M267" s="535" t="n"/>
      <c r="N267" s="282" t="n"/>
      <c r="O267" s="282" t="n"/>
      <c r="P267" s="535" t="n"/>
      <c r="Q267" s="535" t="n"/>
      <c r="R267" s="282" t="n"/>
      <c r="S267" s="282" t="n"/>
      <c r="T267" s="535" t="n"/>
      <c r="U267" s="535" t="n"/>
      <c r="V267" s="282" t="n"/>
      <c r="W267" s="282" t="n"/>
      <c r="X267" s="536" t="n"/>
      <c r="Y267" s="536" t="n"/>
      <c r="Z267" s="282" t="n"/>
      <c r="AA267" s="282" t="n"/>
      <c r="AB267" s="536" t="n"/>
      <c r="AC267" s="536" t="n"/>
      <c r="AD267" s="282" t="n"/>
      <c r="AE267" s="282" t="n"/>
      <c r="AF267" s="537" t="n"/>
      <c r="AG267" s="537" t="n"/>
      <c r="AH267" s="282" t="n"/>
      <c r="AI267" s="282" t="n"/>
      <c r="AJ267" s="537" t="n"/>
      <c r="AK267" s="537" t="n"/>
      <c r="AL267" s="282" t="n"/>
      <c r="AM267" s="282" t="n"/>
      <c r="AN267" s="282" t="n"/>
      <c r="AO267" s="282" t="n"/>
      <c r="AP267" s="282" t="n"/>
      <c r="AQ267" s="282" t="n"/>
      <c r="AR267" s="535" t="n"/>
      <c r="AS267" s="535" t="n"/>
      <c r="AT267" s="282" t="n"/>
      <c r="AU267" s="282" t="n"/>
    </row>
    <row customHeight="1" ht="15.75" r="268" s="452" spans="1:48">
      <c r="A268" s="44" t="n"/>
      <c r="D268" s="535" t="n"/>
      <c r="E268" s="535" t="n"/>
      <c r="F268" s="282" t="n"/>
      <c r="G268" s="282" t="n"/>
      <c r="H268" s="536" t="n"/>
      <c r="I268" s="535" t="n"/>
      <c r="J268" s="282" t="n"/>
      <c r="K268" s="282" t="n"/>
      <c r="L268" s="536" t="n"/>
      <c r="M268" s="535" t="n"/>
      <c r="N268" s="282" t="n"/>
      <c r="O268" s="282" t="n"/>
      <c r="P268" s="535" t="n"/>
      <c r="Q268" s="535" t="n"/>
      <c r="R268" s="282" t="n"/>
      <c r="S268" s="282" t="n"/>
      <c r="T268" s="535" t="n"/>
      <c r="U268" s="535" t="n"/>
      <c r="V268" s="282" t="n"/>
      <c r="W268" s="282" t="n"/>
      <c r="X268" s="536" t="n"/>
      <c r="Y268" s="536" t="n"/>
      <c r="Z268" s="282" t="n"/>
      <c r="AA268" s="282" t="n"/>
      <c r="AB268" s="536" t="n"/>
      <c r="AC268" s="536" t="n"/>
      <c r="AD268" s="282" t="n"/>
      <c r="AE268" s="282" t="n"/>
      <c r="AF268" s="537" t="n"/>
      <c r="AG268" s="537" t="n"/>
      <c r="AH268" s="282" t="n"/>
      <c r="AI268" s="282" t="n"/>
      <c r="AJ268" s="537" t="n"/>
      <c r="AK268" s="537" t="n"/>
      <c r="AL268" s="282" t="n"/>
      <c r="AM268" s="282" t="n"/>
      <c r="AN268" s="282" t="n"/>
      <c r="AO268" s="282" t="n"/>
      <c r="AP268" s="282" t="n"/>
      <c r="AQ268" s="282" t="n"/>
      <c r="AR268" s="535" t="n"/>
      <c r="AS268" s="535" t="n"/>
      <c r="AT268" s="282" t="n"/>
      <c r="AU268" s="282" t="n"/>
    </row>
    <row customHeight="1" ht="15.75" r="269" s="452" spans="1:48">
      <c r="A269" s="44" t="n"/>
      <c r="D269" s="535" t="n"/>
      <c r="E269" s="535" t="n"/>
      <c r="F269" s="282" t="n"/>
      <c r="G269" s="282" t="n"/>
      <c r="H269" s="536" t="n"/>
      <c r="I269" s="535" t="n"/>
      <c r="J269" s="282" t="n"/>
      <c r="K269" s="282" t="n"/>
      <c r="L269" s="536" t="n"/>
      <c r="M269" s="535" t="n"/>
      <c r="N269" s="282" t="n"/>
      <c r="O269" s="282" t="n"/>
      <c r="P269" s="535" t="n"/>
      <c r="Q269" s="535" t="n"/>
      <c r="R269" s="282" t="n"/>
      <c r="S269" s="282" t="n"/>
      <c r="T269" s="535" t="n"/>
      <c r="U269" s="535" t="n"/>
      <c r="V269" s="282" t="n"/>
      <c r="W269" s="282" t="n"/>
      <c r="X269" s="536" t="n"/>
      <c r="Y269" s="536" t="n"/>
      <c r="Z269" s="282" t="n"/>
      <c r="AA269" s="282" t="n"/>
      <c r="AB269" s="536" t="n"/>
      <c r="AC269" s="536" t="n"/>
      <c r="AD269" s="282" t="n"/>
      <c r="AE269" s="282" t="n"/>
      <c r="AF269" s="537" t="n"/>
      <c r="AG269" s="537" t="n"/>
      <c r="AH269" s="282" t="n"/>
      <c r="AI269" s="282" t="n"/>
      <c r="AJ269" s="537" t="n"/>
      <c r="AK269" s="537" t="n"/>
      <c r="AL269" s="282" t="n"/>
      <c r="AM269" s="282" t="n"/>
      <c r="AN269" s="282" t="n"/>
      <c r="AO269" s="282" t="n"/>
      <c r="AP269" s="282" t="n"/>
      <c r="AQ269" s="282" t="n"/>
      <c r="AR269" s="535" t="n"/>
      <c r="AS269" s="535" t="n"/>
      <c r="AT269" s="282" t="n"/>
      <c r="AU269" s="282" t="n"/>
    </row>
    <row customHeight="1" ht="15.75" r="270" s="452" spans="1:48">
      <c r="A270" s="44" t="n"/>
      <c r="D270" s="535" t="n"/>
      <c r="E270" s="535" t="n"/>
      <c r="F270" s="282" t="n"/>
      <c r="G270" s="282" t="n"/>
      <c r="H270" s="536" t="n"/>
      <c r="I270" s="535" t="n"/>
      <c r="J270" s="282" t="n"/>
      <c r="K270" s="282" t="n"/>
      <c r="L270" s="536" t="n"/>
      <c r="M270" s="535" t="n"/>
      <c r="N270" s="282" t="n"/>
      <c r="O270" s="282" t="n"/>
      <c r="P270" s="535" t="n"/>
      <c r="Q270" s="535" t="n"/>
      <c r="R270" s="282" t="n"/>
      <c r="S270" s="282" t="n"/>
      <c r="T270" s="535" t="n"/>
      <c r="U270" s="535" t="n"/>
      <c r="V270" s="282" t="n"/>
      <c r="W270" s="282" t="n"/>
      <c r="X270" s="536" t="n"/>
      <c r="Y270" s="536" t="n"/>
      <c r="Z270" s="282" t="n"/>
      <c r="AA270" s="282" t="n"/>
      <c r="AB270" s="536" t="n"/>
      <c r="AC270" s="536" t="n"/>
      <c r="AD270" s="282" t="n"/>
      <c r="AE270" s="282" t="n"/>
      <c r="AF270" s="537" t="n"/>
      <c r="AG270" s="537" t="n"/>
      <c r="AH270" s="282" t="n"/>
      <c r="AI270" s="282" t="n"/>
      <c r="AJ270" s="537" t="n"/>
      <c r="AK270" s="537" t="n"/>
      <c r="AL270" s="282" t="n"/>
      <c r="AM270" s="282" t="n"/>
      <c r="AN270" s="282" t="n"/>
      <c r="AO270" s="282" t="n"/>
      <c r="AP270" s="282" t="n"/>
      <c r="AQ270" s="282" t="n"/>
      <c r="AR270" s="535" t="n"/>
      <c r="AS270" s="535" t="n"/>
      <c r="AT270" s="282" t="n"/>
      <c r="AU270" s="282" t="n"/>
    </row>
    <row customHeight="1" ht="15.75" r="271" s="452" spans="1:48">
      <c r="A271" s="44" t="n"/>
      <c r="D271" s="535" t="n"/>
      <c r="E271" s="535" t="n"/>
      <c r="F271" s="282" t="n"/>
      <c r="G271" s="282" t="n"/>
      <c r="H271" s="536" t="n"/>
      <c r="I271" s="535" t="n"/>
      <c r="J271" s="282" t="n"/>
      <c r="K271" s="282" t="n"/>
      <c r="L271" s="536" t="n"/>
      <c r="M271" s="535" t="n"/>
      <c r="N271" s="282" t="n"/>
      <c r="O271" s="282" t="n"/>
      <c r="P271" s="535" t="n"/>
      <c r="Q271" s="535" t="n"/>
      <c r="R271" s="282" t="n"/>
      <c r="S271" s="282" t="n"/>
      <c r="T271" s="535" t="n"/>
      <c r="U271" s="535" t="n"/>
      <c r="V271" s="282" t="n"/>
      <c r="W271" s="282" t="n"/>
      <c r="X271" s="536" t="n"/>
      <c r="Y271" s="536" t="n"/>
      <c r="Z271" s="282" t="n"/>
      <c r="AA271" s="282" t="n"/>
      <c r="AB271" s="536" t="n"/>
      <c r="AC271" s="536" t="n"/>
      <c r="AD271" s="282" t="n"/>
      <c r="AE271" s="282" t="n"/>
      <c r="AF271" s="537" t="n"/>
      <c r="AG271" s="537" t="n"/>
      <c r="AH271" s="282" t="n"/>
      <c r="AI271" s="282" t="n"/>
      <c r="AJ271" s="537" t="n"/>
      <c r="AK271" s="537" t="n"/>
      <c r="AL271" s="282" t="n"/>
      <c r="AM271" s="282" t="n"/>
      <c r="AN271" s="282" t="n"/>
      <c r="AO271" s="282" t="n"/>
      <c r="AP271" s="282" t="n"/>
      <c r="AQ271" s="282" t="n"/>
      <c r="AR271" s="535" t="n"/>
      <c r="AS271" s="535" t="n"/>
      <c r="AT271" s="282" t="n"/>
      <c r="AU271" s="282" t="n"/>
    </row>
    <row customHeight="1" ht="15.75" r="272" s="452" spans="1:48">
      <c r="A272" s="44" t="n"/>
      <c r="D272" s="535" t="n"/>
      <c r="E272" s="535" t="n"/>
      <c r="F272" s="282" t="n"/>
      <c r="G272" s="282" t="n"/>
      <c r="H272" s="536" t="n"/>
      <c r="I272" s="535" t="n"/>
      <c r="J272" s="282" t="n"/>
      <c r="K272" s="282" t="n"/>
      <c r="L272" s="536" t="n"/>
      <c r="M272" s="535" t="n"/>
      <c r="N272" s="282" t="n"/>
      <c r="O272" s="282" t="n"/>
      <c r="P272" s="535" t="n"/>
      <c r="Q272" s="535" t="n"/>
      <c r="R272" s="282" t="n"/>
      <c r="S272" s="282" t="n"/>
      <c r="T272" s="535" t="n"/>
      <c r="U272" s="535" t="n"/>
      <c r="V272" s="282" t="n"/>
      <c r="W272" s="282" t="n"/>
      <c r="X272" s="536" t="n"/>
      <c r="Y272" s="536" t="n"/>
      <c r="Z272" s="282" t="n"/>
      <c r="AA272" s="282" t="n"/>
      <c r="AB272" s="536" t="n"/>
      <c r="AC272" s="536" t="n"/>
      <c r="AD272" s="282" t="n"/>
      <c r="AE272" s="282" t="n"/>
      <c r="AF272" s="537" t="n"/>
      <c r="AG272" s="537" t="n"/>
      <c r="AH272" s="282" t="n"/>
      <c r="AI272" s="282" t="n"/>
      <c r="AJ272" s="537" t="n"/>
      <c r="AK272" s="537" t="n"/>
      <c r="AL272" s="282" t="n"/>
      <c r="AM272" s="282" t="n"/>
      <c r="AN272" s="282" t="n"/>
      <c r="AO272" s="282" t="n"/>
      <c r="AP272" s="282" t="n"/>
      <c r="AQ272" s="282" t="n"/>
      <c r="AR272" s="535" t="n"/>
      <c r="AS272" s="535" t="n"/>
      <c r="AT272" s="282" t="n"/>
      <c r="AU272" s="282" t="n"/>
    </row>
    <row customHeight="1" ht="15.75" r="273" s="452" spans="1:48">
      <c r="A273" s="44" t="n"/>
      <c r="D273" s="535" t="n"/>
      <c r="E273" s="535" t="n"/>
      <c r="F273" s="282" t="n"/>
      <c r="G273" s="282" t="n"/>
      <c r="H273" s="536" t="n"/>
      <c r="I273" s="535" t="n"/>
      <c r="J273" s="282" t="n"/>
      <c r="K273" s="282" t="n"/>
      <c r="L273" s="536" t="n"/>
      <c r="M273" s="535" t="n"/>
      <c r="N273" s="282" t="n"/>
      <c r="O273" s="282" t="n"/>
      <c r="P273" s="535" t="n"/>
      <c r="Q273" s="535" t="n"/>
      <c r="R273" s="282" t="n"/>
      <c r="S273" s="282" t="n"/>
      <c r="T273" s="535" t="n"/>
      <c r="U273" s="535" t="n"/>
      <c r="V273" s="282" t="n"/>
      <c r="W273" s="282" t="n"/>
      <c r="X273" s="536" t="n"/>
      <c r="Y273" s="536" t="n"/>
      <c r="Z273" s="282" t="n"/>
      <c r="AA273" s="282" t="n"/>
      <c r="AB273" s="536" t="n"/>
      <c r="AC273" s="536" t="n"/>
      <c r="AD273" s="282" t="n"/>
      <c r="AE273" s="282" t="n"/>
      <c r="AF273" s="537" t="n"/>
      <c r="AG273" s="537" t="n"/>
      <c r="AH273" s="282" t="n"/>
      <c r="AI273" s="282" t="n"/>
      <c r="AJ273" s="537" t="n"/>
      <c r="AK273" s="537" t="n"/>
      <c r="AL273" s="282" t="n"/>
      <c r="AM273" s="282" t="n"/>
      <c r="AN273" s="282" t="n"/>
      <c r="AO273" s="282" t="n"/>
      <c r="AP273" s="282" t="n"/>
      <c r="AQ273" s="282" t="n"/>
      <c r="AR273" s="535" t="n"/>
      <c r="AS273" s="535" t="n"/>
      <c r="AT273" s="282" t="n"/>
      <c r="AU273" s="282" t="n"/>
    </row>
    <row customHeight="1" ht="15.75" r="274" s="452" spans="1:48">
      <c r="A274" s="44" t="n"/>
      <c r="D274" s="535" t="n"/>
      <c r="E274" s="535" t="n"/>
      <c r="F274" s="282" t="n"/>
      <c r="G274" s="282" t="n"/>
      <c r="H274" s="536" t="n"/>
      <c r="I274" s="535" t="n"/>
      <c r="J274" s="282" t="n"/>
      <c r="K274" s="282" t="n"/>
      <c r="L274" s="536" t="n"/>
      <c r="M274" s="535" t="n"/>
      <c r="N274" s="282" t="n"/>
      <c r="O274" s="282" t="n"/>
      <c r="P274" s="535" t="n"/>
      <c r="Q274" s="535" t="n"/>
      <c r="R274" s="282" t="n"/>
      <c r="S274" s="282" t="n"/>
      <c r="T274" s="535" t="n"/>
      <c r="U274" s="535" t="n"/>
      <c r="V274" s="282" t="n"/>
      <c r="W274" s="282" t="n"/>
      <c r="X274" s="536" t="n"/>
      <c r="Y274" s="536" t="n"/>
      <c r="Z274" s="282" t="n"/>
      <c r="AA274" s="282" t="n"/>
      <c r="AB274" s="536" t="n"/>
      <c r="AC274" s="536" t="n"/>
      <c r="AD274" s="282" t="n"/>
      <c r="AE274" s="282" t="n"/>
      <c r="AF274" s="537" t="n"/>
      <c r="AG274" s="537" t="n"/>
      <c r="AH274" s="282" t="n"/>
      <c r="AI274" s="282" t="n"/>
      <c r="AJ274" s="537" t="n"/>
      <c r="AK274" s="537" t="n"/>
      <c r="AL274" s="282" t="n"/>
      <c r="AM274" s="282" t="n"/>
      <c r="AN274" s="282" t="n"/>
      <c r="AO274" s="282" t="n"/>
      <c r="AP274" s="282" t="n"/>
      <c r="AQ274" s="282" t="n"/>
      <c r="AR274" s="535" t="n"/>
      <c r="AS274" s="535" t="n"/>
      <c r="AT274" s="282" t="n"/>
      <c r="AU274" s="282" t="n"/>
    </row>
    <row customHeight="1" ht="15.75" r="275" s="452" spans="1:48">
      <c r="A275" s="44" t="n"/>
      <c r="D275" s="535" t="n"/>
      <c r="E275" s="535" t="n"/>
      <c r="F275" s="282" t="n"/>
      <c r="G275" s="282" t="n"/>
      <c r="H275" s="536" t="n"/>
      <c r="I275" s="535" t="n"/>
      <c r="J275" s="282" t="n"/>
      <c r="K275" s="282" t="n"/>
      <c r="L275" s="536" t="n"/>
      <c r="M275" s="535" t="n"/>
      <c r="N275" s="282" t="n"/>
      <c r="O275" s="282" t="n"/>
      <c r="P275" s="535" t="n"/>
      <c r="Q275" s="535" t="n"/>
      <c r="R275" s="282" t="n"/>
      <c r="S275" s="282" t="n"/>
      <c r="T275" s="535" t="n"/>
      <c r="U275" s="535" t="n"/>
      <c r="V275" s="282" t="n"/>
      <c r="W275" s="282" t="n"/>
      <c r="X275" s="536" t="n"/>
      <c r="Y275" s="536" t="n"/>
      <c r="Z275" s="282" t="n"/>
      <c r="AA275" s="282" t="n"/>
      <c r="AB275" s="536" t="n"/>
      <c r="AC275" s="536" t="n"/>
      <c r="AD275" s="282" t="n"/>
      <c r="AE275" s="282" t="n"/>
      <c r="AF275" s="537" t="n"/>
      <c r="AG275" s="537" t="n"/>
      <c r="AH275" s="282" t="n"/>
      <c r="AI275" s="282" t="n"/>
      <c r="AJ275" s="537" t="n"/>
      <c r="AK275" s="537" t="n"/>
      <c r="AL275" s="282" t="n"/>
      <c r="AM275" s="282" t="n"/>
      <c r="AN275" s="282" t="n"/>
      <c r="AO275" s="282" t="n"/>
      <c r="AP275" s="282" t="n"/>
      <c r="AQ275" s="282" t="n"/>
      <c r="AR275" s="535" t="n"/>
      <c r="AS275" s="535" t="n"/>
      <c r="AT275" s="282" t="n"/>
      <c r="AU275" s="282" t="n"/>
    </row>
    <row customHeight="1" ht="15.75" r="276" s="452" spans="1:48">
      <c r="A276" s="44" t="n"/>
      <c r="D276" s="535" t="n"/>
      <c r="E276" s="535" t="n"/>
      <c r="F276" s="282" t="n"/>
      <c r="G276" s="282" t="n"/>
      <c r="H276" s="536" t="n"/>
      <c r="I276" s="535" t="n"/>
      <c r="J276" s="282" t="n"/>
      <c r="K276" s="282" t="n"/>
      <c r="L276" s="536" t="n"/>
      <c r="M276" s="535" t="n"/>
      <c r="N276" s="282" t="n"/>
      <c r="O276" s="282" t="n"/>
      <c r="P276" s="535" t="n"/>
      <c r="Q276" s="535" t="n"/>
      <c r="R276" s="282" t="n"/>
      <c r="S276" s="282" t="n"/>
      <c r="T276" s="535" t="n"/>
      <c r="U276" s="535" t="n"/>
      <c r="V276" s="282" t="n"/>
      <c r="W276" s="282" t="n"/>
      <c r="X276" s="536" t="n"/>
      <c r="Y276" s="536" t="n"/>
      <c r="Z276" s="282" t="n"/>
      <c r="AA276" s="282" t="n"/>
      <c r="AB276" s="536" t="n"/>
      <c r="AC276" s="536" t="n"/>
      <c r="AD276" s="282" t="n"/>
      <c r="AE276" s="282" t="n"/>
      <c r="AF276" s="537" t="n"/>
      <c r="AG276" s="537" t="n"/>
      <c r="AH276" s="282" t="n"/>
      <c r="AI276" s="282" t="n"/>
      <c r="AJ276" s="537" t="n"/>
      <c r="AK276" s="537" t="n"/>
      <c r="AL276" s="282" t="n"/>
      <c r="AM276" s="282" t="n"/>
      <c r="AN276" s="282" t="n"/>
      <c r="AO276" s="282" t="n"/>
      <c r="AP276" s="282" t="n"/>
      <c r="AQ276" s="282" t="n"/>
      <c r="AR276" s="535" t="n"/>
      <c r="AS276" s="535" t="n"/>
      <c r="AT276" s="282" t="n"/>
      <c r="AU276" s="282" t="n"/>
    </row>
    <row customHeight="1" ht="15.75" r="277" s="452" spans="1:48">
      <c r="A277" s="44" t="n"/>
      <c r="D277" s="535" t="n"/>
      <c r="E277" s="535" t="n"/>
      <c r="F277" s="282" t="n"/>
      <c r="G277" s="282" t="n"/>
      <c r="H277" s="536" t="n"/>
      <c r="I277" s="535" t="n"/>
      <c r="J277" s="282" t="n"/>
      <c r="K277" s="282" t="n"/>
      <c r="L277" s="536" t="n"/>
      <c r="M277" s="535" t="n"/>
      <c r="N277" s="282" t="n"/>
      <c r="O277" s="282" t="n"/>
      <c r="P277" s="535" t="n"/>
      <c r="Q277" s="535" t="n"/>
      <c r="R277" s="282" t="n"/>
      <c r="S277" s="282" t="n"/>
      <c r="T277" s="535" t="n"/>
      <c r="U277" s="535" t="n"/>
      <c r="V277" s="282" t="n"/>
      <c r="W277" s="282" t="n"/>
      <c r="X277" s="536" t="n"/>
      <c r="Y277" s="536" t="n"/>
      <c r="Z277" s="282" t="n"/>
      <c r="AA277" s="282" t="n"/>
      <c r="AB277" s="536" t="n"/>
      <c r="AC277" s="536" t="n"/>
      <c r="AD277" s="282" t="n"/>
      <c r="AE277" s="282" t="n"/>
      <c r="AF277" s="537" t="n"/>
      <c r="AG277" s="537" t="n"/>
      <c r="AH277" s="282" t="n"/>
      <c r="AI277" s="282" t="n"/>
      <c r="AJ277" s="537" t="n"/>
      <c r="AK277" s="537" t="n"/>
      <c r="AL277" s="282" t="n"/>
      <c r="AM277" s="282" t="n"/>
      <c r="AN277" s="282" t="n"/>
      <c r="AO277" s="282" t="n"/>
      <c r="AP277" s="282" t="n"/>
      <c r="AQ277" s="282" t="n"/>
      <c r="AR277" s="535" t="n"/>
      <c r="AS277" s="535" t="n"/>
      <c r="AT277" s="282" t="n"/>
      <c r="AU277" s="282" t="n"/>
    </row>
    <row customHeight="1" ht="15.75" r="278" s="452" spans="1:48">
      <c r="A278" s="44" t="n"/>
      <c r="D278" s="535" t="n"/>
      <c r="E278" s="535" t="n"/>
      <c r="F278" s="282" t="n"/>
      <c r="G278" s="282" t="n"/>
      <c r="H278" s="536" t="n"/>
      <c r="I278" s="535" t="n"/>
      <c r="J278" s="282" t="n"/>
      <c r="K278" s="282" t="n"/>
      <c r="L278" s="536" t="n"/>
      <c r="M278" s="535" t="n"/>
      <c r="N278" s="282" t="n"/>
      <c r="O278" s="282" t="n"/>
      <c r="P278" s="535" t="n"/>
      <c r="Q278" s="535" t="n"/>
      <c r="R278" s="282" t="n"/>
      <c r="S278" s="282" t="n"/>
      <c r="T278" s="535" t="n"/>
      <c r="U278" s="535" t="n"/>
      <c r="V278" s="282" t="n"/>
      <c r="W278" s="282" t="n"/>
      <c r="X278" s="536" t="n"/>
      <c r="Y278" s="536" t="n"/>
      <c r="Z278" s="282" t="n"/>
      <c r="AA278" s="282" t="n"/>
      <c r="AB278" s="536" t="n"/>
      <c r="AC278" s="536" t="n"/>
      <c r="AD278" s="282" t="n"/>
      <c r="AE278" s="282" t="n"/>
      <c r="AF278" s="537" t="n"/>
      <c r="AG278" s="537" t="n"/>
      <c r="AH278" s="282" t="n"/>
      <c r="AI278" s="282" t="n"/>
      <c r="AJ278" s="537" t="n"/>
      <c r="AK278" s="537" t="n"/>
      <c r="AL278" s="282" t="n"/>
      <c r="AM278" s="282" t="n"/>
      <c r="AN278" s="282" t="n"/>
      <c r="AO278" s="282" t="n"/>
      <c r="AP278" s="282" t="n"/>
      <c r="AQ278" s="282" t="n"/>
      <c r="AR278" s="535" t="n"/>
      <c r="AS278" s="535" t="n"/>
      <c r="AT278" s="282" t="n"/>
      <c r="AU278" s="282" t="n"/>
    </row>
    <row customHeight="1" ht="15.75" r="279" s="452" spans="1:48">
      <c r="A279" s="44" t="n"/>
      <c r="D279" s="535" t="n"/>
      <c r="E279" s="535" t="n"/>
      <c r="F279" s="282" t="n"/>
      <c r="G279" s="282" t="n"/>
      <c r="H279" s="536" t="n"/>
      <c r="I279" s="535" t="n"/>
      <c r="J279" s="282" t="n"/>
      <c r="K279" s="282" t="n"/>
      <c r="L279" s="536" t="n"/>
      <c r="M279" s="535" t="n"/>
      <c r="N279" s="282" t="n"/>
      <c r="O279" s="282" t="n"/>
      <c r="P279" s="535" t="n"/>
      <c r="Q279" s="535" t="n"/>
      <c r="R279" s="282" t="n"/>
      <c r="S279" s="282" t="n"/>
      <c r="T279" s="535" t="n"/>
      <c r="U279" s="535" t="n"/>
      <c r="V279" s="282" t="n"/>
      <c r="W279" s="282" t="n"/>
      <c r="X279" s="536" t="n"/>
      <c r="Y279" s="536" t="n"/>
      <c r="Z279" s="282" t="n"/>
      <c r="AA279" s="282" t="n"/>
      <c r="AB279" s="536" t="n"/>
      <c r="AC279" s="536" t="n"/>
      <c r="AD279" s="282" t="n"/>
      <c r="AE279" s="282" t="n"/>
      <c r="AF279" s="537" t="n"/>
      <c r="AG279" s="537" t="n"/>
      <c r="AH279" s="282" t="n"/>
      <c r="AI279" s="282" t="n"/>
      <c r="AJ279" s="537" t="n"/>
      <c r="AK279" s="537" t="n"/>
      <c r="AL279" s="282" t="n"/>
      <c r="AM279" s="282" t="n"/>
      <c r="AN279" s="282" t="n"/>
      <c r="AO279" s="282" t="n"/>
      <c r="AP279" s="282" t="n"/>
      <c r="AQ279" s="282" t="n"/>
      <c r="AR279" s="535" t="n"/>
      <c r="AS279" s="535" t="n"/>
      <c r="AT279" s="282" t="n"/>
      <c r="AU279" s="282" t="n"/>
    </row>
    <row customHeight="1" ht="15.75" r="280" s="452" spans="1:48">
      <c r="A280" s="44" t="n"/>
      <c r="D280" s="535" t="n"/>
      <c r="E280" s="535" t="n"/>
      <c r="F280" s="282" t="n"/>
      <c r="G280" s="282" t="n"/>
      <c r="H280" s="536" t="n"/>
      <c r="I280" s="535" t="n"/>
      <c r="J280" s="282" t="n"/>
      <c r="K280" s="282" t="n"/>
      <c r="L280" s="536" t="n"/>
      <c r="M280" s="535" t="n"/>
      <c r="N280" s="282" t="n"/>
      <c r="O280" s="282" t="n"/>
      <c r="P280" s="535" t="n"/>
      <c r="Q280" s="535" t="n"/>
      <c r="R280" s="282" t="n"/>
      <c r="S280" s="282" t="n"/>
      <c r="T280" s="535" t="n"/>
      <c r="U280" s="535" t="n"/>
      <c r="V280" s="282" t="n"/>
      <c r="W280" s="282" t="n"/>
      <c r="X280" s="536" t="n"/>
      <c r="Y280" s="536" t="n"/>
      <c r="Z280" s="282" t="n"/>
      <c r="AA280" s="282" t="n"/>
      <c r="AB280" s="536" t="n"/>
      <c r="AC280" s="536" t="n"/>
      <c r="AD280" s="282" t="n"/>
      <c r="AE280" s="282" t="n"/>
      <c r="AF280" s="537" t="n"/>
      <c r="AG280" s="537" t="n"/>
      <c r="AH280" s="282" t="n"/>
      <c r="AI280" s="282" t="n"/>
      <c r="AJ280" s="537" t="n"/>
      <c r="AK280" s="537" t="n"/>
      <c r="AL280" s="282" t="n"/>
      <c r="AM280" s="282" t="n"/>
      <c r="AN280" s="282" t="n"/>
      <c r="AO280" s="282" t="n"/>
      <c r="AP280" s="282" t="n"/>
      <c r="AQ280" s="282" t="n"/>
      <c r="AR280" s="535" t="n"/>
      <c r="AS280" s="535" t="n"/>
      <c r="AT280" s="282" t="n"/>
      <c r="AU280" s="282" t="n"/>
    </row>
    <row customHeight="1" ht="15.75" r="281" s="452" spans="1:48">
      <c r="A281" s="44" t="n"/>
      <c r="D281" s="535" t="n"/>
      <c r="E281" s="535" t="n"/>
      <c r="F281" s="282" t="n"/>
      <c r="G281" s="282" t="n"/>
      <c r="H281" s="536" t="n"/>
      <c r="I281" s="535" t="n"/>
      <c r="J281" s="282" t="n"/>
      <c r="K281" s="282" t="n"/>
      <c r="L281" s="536" t="n"/>
      <c r="M281" s="535" t="n"/>
      <c r="N281" s="282" t="n"/>
      <c r="O281" s="282" t="n"/>
      <c r="P281" s="535" t="n"/>
      <c r="Q281" s="535" t="n"/>
      <c r="R281" s="282" t="n"/>
      <c r="S281" s="282" t="n"/>
      <c r="T281" s="535" t="n"/>
      <c r="U281" s="535" t="n"/>
      <c r="V281" s="282" t="n"/>
      <c r="W281" s="282" t="n"/>
      <c r="X281" s="536" t="n"/>
      <c r="Y281" s="536" t="n"/>
      <c r="Z281" s="282" t="n"/>
      <c r="AA281" s="282" t="n"/>
      <c r="AB281" s="536" t="n"/>
      <c r="AC281" s="536" t="n"/>
      <c r="AD281" s="282" t="n"/>
      <c r="AE281" s="282" t="n"/>
      <c r="AF281" s="537" t="n"/>
      <c r="AG281" s="537" t="n"/>
      <c r="AH281" s="282" t="n"/>
      <c r="AI281" s="282" t="n"/>
      <c r="AJ281" s="537" t="n"/>
      <c r="AK281" s="537" t="n"/>
      <c r="AL281" s="282" t="n"/>
      <c r="AM281" s="282" t="n"/>
      <c r="AN281" s="282" t="n"/>
      <c r="AO281" s="282" t="n"/>
      <c r="AP281" s="282" t="n"/>
      <c r="AQ281" s="282" t="n"/>
      <c r="AR281" s="535" t="n"/>
      <c r="AS281" s="535" t="n"/>
      <c r="AT281" s="282" t="n"/>
      <c r="AU281" s="282" t="n"/>
    </row>
    <row customHeight="1" ht="15.75" r="282" s="452" spans="1:48">
      <c r="A282" s="44" t="n"/>
      <c r="D282" s="535" t="n"/>
      <c r="E282" s="535" t="n"/>
      <c r="F282" s="282" t="n"/>
      <c r="G282" s="282" t="n"/>
      <c r="H282" s="536" t="n"/>
      <c r="I282" s="535" t="n"/>
      <c r="J282" s="282" t="n"/>
      <c r="K282" s="282" t="n"/>
      <c r="L282" s="536" t="n"/>
      <c r="M282" s="535" t="n"/>
      <c r="N282" s="282" t="n"/>
      <c r="O282" s="282" t="n"/>
      <c r="P282" s="535" t="n"/>
      <c r="Q282" s="535" t="n"/>
      <c r="R282" s="282" t="n"/>
      <c r="S282" s="282" t="n"/>
      <c r="T282" s="535" t="n"/>
      <c r="U282" s="535" t="n"/>
      <c r="V282" s="282" t="n"/>
      <c r="W282" s="282" t="n"/>
      <c r="X282" s="536" t="n"/>
      <c r="Y282" s="536" t="n"/>
      <c r="Z282" s="282" t="n"/>
      <c r="AA282" s="282" t="n"/>
      <c r="AB282" s="536" t="n"/>
      <c r="AC282" s="536" t="n"/>
      <c r="AD282" s="282" t="n"/>
      <c r="AE282" s="282" t="n"/>
      <c r="AF282" s="537" t="n"/>
      <c r="AG282" s="537" t="n"/>
      <c r="AH282" s="282" t="n"/>
      <c r="AI282" s="282" t="n"/>
      <c r="AJ282" s="537" t="n"/>
      <c r="AK282" s="537" t="n"/>
      <c r="AL282" s="282" t="n"/>
      <c r="AM282" s="282" t="n"/>
      <c r="AN282" s="282" t="n"/>
      <c r="AO282" s="282" t="n"/>
      <c r="AP282" s="282" t="n"/>
      <c r="AQ282" s="282" t="n"/>
      <c r="AR282" s="535" t="n"/>
      <c r="AS282" s="535" t="n"/>
      <c r="AT282" s="282" t="n"/>
      <c r="AU282" s="282" t="n"/>
    </row>
    <row customHeight="1" ht="15.75" r="283" s="452" spans="1:48">
      <c r="A283" s="44" t="n"/>
      <c r="D283" s="535" t="n"/>
      <c r="E283" s="535" t="n"/>
      <c r="F283" s="282" t="n"/>
      <c r="G283" s="282" t="n"/>
      <c r="H283" s="536" t="n"/>
      <c r="I283" s="535" t="n"/>
      <c r="J283" s="282" t="n"/>
      <c r="K283" s="282" t="n"/>
      <c r="L283" s="536" t="n"/>
      <c r="M283" s="535" t="n"/>
      <c r="N283" s="282" t="n"/>
      <c r="O283" s="282" t="n"/>
      <c r="P283" s="535" t="n"/>
      <c r="Q283" s="535" t="n"/>
      <c r="R283" s="282" t="n"/>
      <c r="S283" s="282" t="n"/>
      <c r="T283" s="535" t="n"/>
      <c r="U283" s="535" t="n"/>
      <c r="V283" s="282" t="n"/>
      <c r="W283" s="282" t="n"/>
      <c r="X283" s="536" t="n"/>
      <c r="Y283" s="536" t="n"/>
      <c r="Z283" s="282" t="n"/>
      <c r="AA283" s="282" t="n"/>
      <c r="AB283" s="536" t="n"/>
      <c r="AC283" s="536" t="n"/>
      <c r="AD283" s="282" t="n"/>
      <c r="AE283" s="282" t="n"/>
      <c r="AF283" s="537" t="n"/>
      <c r="AG283" s="537" t="n"/>
      <c r="AH283" s="282" t="n"/>
      <c r="AI283" s="282" t="n"/>
      <c r="AJ283" s="537" t="n"/>
      <c r="AK283" s="537" t="n"/>
      <c r="AL283" s="282" t="n"/>
      <c r="AM283" s="282" t="n"/>
      <c r="AN283" s="282" t="n"/>
      <c r="AO283" s="282" t="n"/>
      <c r="AP283" s="282" t="n"/>
      <c r="AQ283" s="282" t="n"/>
      <c r="AR283" s="535" t="n"/>
      <c r="AS283" s="535" t="n"/>
      <c r="AT283" s="282" t="n"/>
      <c r="AU283" s="282" t="n"/>
    </row>
    <row customHeight="1" ht="15.75" r="284" s="452" spans="1:48">
      <c r="A284" s="44" t="n"/>
      <c r="D284" s="535" t="n"/>
      <c r="E284" s="535" t="n"/>
      <c r="F284" s="282" t="n"/>
      <c r="G284" s="282" t="n"/>
      <c r="H284" s="536" t="n"/>
      <c r="I284" s="535" t="n"/>
      <c r="J284" s="282" t="n"/>
      <c r="K284" s="282" t="n"/>
      <c r="L284" s="536" t="n"/>
      <c r="M284" s="535" t="n"/>
      <c r="N284" s="282" t="n"/>
      <c r="O284" s="282" t="n"/>
      <c r="P284" s="535" t="n"/>
      <c r="Q284" s="535" t="n"/>
      <c r="R284" s="282" t="n"/>
      <c r="S284" s="282" t="n"/>
      <c r="T284" s="535" t="n"/>
      <c r="U284" s="535" t="n"/>
      <c r="V284" s="282" t="n"/>
      <c r="W284" s="282" t="n"/>
      <c r="X284" s="536" t="n"/>
      <c r="Y284" s="536" t="n"/>
      <c r="Z284" s="282" t="n"/>
      <c r="AA284" s="282" t="n"/>
      <c r="AB284" s="536" t="n"/>
      <c r="AC284" s="536" t="n"/>
      <c r="AD284" s="282" t="n"/>
      <c r="AE284" s="282" t="n"/>
      <c r="AF284" s="537" t="n"/>
      <c r="AG284" s="537" t="n"/>
      <c r="AH284" s="282" t="n"/>
      <c r="AI284" s="282" t="n"/>
      <c r="AJ284" s="537" t="n"/>
      <c r="AK284" s="537" t="n"/>
      <c r="AL284" s="282" t="n"/>
      <c r="AM284" s="282" t="n"/>
      <c r="AN284" s="282" t="n"/>
      <c r="AO284" s="282" t="n"/>
      <c r="AP284" s="282" t="n"/>
      <c r="AQ284" s="282" t="n"/>
      <c r="AR284" s="535" t="n"/>
      <c r="AS284" s="535" t="n"/>
      <c r="AT284" s="282" t="n"/>
      <c r="AU284" s="282" t="n"/>
    </row>
    <row customHeight="1" ht="15.75" r="285" s="452" spans="1:48">
      <c r="A285" s="44" t="n"/>
      <c r="D285" s="535" t="n"/>
      <c r="E285" s="535" t="n"/>
      <c r="F285" s="282" t="n"/>
      <c r="G285" s="282" t="n"/>
      <c r="H285" s="536" t="n"/>
      <c r="I285" s="535" t="n"/>
      <c r="J285" s="282" t="n"/>
      <c r="K285" s="282" t="n"/>
      <c r="L285" s="536" t="n"/>
      <c r="M285" s="535" t="n"/>
      <c r="N285" s="282" t="n"/>
      <c r="O285" s="282" t="n"/>
      <c r="P285" s="535" t="n"/>
      <c r="Q285" s="535" t="n"/>
      <c r="R285" s="282" t="n"/>
      <c r="S285" s="282" t="n"/>
      <c r="T285" s="535" t="n"/>
      <c r="U285" s="535" t="n"/>
      <c r="V285" s="282" t="n"/>
      <c r="W285" s="282" t="n"/>
      <c r="X285" s="536" t="n"/>
      <c r="Y285" s="536" t="n"/>
      <c r="Z285" s="282" t="n"/>
      <c r="AA285" s="282" t="n"/>
      <c r="AB285" s="536" t="n"/>
      <c r="AC285" s="536" t="n"/>
      <c r="AD285" s="282" t="n"/>
      <c r="AE285" s="282" t="n"/>
      <c r="AF285" s="537" t="n"/>
      <c r="AG285" s="537" t="n"/>
      <c r="AH285" s="282" t="n"/>
      <c r="AI285" s="282" t="n"/>
      <c r="AJ285" s="537" t="n"/>
      <c r="AK285" s="537" t="n"/>
      <c r="AL285" s="282" t="n"/>
      <c r="AM285" s="282" t="n"/>
      <c r="AN285" s="282" t="n"/>
      <c r="AO285" s="282" t="n"/>
      <c r="AP285" s="282" t="n"/>
      <c r="AQ285" s="282" t="n"/>
      <c r="AR285" s="535" t="n"/>
      <c r="AS285" s="535" t="n"/>
      <c r="AT285" s="282" t="n"/>
      <c r="AU285" s="282" t="n"/>
    </row>
    <row customHeight="1" ht="15.75" r="286" s="452" spans="1:48">
      <c r="A286" s="44" t="n"/>
      <c r="D286" s="535" t="n"/>
      <c r="E286" s="535" t="n"/>
      <c r="F286" s="282" t="n"/>
      <c r="G286" s="282" t="n"/>
      <c r="H286" s="536" t="n"/>
      <c r="I286" s="535" t="n"/>
      <c r="J286" s="282" t="n"/>
      <c r="K286" s="282" t="n"/>
      <c r="L286" s="536" t="n"/>
      <c r="M286" s="535" t="n"/>
      <c r="N286" s="282" t="n"/>
      <c r="O286" s="282" t="n"/>
      <c r="P286" s="535" t="n"/>
      <c r="Q286" s="535" t="n"/>
      <c r="R286" s="282" t="n"/>
      <c r="S286" s="282" t="n"/>
      <c r="T286" s="535" t="n"/>
      <c r="U286" s="535" t="n"/>
      <c r="V286" s="282" t="n"/>
      <c r="W286" s="282" t="n"/>
      <c r="X286" s="536" t="n"/>
      <c r="Y286" s="536" t="n"/>
      <c r="Z286" s="282" t="n"/>
      <c r="AA286" s="282" t="n"/>
      <c r="AB286" s="536" t="n"/>
      <c r="AC286" s="536" t="n"/>
      <c r="AD286" s="282" t="n"/>
      <c r="AE286" s="282" t="n"/>
      <c r="AF286" s="537" t="n"/>
      <c r="AG286" s="537" t="n"/>
      <c r="AH286" s="282" t="n"/>
      <c r="AI286" s="282" t="n"/>
      <c r="AJ286" s="537" t="n"/>
      <c r="AK286" s="537" t="n"/>
      <c r="AL286" s="282" t="n"/>
      <c r="AM286" s="282" t="n"/>
      <c r="AN286" s="282" t="n"/>
      <c r="AO286" s="282" t="n"/>
      <c r="AP286" s="282" t="n"/>
      <c r="AQ286" s="282" t="n"/>
      <c r="AR286" s="535" t="n"/>
      <c r="AS286" s="535" t="n"/>
      <c r="AT286" s="282" t="n"/>
      <c r="AU286" s="282" t="n"/>
    </row>
    <row customHeight="1" ht="15.75" r="287" s="452" spans="1:48">
      <c r="A287" s="44" t="n"/>
      <c r="D287" s="535" t="n"/>
      <c r="E287" s="535" t="n"/>
      <c r="F287" s="282" t="n"/>
      <c r="G287" s="282" t="n"/>
      <c r="H287" s="536" t="n"/>
      <c r="I287" s="535" t="n"/>
      <c r="J287" s="282" t="n"/>
      <c r="K287" s="282" t="n"/>
      <c r="L287" s="536" t="n"/>
      <c r="M287" s="535" t="n"/>
      <c r="N287" s="282" t="n"/>
      <c r="O287" s="282" t="n"/>
      <c r="P287" s="535" t="n"/>
      <c r="Q287" s="535" t="n"/>
      <c r="R287" s="282" t="n"/>
      <c r="S287" s="282" t="n"/>
      <c r="T287" s="535" t="n"/>
      <c r="U287" s="535" t="n"/>
      <c r="V287" s="282" t="n"/>
      <c r="W287" s="282" t="n"/>
      <c r="X287" s="536" t="n"/>
      <c r="Y287" s="536" t="n"/>
      <c r="Z287" s="282" t="n"/>
      <c r="AA287" s="282" t="n"/>
      <c r="AB287" s="536" t="n"/>
      <c r="AC287" s="536" t="n"/>
      <c r="AD287" s="282" t="n"/>
      <c r="AE287" s="282" t="n"/>
      <c r="AF287" s="537" t="n"/>
      <c r="AG287" s="537" t="n"/>
      <c r="AH287" s="282" t="n"/>
      <c r="AI287" s="282" t="n"/>
      <c r="AJ287" s="537" t="n"/>
      <c r="AK287" s="537" t="n"/>
      <c r="AL287" s="282" t="n"/>
      <c r="AM287" s="282" t="n"/>
      <c r="AN287" s="282" t="n"/>
      <c r="AO287" s="282" t="n"/>
      <c r="AP287" s="282" t="n"/>
      <c r="AQ287" s="282" t="n"/>
      <c r="AR287" s="535" t="n"/>
      <c r="AS287" s="535" t="n"/>
      <c r="AT287" s="282" t="n"/>
      <c r="AU287" s="282" t="n"/>
    </row>
    <row customHeight="1" ht="15.75" r="288" s="452" spans="1:48">
      <c r="A288" s="44" t="n"/>
      <c r="D288" s="535" t="n"/>
      <c r="E288" s="535" t="n"/>
      <c r="F288" s="282" t="n"/>
      <c r="G288" s="282" t="n"/>
      <c r="H288" s="536" t="n"/>
      <c r="I288" s="535" t="n"/>
      <c r="J288" s="282" t="n"/>
      <c r="K288" s="282" t="n"/>
      <c r="L288" s="536" t="n"/>
      <c r="M288" s="535" t="n"/>
      <c r="N288" s="282" t="n"/>
      <c r="O288" s="282" t="n"/>
      <c r="P288" s="535" t="n"/>
      <c r="Q288" s="535" t="n"/>
      <c r="R288" s="282" t="n"/>
      <c r="S288" s="282" t="n"/>
      <c r="T288" s="535" t="n"/>
      <c r="U288" s="535" t="n"/>
      <c r="V288" s="282" t="n"/>
      <c r="W288" s="282" t="n"/>
      <c r="X288" s="536" t="n"/>
      <c r="Y288" s="536" t="n"/>
      <c r="Z288" s="282" t="n"/>
      <c r="AA288" s="282" t="n"/>
      <c r="AB288" s="536" t="n"/>
      <c r="AC288" s="536" t="n"/>
      <c r="AD288" s="282" t="n"/>
      <c r="AE288" s="282" t="n"/>
      <c r="AF288" s="537" t="n"/>
      <c r="AG288" s="537" t="n"/>
      <c r="AH288" s="282" t="n"/>
      <c r="AI288" s="282" t="n"/>
      <c r="AJ288" s="537" t="n"/>
      <c r="AK288" s="537" t="n"/>
      <c r="AL288" s="282" t="n"/>
      <c r="AM288" s="282" t="n"/>
      <c r="AN288" s="282" t="n"/>
      <c r="AO288" s="282" t="n"/>
      <c r="AP288" s="282" t="n"/>
      <c r="AQ288" s="282" t="n"/>
      <c r="AR288" s="535" t="n"/>
      <c r="AS288" s="535" t="n"/>
      <c r="AT288" s="282" t="n"/>
      <c r="AU288" s="282" t="n"/>
    </row>
    <row customHeight="1" ht="15.75" r="289" s="452" spans="1:48">
      <c r="A289" s="44" t="n"/>
      <c r="D289" s="535" t="n"/>
      <c r="E289" s="535" t="n"/>
      <c r="F289" s="282" t="n"/>
      <c r="G289" s="282" t="n"/>
      <c r="H289" s="536" t="n"/>
      <c r="I289" s="535" t="n"/>
      <c r="J289" s="282" t="n"/>
      <c r="K289" s="282" t="n"/>
      <c r="L289" s="536" t="n"/>
      <c r="M289" s="535" t="n"/>
      <c r="N289" s="282" t="n"/>
      <c r="O289" s="282" t="n"/>
      <c r="P289" s="535" t="n"/>
      <c r="Q289" s="535" t="n"/>
      <c r="R289" s="282" t="n"/>
      <c r="S289" s="282" t="n"/>
      <c r="T289" s="535" t="n"/>
      <c r="U289" s="535" t="n"/>
      <c r="V289" s="282" t="n"/>
      <c r="W289" s="282" t="n"/>
      <c r="X289" s="536" t="n"/>
      <c r="Y289" s="536" t="n"/>
      <c r="Z289" s="282" t="n"/>
      <c r="AA289" s="282" t="n"/>
      <c r="AB289" s="536" t="n"/>
      <c r="AC289" s="536" t="n"/>
      <c r="AD289" s="282" t="n"/>
      <c r="AE289" s="282" t="n"/>
      <c r="AF289" s="537" t="n"/>
      <c r="AG289" s="537" t="n"/>
      <c r="AH289" s="282" t="n"/>
      <c r="AI289" s="282" t="n"/>
      <c r="AJ289" s="537" t="n"/>
      <c r="AK289" s="537" t="n"/>
      <c r="AL289" s="282" t="n"/>
      <c r="AM289" s="282" t="n"/>
      <c r="AN289" s="282" t="n"/>
      <c r="AO289" s="282" t="n"/>
      <c r="AP289" s="282" t="n"/>
      <c r="AQ289" s="282" t="n"/>
      <c r="AR289" s="535" t="n"/>
      <c r="AS289" s="535" t="n"/>
      <c r="AT289" s="282" t="n"/>
      <c r="AU289" s="282" t="n"/>
    </row>
    <row customHeight="1" ht="15.75" r="290" s="452" spans="1:48">
      <c r="A290" s="44" t="n"/>
      <c r="D290" s="535" t="n"/>
      <c r="E290" s="535" t="n"/>
      <c r="F290" s="282" t="n"/>
      <c r="G290" s="282" t="n"/>
      <c r="H290" s="536" t="n"/>
      <c r="I290" s="535" t="n"/>
      <c r="J290" s="282" t="n"/>
      <c r="K290" s="282" t="n"/>
      <c r="L290" s="536" t="n"/>
      <c r="M290" s="535" t="n"/>
      <c r="N290" s="282" t="n"/>
      <c r="O290" s="282" t="n"/>
      <c r="P290" s="535" t="n"/>
      <c r="Q290" s="535" t="n"/>
      <c r="R290" s="282" t="n"/>
      <c r="S290" s="282" t="n"/>
      <c r="T290" s="535" t="n"/>
      <c r="U290" s="535" t="n"/>
      <c r="V290" s="282" t="n"/>
      <c r="W290" s="282" t="n"/>
      <c r="X290" s="536" t="n"/>
      <c r="Y290" s="536" t="n"/>
      <c r="Z290" s="282" t="n"/>
      <c r="AA290" s="282" t="n"/>
      <c r="AB290" s="536" t="n"/>
      <c r="AC290" s="536" t="n"/>
      <c r="AD290" s="282" t="n"/>
      <c r="AE290" s="282" t="n"/>
      <c r="AF290" s="537" t="n"/>
      <c r="AG290" s="537" t="n"/>
      <c r="AH290" s="282" t="n"/>
      <c r="AI290" s="282" t="n"/>
      <c r="AJ290" s="537" t="n"/>
      <c r="AK290" s="537" t="n"/>
      <c r="AL290" s="282" t="n"/>
      <c r="AM290" s="282" t="n"/>
      <c r="AN290" s="282" t="n"/>
      <c r="AO290" s="282" t="n"/>
      <c r="AP290" s="282" t="n"/>
      <c r="AQ290" s="282" t="n"/>
      <c r="AR290" s="535" t="n"/>
      <c r="AS290" s="535" t="n"/>
      <c r="AT290" s="282" t="n"/>
      <c r="AU290" s="282" t="n"/>
    </row>
    <row customHeight="1" ht="15.75" r="291" s="452" spans="1:48">
      <c r="A291" s="44" t="n"/>
      <c r="D291" s="535" t="n"/>
      <c r="E291" s="535" t="n"/>
      <c r="F291" s="282" t="n"/>
      <c r="G291" s="282" t="n"/>
      <c r="H291" s="536" t="n"/>
      <c r="I291" s="535" t="n"/>
      <c r="J291" s="282" t="n"/>
      <c r="K291" s="282" t="n"/>
      <c r="L291" s="536" t="n"/>
      <c r="M291" s="535" t="n"/>
      <c r="N291" s="282" t="n"/>
      <c r="O291" s="282" t="n"/>
      <c r="P291" s="535" t="n"/>
      <c r="Q291" s="535" t="n"/>
      <c r="R291" s="282" t="n"/>
      <c r="S291" s="282" t="n"/>
      <c r="T291" s="535" t="n"/>
      <c r="U291" s="535" t="n"/>
      <c r="V291" s="282" t="n"/>
      <c r="W291" s="282" t="n"/>
      <c r="X291" s="536" t="n"/>
      <c r="Y291" s="536" t="n"/>
      <c r="Z291" s="282" t="n"/>
      <c r="AA291" s="282" t="n"/>
      <c r="AB291" s="536" t="n"/>
      <c r="AC291" s="536" t="n"/>
      <c r="AD291" s="282" t="n"/>
      <c r="AE291" s="282" t="n"/>
      <c r="AF291" s="537" t="n"/>
      <c r="AG291" s="537" t="n"/>
      <c r="AH291" s="282" t="n"/>
      <c r="AI291" s="282" t="n"/>
      <c r="AJ291" s="537" t="n"/>
      <c r="AK291" s="537" t="n"/>
      <c r="AL291" s="282" t="n"/>
      <c r="AM291" s="282" t="n"/>
      <c r="AN291" s="282" t="n"/>
      <c r="AO291" s="282" t="n"/>
      <c r="AP291" s="282" t="n"/>
      <c r="AQ291" s="282" t="n"/>
      <c r="AR291" s="535" t="n"/>
      <c r="AS291" s="535" t="n"/>
      <c r="AT291" s="282" t="n"/>
      <c r="AU291" s="282" t="n"/>
    </row>
    <row customHeight="1" ht="15.75" r="292" s="452" spans="1:48">
      <c r="A292" s="44" t="n"/>
      <c r="D292" s="535" t="n"/>
      <c r="E292" s="535" t="n"/>
      <c r="F292" s="282" t="n"/>
      <c r="G292" s="282" t="n"/>
      <c r="H292" s="536" t="n"/>
      <c r="I292" s="535" t="n"/>
      <c r="J292" s="282" t="n"/>
      <c r="K292" s="282" t="n"/>
      <c r="L292" s="536" t="n"/>
      <c r="M292" s="535" t="n"/>
      <c r="N292" s="282" t="n"/>
      <c r="O292" s="282" t="n"/>
      <c r="P292" s="535" t="n"/>
      <c r="Q292" s="535" t="n"/>
      <c r="R292" s="282" t="n"/>
      <c r="S292" s="282" t="n"/>
      <c r="T292" s="535" t="n"/>
      <c r="U292" s="535" t="n"/>
      <c r="V292" s="282" t="n"/>
      <c r="W292" s="282" t="n"/>
      <c r="X292" s="536" t="n"/>
      <c r="Y292" s="536" t="n"/>
      <c r="Z292" s="282" t="n"/>
      <c r="AA292" s="282" t="n"/>
      <c r="AB292" s="536" t="n"/>
      <c r="AC292" s="536" t="n"/>
      <c r="AD292" s="282" t="n"/>
      <c r="AE292" s="282" t="n"/>
      <c r="AF292" s="537" t="n"/>
      <c r="AG292" s="537" t="n"/>
      <c r="AH292" s="282" t="n"/>
      <c r="AI292" s="282" t="n"/>
      <c r="AJ292" s="537" t="n"/>
      <c r="AK292" s="537" t="n"/>
      <c r="AL292" s="282" t="n"/>
      <c r="AM292" s="282" t="n"/>
      <c r="AN292" s="282" t="n"/>
      <c r="AO292" s="282" t="n"/>
      <c r="AP292" s="282" t="n"/>
      <c r="AQ292" s="282" t="n"/>
      <c r="AR292" s="535" t="n"/>
      <c r="AS292" s="535" t="n"/>
      <c r="AT292" s="282" t="n"/>
      <c r="AU292" s="282" t="n"/>
    </row>
    <row customHeight="1" ht="15.75" r="293" s="452" spans="1:48">
      <c r="A293" s="44" t="n"/>
      <c r="D293" s="535" t="n"/>
      <c r="E293" s="535" t="n"/>
      <c r="F293" s="282" t="n"/>
      <c r="G293" s="282" t="n"/>
      <c r="H293" s="536" t="n"/>
      <c r="I293" s="535" t="n"/>
      <c r="J293" s="282" t="n"/>
      <c r="K293" s="282" t="n"/>
      <c r="L293" s="536" t="n"/>
      <c r="M293" s="535" t="n"/>
      <c r="N293" s="282" t="n"/>
      <c r="O293" s="282" t="n"/>
      <c r="P293" s="535" t="n"/>
      <c r="Q293" s="535" t="n"/>
      <c r="R293" s="282" t="n"/>
      <c r="S293" s="282" t="n"/>
      <c r="T293" s="535" t="n"/>
      <c r="U293" s="535" t="n"/>
      <c r="V293" s="282" t="n"/>
      <c r="W293" s="282" t="n"/>
      <c r="X293" s="536" t="n"/>
      <c r="Y293" s="536" t="n"/>
      <c r="Z293" s="282" t="n"/>
      <c r="AA293" s="282" t="n"/>
      <c r="AB293" s="536" t="n"/>
      <c r="AC293" s="536" t="n"/>
      <c r="AD293" s="282" t="n"/>
      <c r="AE293" s="282" t="n"/>
      <c r="AF293" s="537" t="n"/>
      <c r="AG293" s="537" t="n"/>
      <c r="AH293" s="282" t="n"/>
      <c r="AI293" s="282" t="n"/>
      <c r="AJ293" s="537" t="n"/>
      <c r="AK293" s="537" t="n"/>
      <c r="AL293" s="282" t="n"/>
      <c r="AM293" s="282" t="n"/>
      <c r="AN293" s="282" t="n"/>
      <c r="AO293" s="282" t="n"/>
      <c r="AP293" s="282" t="n"/>
      <c r="AQ293" s="282" t="n"/>
      <c r="AR293" s="535" t="n"/>
      <c r="AS293" s="535" t="n"/>
      <c r="AT293" s="282" t="n"/>
      <c r="AU293" s="282" t="n"/>
    </row>
    <row customHeight="1" ht="15.75" r="294" s="452" spans="1:48">
      <c r="A294" s="44" t="n"/>
      <c r="D294" s="535" t="n"/>
      <c r="E294" s="535" t="n"/>
      <c r="F294" s="282" t="n"/>
      <c r="G294" s="282" t="n"/>
      <c r="H294" s="536" t="n"/>
      <c r="I294" s="535" t="n"/>
      <c r="J294" s="282" t="n"/>
      <c r="K294" s="282" t="n"/>
      <c r="L294" s="536" t="n"/>
      <c r="M294" s="535" t="n"/>
      <c r="N294" s="282" t="n"/>
      <c r="O294" s="282" t="n"/>
      <c r="P294" s="535" t="n"/>
      <c r="Q294" s="535" t="n"/>
      <c r="R294" s="282" t="n"/>
      <c r="S294" s="282" t="n"/>
      <c r="T294" s="535" t="n"/>
      <c r="U294" s="535" t="n"/>
      <c r="V294" s="282" t="n"/>
      <c r="W294" s="282" t="n"/>
      <c r="X294" s="536" t="n"/>
      <c r="Y294" s="536" t="n"/>
      <c r="Z294" s="282" t="n"/>
      <c r="AA294" s="282" t="n"/>
      <c r="AB294" s="536" t="n"/>
      <c r="AC294" s="536" t="n"/>
      <c r="AD294" s="282" t="n"/>
      <c r="AE294" s="282" t="n"/>
      <c r="AF294" s="537" t="n"/>
      <c r="AG294" s="537" t="n"/>
      <c r="AH294" s="282" t="n"/>
      <c r="AI294" s="282" t="n"/>
      <c r="AJ294" s="537" t="n"/>
      <c r="AK294" s="537" t="n"/>
      <c r="AL294" s="282" t="n"/>
      <c r="AM294" s="282" t="n"/>
      <c r="AN294" s="282" t="n"/>
      <c r="AO294" s="282" t="n"/>
      <c r="AP294" s="282" t="n"/>
      <c r="AQ294" s="282" t="n"/>
      <c r="AR294" s="535" t="n"/>
      <c r="AS294" s="535" t="n"/>
      <c r="AT294" s="282" t="n"/>
      <c r="AU294" s="282" t="n"/>
    </row>
    <row customHeight="1" ht="15.75" r="295" s="452" spans="1:48">
      <c r="A295" s="44" t="n"/>
      <c r="D295" s="535" t="n"/>
      <c r="E295" s="535" t="n"/>
      <c r="F295" s="282" t="n"/>
      <c r="G295" s="282" t="n"/>
      <c r="H295" s="536" t="n"/>
      <c r="I295" s="535" t="n"/>
      <c r="J295" s="282" t="n"/>
      <c r="K295" s="282" t="n"/>
      <c r="L295" s="536" t="n"/>
      <c r="M295" s="535" t="n"/>
      <c r="N295" s="282" t="n"/>
      <c r="O295" s="282" t="n"/>
      <c r="P295" s="535" t="n"/>
      <c r="Q295" s="535" t="n"/>
      <c r="R295" s="282" t="n"/>
      <c r="S295" s="282" t="n"/>
      <c r="T295" s="535" t="n"/>
      <c r="U295" s="535" t="n"/>
      <c r="V295" s="282" t="n"/>
      <c r="W295" s="282" t="n"/>
      <c r="X295" s="536" t="n"/>
      <c r="Y295" s="536" t="n"/>
      <c r="Z295" s="282" t="n"/>
      <c r="AA295" s="282" t="n"/>
      <c r="AB295" s="536" t="n"/>
      <c r="AC295" s="536" t="n"/>
      <c r="AD295" s="282" t="n"/>
      <c r="AE295" s="282" t="n"/>
      <c r="AF295" s="537" t="n"/>
      <c r="AG295" s="537" t="n"/>
      <c r="AH295" s="282" t="n"/>
      <c r="AI295" s="282" t="n"/>
      <c r="AJ295" s="537" t="n"/>
      <c r="AK295" s="537" t="n"/>
      <c r="AL295" s="282" t="n"/>
      <c r="AM295" s="282" t="n"/>
      <c r="AN295" s="282" t="n"/>
      <c r="AO295" s="282" t="n"/>
      <c r="AP295" s="282" t="n"/>
      <c r="AQ295" s="282" t="n"/>
      <c r="AR295" s="535" t="n"/>
      <c r="AS295" s="535" t="n"/>
      <c r="AT295" s="282" t="n"/>
      <c r="AU295" s="282" t="n"/>
    </row>
    <row customHeight="1" ht="15.75" r="296" s="452" spans="1:48">
      <c r="A296" s="44" t="n"/>
      <c r="D296" s="535" t="n"/>
      <c r="E296" s="535" t="n"/>
      <c r="F296" s="282" t="n"/>
      <c r="G296" s="282" t="n"/>
      <c r="H296" s="536" t="n"/>
      <c r="I296" s="535" t="n"/>
      <c r="J296" s="282" t="n"/>
      <c r="K296" s="282" t="n"/>
      <c r="L296" s="536" t="n"/>
      <c r="M296" s="535" t="n"/>
      <c r="N296" s="282" t="n"/>
      <c r="O296" s="282" t="n"/>
      <c r="P296" s="535" t="n"/>
      <c r="Q296" s="535" t="n"/>
      <c r="R296" s="282" t="n"/>
      <c r="S296" s="282" t="n"/>
      <c r="T296" s="535" t="n"/>
      <c r="U296" s="535" t="n"/>
      <c r="V296" s="282" t="n"/>
      <c r="W296" s="282" t="n"/>
      <c r="X296" s="536" t="n"/>
      <c r="Y296" s="536" t="n"/>
      <c r="Z296" s="282" t="n"/>
      <c r="AA296" s="282" t="n"/>
      <c r="AB296" s="536" t="n"/>
      <c r="AC296" s="536" t="n"/>
      <c r="AD296" s="282" t="n"/>
      <c r="AE296" s="282" t="n"/>
      <c r="AF296" s="537" t="n"/>
      <c r="AG296" s="537" t="n"/>
      <c r="AH296" s="282" t="n"/>
      <c r="AI296" s="282" t="n"/>
      <c r="AJ296" s="537" t="n"/>
      <c r="AK296" s="537" t="n"/>
      <c r="AL296" s="282" t="n"/>
      <c r="AM296" s="282" t="n"/>
      <c r="AN296" s="282" t="n"/>
      <c r="AO296" s="282" t="n"/>
      <c r="AP296" s="282" t="n"/>
      <c r="AQ296" s="282" t="n"/>
      <c r="AR296" s="535" t="n"/>
      <c r="AS296" s="535" t="n"/>
      <c r="AT296" s="282" t="n"/>
      <c r="AU296" s="282" t="n"/>
    </row>
    <row customHeight="1" ht="15.75" r="297" s="452" spans="1:48">
      <c r="A297" s="44" t="n"/>
      <c r="D297" s="535" t="n"/>
      <c r="E297" s="535" t="n"/>
      <c r="F297" s="282" t="n"/>
      <c r="G297" s="282" t="n"/>
      <c r="H297" s="536" t="n"/>
      <c r="I297" s="535" t="n"/>
      <c r="J297" s="282" t="n"/>
      <c r="K297" s="282" t="n"/>
      <c r="L297" s="536" t="n"/>
      <c r="M297" s="535" t="n"/>
      <c r="N297" s="282" t="n"/>
      <c r="O297" s="282" t="n"/>
      <c r="P297" s="535" t="n"/>
      <c r="Q297" s="535" t="n"/>
      <c r="R297" s="282" t="n"/>
      <c r="S297" s="282" t="n"/>
      <c r="T297" s="535" t="n"/>
      <c r="U297" s="535" t="n"/>
      <c r="V297" s="282" t="n"/>
      <c r="W297" s="282" t="n"/>
      <c r="X297" s="536" t="n"/>
      <c r="Y297" s="536" t="n"/>
      <c r="Z297" s="282" t="n"/>
      <c r="AA297" s="282" t="n"/>
      <c r="AB297" s="536" t="n"/>
      <c r="AC297" s="536" t="n"/>
      <c r="AD297" s="282" t="n"/>
      <c r="AE297" s="282" t="n"/>
      <c r="AF297" s="537" t="n"/>
      <c r="AG297" s="537" t="n"/>
      <c r="AH297" s="282" t="n"/>
      <c r="AI297" s="282" t="n"/>
      <c r="AJ297" s="537" t="n"/>
      <c r="AK297" s="537" t="n"/>
      <c r="AL297" s="282" t="n"/>
      <c r="AM297" s="282" t="n"/>
      <c r="AN297" s="282" t="n"/>
      <c r="AO297" s="282" t="n"/>
      <c r="AP297" s="282" t="n"/>
      <c r="AQ297" s="282" t="n"/>
      <c r="AR297" s="535" t="n"/>
      <c r="AS297" s="535" t="n"/>
      <c r="AT297" s="282" t="n"/>
      <c r="AU297" s="282" t="n"/>
    </row>
    <row customHeight="1" ht="15.75" r="298" s="452" spans="1:48">
      <c r="A298" s="44" t="n"/>
      <c r="D298" s="535" t="n"/>
      <c r="E298" s="535" t="n"/>
      <c r="F298" s="282" t="n"/>
      <c r="G298" s="282" t="n"/>
      <c r="H298" s="536" t="n"/>
      <c r="I298" s="535" t="n"/>
      <c r="J298" s="282" t="n"/>
      <c r="K298" s="282" t="n"/>
      <c r="L298" s="536" t="n"/>
      <c r="M298" s="535" t="n"/>
      <c r="N298" s="282" t="n"/>
      <c r="O298" s="282" t="n"/>
      <c r="P298" s="535" t="n"/>
      <c r="Q298" s="535" t="n"/>
      <c r="R298" s="282" t="n"/>
      <c r="S298" s="282" t="n"/>
      <c r="T298" s="535" t="n"/>
      <c r="U298" s="535" t="n"/>
      <c r="V298" s="282" t="n"/>
      <c r="W298" s="282" t="n"/>
      <c r="X298" s="536" t="n"/>
      <c r="Y298" s="536" t="n"/>
      <c r="Z298" s="282" t="n"/>
      <c r="AA298" s="282" t="n"/>
      <c r="AB298" s="536" t="n"/>
      <c r="AC298" s="536" t="n"/>
      <c r="AD298" s="282" t="n"/>
      <c r="AE298" s="282" t="n"/>
      <c r="AF298" s="537" t="n"/>
      <c r="AG298" s="537" t="n"/>
      <c r="AH298" s="282" t="n"/>
      <c r="AI298" s="282" t="n"/>
      <c r="AJ298" s="537" t="n"/>
      <c r="AK298" s="537" t="n"/>
      <c r="AL298" s="282" t="n"/>
      <c r="AM298" s="282" t="n"/>
      <c r="AN298" s="282" t="n"/>
      <c r="AO298" s="282" t="n"/>
      <c r="AP298" s="282" t="n"/>
      <c r="AQ298" s="282" t="n"/>
      <c r="AR298" s="535" t="n"/>
      <c r="AS298" s="535" t="n"/>
      <c r="AT298" s="282" t="n"/>
      <c r="AU298" s="282" t="n"/>
    </row>
    <row customHeight="1" ht="15.75" r="299" s="452" spans="1:48">
      <c r="A299" s="44" t="n"/>
      <c r="D299" s="535" t="n"/>
      <c r="E299" s="535" t="n"/>
      <c r="F299" s="282" t="n"/>
      <c r="G299" s="282" t="n"/>
      <c r="H299" s="536" t="n"/>
      <c r="I299" s="535" t="n"/>
      <c r="J299" s="282" t="n"/>
      <c r="K299" s="282" t="n"/>
      <c r="L299" s="536" t="n"/>
      <c r="M299" s="535" t="n"/>
      <c r="N299" s="282" t="n"/>
      <c r="O299" s="282" t="n"/>
      <c r="P299" s="535" t="n"/>
      <c r="Q299" s="535" t="n"/>
      <c r="R299" s="282" t="n"/>
      <c r="S299" s="282" t="n"/>
      <c r="T299" s="535" t="n"/>
      <c r="U299" s="535" t="n"/>
      <c r="V299" s="282" t="n"/>
      <c r="W299" s="282" t="n"/>
      <c r="X299" s="536" t="n"/>
      <c r="Y299" s="536" t="n"/>
      <c r="Z299" s="282" t="n"/>
      <c r="AA299" s="282" t="n"/>
      <c r="AB299" s="536" t="n"/>
      <c r="AC299" s="536" t="n"/>
      <c r="AD299" s="282" t="n"/>
      <c r="AE299" s="282" t="n"/>
      <c r="AF299" s="537" t="n"/>
      <c r="AG299" s="537" t="n"/>
      <c r="AH299" s="282" t="n"/>
      <c r="AI299" s="282" t="n"/>
      <c r="AJ299" s="537" t="n"/>
      <c r="AK299" s="537" t="n"/>
      <c r="AL299" s="282" t="n"/>
      <c r="AM299" s="282" t="n"/>
      <c r="AN299" s="282" t="n"/>
      <c r="AO299" s="282" t="n"/>
      <c r="AP299" s="282" t="n"/>
      <c r="AQ299" s="282" t="n"/>
      <c r="AR299" s="535" t="n"/>
      <c r="AS299" s="535" t="n"/>
      <c r="AT299" s="282" t="n"/>
      <c r="AU299" s="282" t="n"/>
    </row>
    <row customHeight="1" ht="15.75" r="300" s="452" spans="1:48">
      <c r="A300" s="44" t="n"/>
      <c r="D300" s="535" t="n"/>
      <c r="E300" s="535" t="n"/>
      <c r="F300" s="282" t="n"/>
      <c r="G300" s="282" t="n"/>
      <c r="H300" s="536" t="n"/>
      <c r="I300" s="535" t="n"/>
      <c r="J300" s="282" t="n"/>
      <c r="K300" s="282" t="n"/>
      <c r="L300" s="536" t="n"/>
      <c r="M300" s="535" t="n"/>
      <c r="N300" s="282" t="n"/>
      <c r="O300" s="282" t="n"/>
      <c r="P300" s="535" t="n"/>
      <c r="Q300" s="535" t="n"/>
      <c r="R300" s="282" t="n"/>
      <c r="S300" s="282" t="n"/>
      <c r="T300" s="535" t="n"/>
      <c r="U300" s="535" t="n"/>
      <c r="V300" s="282" t="n"/>
      <c r="W300" s="282" t="n"/>
      <c r="X300" s="536" t="n"/>
      <c r="Y300" s="536" t="n"/>
      <c r="Z300" s="282" t="n"/>
      <c r="AA300" s="282" t="n"/>
      <c r="AB300" s="536" t="n"/>
      <c r="AC300" s="536" t="n"/>
      <c r="AD300" s="282" t="n"/>
      <c r="AE300" s="282" t="n"/>
      <c r="AF300" s="537" t="n"/>
      <c r="AG300" s="537" t="n"/>
      <c r="AH300" s="282" t="n"/>
      <c r="AI300" s="282" t="n"/>
      <c r="AJ300" s="537" t="n"/>
      <c r="AK300" s="537" t="n"/>
      <c r="AL300" s="282" t="n"/>
      <c r="AM300" s="282" t="n"/>
      <c r="AN300" s="282" t="n"/>
      <c r="AO300" s="282" t="n"/>
      <c r="AP300" s="282" t="n"/>
      <c r="AQ300" s="282" t="n"/>
      <c r="AR300" s="535" t="n"/>
      <c r="AS300" s="535" t="n"/>
      <c r="AT300" s="282" t="n"/>
      <c r="AU300" s="282" t="n"/>
    </row>
    <row customHeight="1" ht="15.75" r="301" s="452" spans="1:48">
      <c r="A301" s="44" t="n"/>
      <c r="D301" s="535" t="n"/>
      <c r="E301" s="535" t="n"/>
      <c r="F301" s="282" t="n"/>
      <c r="G301" s="282" t="n"/>
      <c r="H301" s="536" t="n"/>
      <c r="I301" s="535" t="n"/>
      <c r="J301" s="282" t="n"/>
      <c r="K301" s="282" t="n"/>
      <c r="L301" s="536" t="n"/>
      <c r="M301" s="535" t="n"/>
      <c r="N301" s="282" t="n"/>
      <c r="O301" s="282" t="n"/>
      <c r="P301" s="535" t="n"/>
      <c r="Q301" s="535" t="n"/>
      <c r="R301" s="282" t="n"/>
      <c r="S301" s="282" t="n"/>
      <c r="T301" s="535" t="n"/>
      <c r="U301" s="535" t="n"/>
      <c r="V301" s="282" t="n"/>
      <c r="W301" s="282" t="n"/>
      <c r="X301" s="536" t="n"/>
      <c r="Y301" s="536" t="n"/>
      <c r="Z301" s="282" t="n"/>
      <c r="AA301" s="282" t="n"/>
      <c r="AB301" s="536" t="n"/>
      <c r="AC301" s="536" t="n"/>
      <c r="AD301" s="282" t="n"/>
      <c r="AE301" s="282" t="n"/>
      <c r="AF301" s="537" t="n"/>
      <c r="AG301" s="537" t="n"/>
      <c r="AH301" s="282" t="n"/>
      <c r="AI301" s="282" t="n"/>
      <c r="AJ301" s="537" t="n"/>
      <c r="AK301" s="537" t="n"/>
      <c r="AL301" s="282" t="n"/>
      <c r="AM301" s="282" t="n"/>
      <c r="AN301" s="282" t="n"/>
      <c r="AO301" s="282" t="n"/>
      <c r="AP301" s="282" t="n"/>
      <c r="AQ301" s="282" t="n"/>
      <c r="AR301" s="535" t="n"/>
      <c r="AS301" s="535" t="n"/>
      <c r="AT301" s="282" t="n"/>
      <c r="AU301" s="282" t="n"/>
    </row>
    <row customHeight="1" ht="15.75" r="302" s="452" spans="1:48">
      <c r="A302" s="44" t="n"/>
      <c r="D302" s="535" t="n"/>
      <c r="E302" s="535" t="n"/>
      <c r="F302" s="282" t="n"/>
      <c r="G302" s="282" t="n"/>
      <c r="H302" s="536" t="n"/>
      <c r="I302" s="535" t="n"/>
      <c r="J302" s="282" t="n"/>
      <c r="K302" s="282" t="n"/>
      <c r="L302" s="536" t="n"/>
      <c r="M302" s="535" t="n"/>
      <c r="N302" s="282" t="n"/>
      <c r="O302" s="282" t="n"/>
      <c r="P302" s="535" t="n"/>
      <c r="Q302" s="535" t="n"/>
      <c r="R302" s="282" t="n"/>
      <c r="S302" s="282" t="n"/>
      <c r="T302" s="535" t="n"/>
      <c r="U302" s="535" t="n"/>
      <c r="V302" s="282" t="n"/>
      <c r="W302" s="282" t="n"/>
      <c r="X302" s="536" t="n"/>
      <c r="Y302" s="536" t="n"/>
      <c r="Z302" s="282" t="n"/>
      <c r="AA302" s="282" t="n"/>
      <c r="AB302" s="536" t="n"/>
      <c r="AC302" s="536" t="n"/>
      <c r="AD302" s="282" t="n"/>
      <c r="AE302" s="282" t="n"/>
      <c r="AF302" s="537" t="n"/>
      <c r="AG302" s="537" t="n"/>
      <c r="AH302" s="282" t="n"/>
      <c r="AI302" s="282" t="n"/>
      <c r="AJ302" s="537" t="n"/>
      <c r="AK302" s="537" t="n"/>
      <c r="AL302" s="282" t="n"/>
      <c r="AM302" s="282" t="n"/>
      <c r="AN302" s="282" t="n"/>
      <c r="AO302" s="282" t="n"/>
      <c r="AP302" s="282" t="n"/>
      <c r="AQ302" s="282" t="n"/>
      <c r="AR302" s="535" t="n"/>
      <c r="AS302" s="535" t="n"/>
      <c r="AT302" s="282" t="n"/>
      <c r="AU302" s="282" t="n"/>
    </row>
    <row customHeight="1" ht="15.75" r="303" s="452" spans="1:48">
      <c r="A303" s="44" t="n"/>
      <c r="D303" s="535" t="n"/>
      <c r="E303" s="535" t="n"/>
      <c r="F303" s="282" t="n"/>
      <c r="G303" s="282" t="n"/>
      <c r="H303" s="536" t="n"/>
      <c r="I303" s="535" t="n"/>
      <c r="J303" s="282" t="n"/>
      <c r="K303" s="282" t="n"/>
      <c r="L303" s="536" t="n"/>
      <c r="M303" s="535" t="n"/>
      <c r="N303" s="282" t="n"/>
      <c r="O303" s="282" t="n"/>
      <c r="P303" s="535" t="n"/>
      <c r="Q303" s="535" t="n"/>
      <c r="R303" s="282" t="n"/>
      <c r="S303" s="282" t="n"/>
      <c r="T303" s="535" t="n"/>
      <c r="U303" s="535" t="n"/>
      <c r="V303" s="282" t="n"/>
      <c r="W303" s="282" t="n"/>
      <c r="X303" s="536" t="n"/>
      <c r="Y303" s="536" t="n"/>
      <c r="Z303" s="282" t="n"/>
      <c r="AA303" s="282" t="n"/>
      <c r="AB303" s="536" t="n"/>
      <c r="AC303" s="536" t="n"/>
      <c r="AD303" s="282" t="n"/>
      <c r="AE303" s="282" t="n"/>
      <c r="AF303" s="537" t="n"/>
      <c r="AG303" s="537" t="n"/>
      <c r="AH303" s="282" t="n"/>
      <c r="AI303" s="282" t="n"/>
      <c r="AJ303" s="537" t="n"/>
      <c r="AK303" s="537" t="n"/>
      <c r="AL303" s="282" t="n"/>
      <c r="AM303" s="282" t="n"/>
      <c r="AN303" s="282" t="n"/>
      <c r="AO303" s="282" t="n"/>
      <c r="AP303" s="282" t="n"/>
      <c r="AQ303" s="282" t="n"/>
      <c r="AR303" s="535" t="n"/>
      <c r="AS303" s="535" t="n"/>
      <c r="AT303" s="282" t="n"/>
      <c r="AU303" s="282" t="n"/>
    </row>
    <row customHeight="1" ht="15.75" r="304" s="452" spans="1:48">
      <c r="A304" s="44" t="n"/>
      <c r="D304" s="535" t="n"/>
      <c r="E304" s="535" t="n"/>
      <c r="F304" s="282" t="n"/>
      <c r="G304" s="282" t="n"/>
      <c r="H304" s="536" t="n"/>
      <c r="I304" s="535" t="n"/>
      <c r="J304" s="282" t="n"/>
      <c r="K304" s="282" t="n"/>
      <c r="L304" s="536" t="n"/>
      <c r="M304" s="535" t="n"/>
      <c r="N304" s="282" t="n"/>
      <c r="O304" s="282" t="n"/>
      <c r="P304" s="535" t="n"/>
      <c r="Q304" s="535" t="n"/>
      <c r="R304" s="282" t="n"/>
      <c r="S304" s="282" t="n"/>
      <c r="T304" s="535" t="n"/>
      <c r="U304" s="535" t="n"/>
      <c r="V304" s="282" t="n"/>
      <c r="W304" s="282" t="n"/>
      <c r="X304" s="536" t="n"/>
      <c r="Y304" s="536" t="n"/>
      <c r="Z304" s="282" t="n"/>
      <c r="AA304" s="282" t="n"/>
      <c r="AB304" s="536" t="n"/>
      <c r="AC304" s="536" t="n"/>
      <c r="AD304" s="282" t="n"/>
      <c r="AE304" s="282" t="n"/>
      <c r="AF304" s="537" t="n"/>
      <c r="AG304" s="537" t="n"/>
      <c r="AH304" s="282" t="n"/>
      <c r="AI304" s="282" t="n"/>
      <c r="AJ304" s="537" t="n"/>
      <c r="AK304" s="537" t="n"/>
      <c r="AL304" s="282" t="n"/>
      <c r="AM304" s="282" t="n"/>
      <c r="AN304" s="282" t="n"/>
      <c r="AO304" s="282" t="n"/>
      <c r="AP304" s="282" t="n"/>
      <c r="AQ304" s="282" t="n"/>
      <c r="AR304" s="535" t="n"/>
      <c r="AS304" s="535" t="n"/>
      <c r="AT304" s="282" t="n"/>
      <c r="AU304" s="282" t="n"/>
    </row>
    <row customHeight="1" ht="15.75" r="305" s="452" spans="1:48">
      <c r="A305" s="44" t="n"/>
      <c r="D305" s="535" t="n"/>
      <c r="E305" s="535" t="n"/>
      <c r="F305" s="282" t="n"/>
      <c r="G305" s="282" t="n"/>
      <c r="H305" s="536" t="n"/>
      <c r="I305" s="535" t="n"/>
      <c r="J305" s="282" t="n"/>
      <c r="K305" s="282" t="n"/>
      <c r="L305" s="536" t="n"/>
      <c r="M305" s="535" t="n"/>
      <c r="N305" s="282" t="n"/>
      <c r="O305" s="282" t="n"/>
      <c r="P305" s="535" t="n"/>
      <c r="Q305" s="535" t="n"/>
      <c r="R305" s="282" t="n"/>
      <c r="S305" s="282" t="n"/>
      <c r="T305" s="535" t="n"/>
      <c r="U305" s="535" t="n"/>
      <c r="V305" s="282" t="n"/>
      <c r="W305" s="282" t="n"/>
      <c r="X305" s="536" t="n"/>
      <c r="Y305" s="536" t="n"/>
      <c r="Z305" s="282" t="n"/>
      <c r="AA305" s="282" t="n"/>
      <c r="AB305" s="536" t="n"/>
      <c r="AC305" s="536" t="n"/>
      <c r="AD305" s="282" t="n"/>
      <c r="AE305" s="282" t="n"/>
      <c r="AF305" s="537" t="n"/>
      <c r="AG305" s="537" t="n"/>
      <c r="AH305" s="282" t="n"/>
      <c r="AI305" s="282" t="n"/>
      <c r="AJ305" s="537" t="n"/>
      <c r="AK305" s="537" t="n"/>
      <c r="AL305" s="282" t="n"/>
      <c r="AM305" s="282" t="n"/>
      <c r="AN305" s="282" t="n"/>
      <c r="AO305" s="282" t="n"/>
      <c r="AP305" s="282" t="n"/>
      <c r="AQ305" s="282" t="n"/>
      <c r="AR305" s="535" t="n"/>
      <c r="AS305" s="535" t="n"/>
      <c r="AT305" s="282" t="n"/>
      <c r="AU305" s="282" t="n"/>
    </row>
    <row customHeight="1" ht="15.75" r="306" s="452" spans="1:48">
      <c r="A306" s="44" t="n"/>
      <c r="D306" s="535" t="n"/>
      <c r="E306" s="535" t="n"/>
      <c r="F306" s="282" t="n"/>
      <c r="G306" s="282" t="n"/>
      <c r="H306" s="536" t="n"/>
      <c r="I306" s="535" t="n"/>
      <c r="J306" s="282" t="n"/>
      <c r="K306" s="282" t="n"/>
      <c r="L306" s="536" t="n"/>
      <c r="M306" s="535" t="n"/>
      <c r="N306" s="282" t="n"/>
      <c r="O306" s="282" t="n"/>
      <c r="P306" s="535" t="n"/>
      <c r="Q306" s="535" t="n"/>
      <c r="R306" s="282" t="n"/>
      <c r="S306" s="282" t="n"/>
      <c r="T306" s="535" t="n"/>
      <c r="U306" s="535" t="n"/>
      <c r="V306" s="282" t="n"/>
      <c r="W306" s="282" t="n"/>
      <c r="X306" s="536" t="n"/>
      <c r="Y306" s="536" t="n"/>
      <c r="Z306" s="282" t="n"/>
      <c r="AA306" s="282" t="n"/>
      <c r="AB306" s="536" t="n"/>
      <c r="AC306" s="536" t="n"/>
      <c r="AD306" s="282" t="n"/>
      <c r="AE306" s="282" t="n"/>
      <c r="AF306" s="537" t="n"/>
      <c r="AG306" s="537" t="n"/>
      <c r="AH306" s="282" t="n"/>
      <c r="AI306" s="282" t="n"/>
      <c r="AJ306" s="537" t="n"/>
      <c r="AK306" s="537" t="n"/>
      <c r="AL306" s="282" t="n"/>
      <c r="AM306" s="282" t="n"/>
      <c r="AN306" s="282" t="n"/>
      <c r="AO306" s="282" t="n"/>
      <c r="AP306" s="282" t="n"/>
      <c r="AQ306" s="282" t="n"/>
      <c r="AR306" s="535" t="n"/>
      <c r="AS306" s="535" t="n"/>
      <c r="AT306" s="282" t="n"/>
      <c r="AU306" s="282" t="n"/>
    </row>
    <row customHeight="1" ht="15.75" r="307" s="452" spans="1:48">
      <c r="A307" s="44" t="n"/>
      <c r="D307" s="535" t="n"/>
      <c r="E307" s="535" t="n"/>
      <c r="F307" s="282" t="n"/>
      <c r="G307" s="282" t="n"/>
      <c r="H307" s="536" t="n"/>
      <c r="I307" s="535" t="n"/>
      <c r="J307" s="282" t="n"/>
      <c r="K307" s="282" t="n"/>
      <c r="L307" s="536" t="n"/>
      <c r="M307" s="535" t="n"/>
      <c r="N307" s="282" t="n"/>
      <c r="O307" s="282" t="n"/>
      <c r="P307" s="535" t="n"/>
      <c r="Q307" s="535" t="n"/>
      <c r="R307" s="282" t="n"/>
      <c r="S307" s="282" t="n"/>
      <c r="T307" s="535" t="n"/>
      <c r="U307" s="535" t="n"/>
      <c r="V307" s="282" t="n"/>
      <c r="W307" s="282" t="n"/>
      <c r="X307" s="536" t="n"/>
      <c r="Y307" s="536" t="n"/>
      <c r="Z307" s="282" t="n"/>
      <c r="AA307" s="282" t="n"/>
      <c r="AB307" s="536" t="n"/>
      <c r="AC307" s="536" t="n"/>
      <c r="AD307" s="282" t="n"/>
      <c r="AE307" s="282" t="n"/>
      <c r="AF307" s="537" t="n"/>
      <c r="AG307" s="537" t="n"/>
      <c r="AH307" s="282" t="n"/>
      <c r="AI307" s="282" t="n"/>
      <c r="AJ307" s="537" t="n"/>
      <c r="AK307" s="537" t="n"/>
      <c r="AL307" s="282" t="n"/>
      <c r="AM307" s="282" t="n"/>
      <c r="AN307" s="282" t="n"/>
      <c r="AO307" s="282" t="n"/>
      <c r="AP307" s="282" t="n"/>
      <c r="AQ307" s="282" t="n"/>
      <c r="AR307" s="535" t="n"/>
      <c r="AS307" s="535" t="n"/>
      <c r="AT307" s="282" t="n"/>
      <c r="AU307" s="282" t="n"/>
    </row>
    <row customHeight="1" ht="15.75" r="308" s="452" spans="1:48">
      <c r="A308" s="44" t="n"/>
      <c r="D308" s="535" t="n"/>
      <c r="E308" s="535" t="n"/>
      <c r="F308" s="282" t="n"/>
      <c r="G308" s="282" t="n"/>
      <c r="H308" s="536" t="n"/>
      <c r="I308" s="535" t="n"/>
      <c r="J308" s="282" t="n"/>
      <c r="K308" s="282" t="n"/>
      <c r="L308" s="536" t="n"/>
      <c r="M308" s="535" t="n"/>
      <c r="N308" s="282" t="n"/>
      <c r="O308" s="282" t="n"/>
      <c r="P308" s="535" t="n"/>
      <c r="Q308" s="535" t="n"/>
      <c r="R308" s="282" t="n"/>
      <c r="S308" s="282" t="n"/>
      <c r="T308" s="535" t="n"/>
      <c r="U308" s="535" t="n"/>
      <c r="V308" s="282" t="n"/>
      <c r="W308" s="282" t="n"/>
      <c r="X308" s="536" t="n"/>
      <c r="Y308" s="536" t="n"/>
      <c r="Z308" s="282" t="n"/>
      <c r="AA308" s="282" t="n"/>
      <c r="AB308" s="536" t="n"/>
      <c r="AC308" s="536" t="n"/>
      <c r="AD308" s="282" t="n"/>
      <c r="AE308" s="282" t="n"/>
      <c r="AF308" s="537" t="n"/>
      <c r="AG308" s="537" t="n"/>
      <c r="AH308" s="282" t="n"/>
      <c r="AI308" s="282" t="n"/>
      <c r="AJ308" s="537" t="n"/>
      <c r="AK308" s="537" t="n"/>
      <c r="AL308" s="282" t="n"/>
      <c r="AM308" s="282" t="n"/>
      <c r="AN308" s="282" t="n"/>
      <c r="AO308" s="282" t="n"/>
      <c r="AP308" s="282" t="n"/>
      <c r="AQ308" s="282" t="n"/>
      <c r="AR308" s="535" t="n"/>
      <c r="AS308" s="535" t="n"/>
      <c r="AT308" s="282" t="n"/>
      <c r="AU308" s="282" t="n"/>
    </row>
    <row customHeight="1" ht="15.75" r="309" s="452" spans="1:48">
      <c r="A309" s="44" t="n"/>
      <c r="D309" s="535" t="n"/>
      <c r="E309" s="535" t="n"/>
      <c r="F309" s="282" t="n"/>
      <c r="G309" s="282" t="n"/>
      <c r="H309" s="536" t="n"/>
      <c r="I309" s="535" t="n"/>
      <c r="J309" s="282" t="n"/>
      <c r="K309" s="282" t="n"/>
      <c r="L309" s="536" t="n"/>
      <c r="M309" s="535" t="n"/>
      <c r="N309" s="282" t="n"/>
      <c r="O309" s="282" t="n"/>
      <c r="P309" s="535" t="n"/>
      <c r="Q309" s="535" t="n"/>
      <c r="R309" s="282" t="n"/>
      <c r="S309" s="282" t="n"/>
      <c r="T309" s="535" t="n"/>
      <c r="U309" s="535" t="n"/>
      <c r="V309" s="282" t="n"/>
      <c r="W309" s="282" t="n"/>
      <c r="X309" s="536" t="n"/>
      <c r="Y309" s="536" t="n"/>
      <c r="Z309" s="282" t="n"/>
      <c r="AA309" s="282" t="n"/>
      <c r="AB309" s="536" t="n"/>
      <c r="AC309" s="536" t="n"/>
      <c r="AD309" s="282" t="n"/>
      <c r="AE309" s="282" t="n"/>
      <c r="AF309" s="537" t="n"/>
      <c r="AG309" s="537" t="n"/>
      <c r="AH309" s="282" t="n"/>
      <c r="AI309" s="282" t="n"/>
      <c r="AJ309" s="537" t="n"/>
      <c r="AK309" s="537" t="n"/>
      <c r="AL309" s="282" t="n"/>
      <c r="AM309" s="282" t="n"/>
      <c r="AN309" s="282" t="n"/>
      <c r="AO309" s="282" t="n"/>
      <c r="AP309" s="282" t="n"/>
      <c r="AQ309" s="282" t="n"/>
      <c r="AR309" s="535" t="n"/>
      <c r="AS309" s="535" t="n"/>
      <c r="AT309" s="282" t="n"/>
      <c r="AU309" s="282" t="n"/>
    </row>
    <row customHeight="1" ht="15.75" r="310" s="452" spans="1:48">
      <c r="A310" s="44" t="n"/>
      <c r="D310" s="535" t="n"/>
      <c r="E310" s="535" t="n"/>
      <c r="F310" s="282" t="n"/>
      <c r="G310" s="282" t="n"/>
      <c r="H310" s="536" t="n"/>
      <c r="I310" s="535" t="n"/>
      <c r="J310" s="282" t="n"/>
      <c r="K310" s="282" t="n"/>
      <c r="L310" s="536" t="n"/>
      <c r="M310" s="535" t="n"/>
      <c r="N310" s="282" t="n"/>
      <c r="O310" s="282" t="n"/>
      <c r="P310" s="535" t="n"/>
      <c r="Q310" s="535" t="n"/>
      <c r="R310" s="282" t="n"/>
      <c r="S310" s="282" t="n"/>
      <c r="T310" s="535" t="n"/>
      <c r="U310" s="535" t="n"/>
      <c r="V310" s="282" t="n"/>
      <c r="W310" s="282" t="n"/>
      <c r="X310" s="536" t="n"/>
      <c r="Y310" s="536" t="n"/>
      <c r="Z310" s="282" t="n"/>
      <c r="AA310" s="282" t="n"/>
      <c r="AB310" s="536" t="n"/>
      <c r="AC310" s="536" t="n"/>
      <c r="AD310" s="282" t="n"/>
      <c r="AE310" s="282" t="n"/>
      <c r="AF310" s="537" t="n"/>
      <c r="AG310" s="537" t="n"/>
      <c r="AH310" s="282" t="n"/>
      <c r="AI310" s="282" t="n"/>
      <c r="AJ310" s="537" t="n"/>
      <c r="AK310" s="537" t="n"/>
      <c r="AL310" s="282" t="n"/>
      <c r="AM310" s="282" t="n"/>
      <c r="AN310" s="282" t="n"/>
      <c r="AO310" s="282" t="n"/>
      <c r="AP310" s="282" t="n"/>
      <c r="AQ310" s="282" t="n"/>
      <c r="AR310" s="535" t="n"/>
      <c r="AS310" s="535" t="n"/>
      <c r="AT310" s="282" t="n"/>
      <c r="AU310" s="282" t="n"/>
    </row>
    <row customHeight="1" ht="15.75" r="311" s="452" spans="1:48">
      <c r="A311" s="44" t="n"/>
      <c r="D311" s="535" t="n"/>
      <c r="E311" s="535" t="n"/>
      <c r="F311" s="282" t="n"/>
      <c r="G311" s="282" t="n"/>
      <c r="H311" s="536" t="n"/>
      <c r="I311" s="535" t="n"/>
      <c r="J311" s="282" t="n"/>
      <c r="K311" s="282" t="n"/>
      <c r="L311" s="536" t="n"/>
      <c r="M311" s="535" t="n"/>
      <c r="N311" s="282" t="n"/>
      <c r="O311" s="282" t="n"/>
      <c r="P311" s="535" t="n"/>
      <c r="Q311" s="535" t="n"/>
      <c r="R311" s="282" t="n"/>
      <c r="S311" s="282" t="n"/>
      <c r="T311" s="535" t="n"/>
      <c r="U311" s="535" t="n"/>
      <c r="V311" s="282" t="n"/>
      <c r="W311" s="282" t="n"/>
      <c r="X311" s="536" t="n"/>
      <c r="Y311" s="536" t="n"/>
      <c r="Z311" s="282" t="n"/>
      <c r="AA311" s="282" t="n"/>
      <c r="AB311" s="536" t="n"/>
      <c r="AC311" s="536" t="n"/>
      <c r="AD311" s="282" t="n"/>
      <c r="AE311" s="282" t="n"/>
      <c r="AF311" s="537" t="n"/>
      <c r="AG311" s="537" t="n"/>
      <c r="AH311" s="282" t="n"/>
      <c r="AI311" s="282" t="n"/>
      <c r="AJ311" s="537" t="n"/>
      <c r="AK311" s="537" t="n"/>
      <c r="AL311" s="282" t="n"/>
      <c r="AM311" s="282" t="n"/>
      <c r="AN311" s="282" t="n"/>
      <c r="AO311" s="282" t="n"/>
      <c r="AP311" s="282" t="n"/>
      <c r="AQ311" s="282" t="n"/>
      <c r="AR311" s="535" t="n"/>
      <c r="AS311" s="535" t="n"/>
      <c r="AT311" s="282" t="n"/>
      <c r="AU311" s="282" t="n"/>
    </row>
    <row customHeight="1" ht="15.75" r="312" s="452" spans="1:48">
      <c r="A312" s="44" t="n"/>
      <c r="D312" s="535" t="n"/>
      <c r="E312" s="535" t="n"/>
      <c r="F312" s="282" t="n"/>
      <c r="G312" s="282" t="n"/>
      <c r="H312" s="536" t="n"/>
      <c r="I312" s="535" t="n"/>
      <c r="J312" s="282" t="n"/>
      <c r="K312" s="282" t="n"/>
      <c r="L312" s="536" t="n"/>
      <c r="M312" s="535" t="n"/>
      <c r="N312" s="282" t="n"/>
      <c r="O312" s="282" t="n"/>
      <c r="P312" s="535" t="n"/>
      <c r="Q312" s="535" t="n"/>
      <c r="R312" s="282" t="n"/>
      <c r="S312" s="282" t="n"/>
      <c r="T312" s="535" t="n"/>
      <c r="U312" s="535" t="n"/>
      <c r="V312" s="282" t="n"/>
      <c r="W312" s="282" t="n"/>
      <c r="X312" s="536" t="n"/>
      <c r="Y312" s="536" t="n"/>
      <c r="Z312" s="282" t="n"/>
      <c r="AA312" s="282" t="n"/>
      <c r="AB312" s="536" t="n"/>
      <c r="AC312" s="536" t="n"/>
      <c r="AD312" s="282" t="n"/>
      <c r="AE312" s="282" t="n"/>
      <c r="AF312" s="537" t="n"/>
      <c r="AG312" s="537" t="n"/>
      <c r="AH312" s="282" t="n"/>
      <c r="AI312" s="282" t="n"/>
      <c r="AJ312" s="537" t="n"/>
      <c r="AK312" s="537" t="n"/>
      <c r="AL312" s="282" t="n"/>
      <c r="AM312" s="282" t="n"/>
      <c r="AN312" s="282" t="n"/>
      <c r="AO312" s="282" t="n"/>
      <c r="AP312" s="282" t="n"/>
      <c r="AQ312" s="282" t="n"/>
      <c r="AR312" s="535" t="n"/>
      <c r="AS312" s="535" t="n"/>
      <c r="AT312" s="282" t="n"/>
      <c r="AU312" s="282" t="n"/>
    </row>
    <row customHeight="1" ht="15.75" r="313" s="452" spans="1:48">
      <c r="A313" s="44" t="n"/>
      <c r="D313" s="535" t="n"/>
      <c r="E313" s="535" t="n"/>
      <c r="F313" s="282" t="n"/>
      <c r="G313" s="282" t="n"/>
      <c r="H313" s="536" t="n"/>
      <c r="I313" s="535" t="n"/>
      <c r="J313" s="282" t="n"/>
      <c r="K313" s="282" t="n"/>
      <c r="L313" s="536" t="n"/>
      <c r="M313" s="535" t="n"/>
      <c r="N313" s="282" t="n"/>
      <c r="O313" s="282" t="n"/>
      <c r="P313" s="535" t="n"/>
      <c r="Q313" s="535" t="n"/>
      <c r="R313" s="282" t="n"/>
      <c r="S313" s="282" t="n"/>
      <c r="T313" s="535" t="n"/>
      <c r="U313" s="535" t="n"/>
      <c r="V313" s="282" t="n"/>
      <c r="W313" s="282" t="n"/>
      <c r="X313" s="536" t="n"/>
      <c r="Y313" s="536" t="n"/>
      <c r="Z313" s="282" t="n"/>
      <c r="AA313" s="282" t="n"/>
      <c r="AB313" s="536" t="n"/>
      <c r="AC313" s="536" t="n"/>
      <c r="AD313" s="282" t="n"/>
      <c r="AE313" s="282" t="n"/>
      <c r="AF313" s="537" t="n"/>
      <c r="AG313" s="537" t="n"/>
      <c r="AH313" s="282" t="n"/>
      <c r="AI313" s="282" t="n"/>
      <c r="AJ313" s="537" t="n"/>
      <c r="AK313" s="537" t="n"/>
      <c r="AL313" s="282" t="n"/>
      <c r="AM313" s="282" t="n"/>
      <c r="AN313" s="282" t="n"/>
      <c r="AO313" s="282" t="n"/>
      <c r="AP313" s="282" t="n"/>
      <c r="AQ313" s="282" t="n"/>
      <c r="AR313" s="535" t="n"/>
      <c r="AS313" s="535" t="n"/>
      <c r="AT313" s="282" t="n"/>
      <c r="AU313" s="282" t="n"/>
    </row>
    <row customHeight="1" ht="15.75" r="314" s="452" spans="1:48">
      <c r="A314" s="44" t="n"/>
      <c r="D314" s="535" t="n"/>
      <c r="E314" s="535" t="n"/>
      <c r="F314" s="282" t="n"/>
      <c r="G314" s="282" t="n"/>
      <c r="H314" s="536" t="n"/>
      <c r="I314" s="535" t="n"/>
      <c r="J314" s="282" t="n"/>
      <c r="K314" s="282" t="n"/>
      <c r="L314" s="536" t="n"/>
      <c r="M314" s="535" t="n"/>
      <c r="N314" s="282" t="n"/>
      <c r="O314" s="282" t="n"/>
      <c r="P314" s="535" t="n"/>
      <c r="Q314" s="535" t="n"/>
      <c r="R314" s="282" t="n"/>
      <c r="S314" s="282" t="n"/>
      <c r="T314" s="535" t="n"/>
      <c r="U314" s="535" t="n"/>
      <c r="V314" s="282" t="n"/>
      <c r="W314" s="282" t="n"/>
      <c r="X314" s="536" t="n"/>
      <c r="Y314" s="536" t="n"/>
      <c r="Z314" s="282" t="n"/>
      <c r="AA314" s="282" t="n"/>
      <c r="AB314" s="536" t="n"/>
      <c r="AC314" s="536" t="n"/>
      <c r="AD314" s="282" t="n"/>
      <c r="AE314" s="282" t="n"/>
      <c r="AF314" s="537" t="n"/>
      <c r="AG314" s="537" t="n"/>
      <c r="AH314" s="282" t="n"/>
      <c r="AI314" s="282" t="n"/>
      <c r="AJ314" s="537" t="n"/>
      <c r="AK314" s="537" t="n"/>
      <c r="AL314" s="282" t="n"/>
      <c r="AM314" s="282" t="n"/>
      <c r="AN314" s="282" t="n"/>
      <c r="AO314" s="282" t="n"/>
      <c r="AP314" s="282" t="n"/>
      <c r="AQ314" s="282" t="n"/>
      <c r="AR314" s="535" t="n"/>
      <c r="AS314" s="535" t="n"/>
      <c r="AT314" s="282" t="n"/>
      <c r="AU314" s="282" t="n"/>
    </row>
    <row customHeight="1" ht="15.75" r="315" s="452" spans="1:48">
      <c r="A315" s="44" t="n"/>
      <c r="D315" s="535" t="n"/>
      <c r="E315" s="535" t="n"/>
      <c r="F315" s="282" t="n"/>
      <c r="G315" s="282" t="n"/>
      <c r="H315" s="536" t="n"/>
      <c r="I315" s="535" t="n"/>
      <c r="J315" s="282" t="n"/>
      <c r="K315" s="282" t="n"/>
      <c r="L315" s="536" t="n"/>
      <c r="M315" s="535" t="n"/>
      <c r="N315" s="282" t="n"/>
      <c r="O315" s="282" t="n"/>
      <c r="P315" s="535" t="n"/>
      <c r="Q315" s="535" t="n"/>
      <c r="R315" s="282" t="n"/>
      <c r="S315" s="282" t="n"/>
      <c r="T315" s="535" t="n"/>
      <c r="U315" s="535" t="n"/>
      <c r="V315" s="282" t="n"/>
      <c r="W315" s="282" t="n"/>
      <c r="X315" s="536" t="n"/>
      <c r="Y315" s="536" t="n"/>
      <c r="Z315" s="282" t="n"/>
      <c r="AA315" s="282" t="n"/>
      <c r="AB315" s="536" t="n"/>
      <c r="AC315" s="536" t="n"/>
      <c r="AD315" s="282" t="n"/>
      <c r="AE315" s="282" t="n"/>
      <c r="AF315" s="537" t="n"/>
      <c r="AG315" s="537" t="n"/>
      <c r="AH315" s="282" t="n"/>
      <c r="AI315" s="282" t="n"/>
      <c r="AJ315" s="537" t="n"/>
      <c r="AK315" s="537" t="n"/>
      <c r="AL315" s="282" t="n"/>
      <c r="AM315" s="282" t="n"/>
      <c r="AN315" s="282" t="n"/>
      <c r="AO315" s="282" t="n"/>
      <c r="AP315" s="282" t="n"/>
      <c r="AQ315" s="282" t="n"/>
      <c r="AR315" s="535" t="n"/>
      <c r="AS315" s="535" t="n"/>
      <c r="AT315" s="282" t="n"/>
      <c r="AU315" s="282" t="n"/>
    </row>
    <row customHeight="1" ht="15.75" r="316" s="452" spans="1:48">
      <c r="A316" s="44" t="n"/>
      <c r="D316" s="535" t="n"/>
      <c r="E316" s="535" t="n"/>
      <c r="F316" s="282" t="n"/>
      <c r="G316" s="282" t="n"/>
      <c r="H316" s="536" t="n"/>
      <c r="I316" s="535" t="n"/>
      <c r="J316" s="282" t="n"/>
      <c r="K316" s="282" t="n"/>
      <c r="L316" s="536" t="n"/>
      <c r="M316" s="535" t="n"/>
      <c r="N316" s="282" t="n"/>
      <c r="O316" s="282" t="n"/>
      <c r="P316" s="535" t="n"/>
      <c r="Q316" s="535" t="n"/>
      <c r="R316" s="282" t="n"/>
      <c r="S316" s="282" t="n"/>
      <c r="T316" s="535" t="n"/>
      <c r="U316" s="535" t="n"/>
      <c r="V316" s="282" t="n"/>
      <c r="W316" s="282" t="n"/>
      <c r="X316" s="536" t="n"/>
      <c r="Y316" s="536" t="n"/>
      <c r="Z316" s="282" t="n"/>
      <c r="AA316" s="282" t="n"/>
      <c r="AB316" s="536" t="n"/>
      <c r="AC316" s="536" t="n"/>
      <c r="AD316" s="282" t="n"/>
      <c r="AE316" s="282" t="n"/>
      <c r="AF316" s="537" t="n"/>
      <c r="AG316" s="537" t="n"/>
      <c r="AH316" s="282" t="n"/>
      <c r="AI316" s="282" t="n"/>
      <c r="AJ316" s="537" t="n"/>
      <c r="AK316" s="537" t="n"/>
      <c r="AL316" s="282" t="n"/>
      <c r="AM316" s="282" t="n"/>
      <c r="AN316" s="282" t="n"/>
      <c r="AO316" s="282" t="n"/>
      <c r="AP316" s="282" t="n"/>
      <c r="AQ316" s="282" t="n"/>
      <c r="AR316" s="535" t="n"/>
      <c r="AS316" s="535" t="n"/>
      <c r="AT316" s="282" t="n"/>
      <c r="AU316" s="282" t="n"/>
    </row>
    <row customHeight="1" ht="15.75" r="317" s="452" spans="1:48">
      <c r="A317" s="44" t="n"/>
      <c r="D317" s="535" t="n"/>
      <c r="E317" s="535" t="n"/>
      <c r="F317" s="282" t="n"/>
      <c r="G317" s="282" t="n"/>
      <c r="H317" s="536" t="n"/>
      <c r="I317" s="535" t="n"/>
      <c r="J317" s="282" t="n"/>
      <c r="K317" s="282" t="n"/>
      <c r="L317" s="536" t="n"/>
      <c r="M317" s="535" t="n"/>
      <c r="N317" s="282" t="n"/>
      <c r="O317" s="282" t="n"/>
      <c r="P317" s="535" t="n"/>
      <c r="Q317" s="535" t="n"/>
      <c r="R317" s="282" t="n"/>
      <c r="S317" s="282" t="n"/>
      <c r="T317" s="535" t="n"/>
      <c r="U317" s="535" t="n"/>
      <c r="V317" s="282" t="n"/>
      <c r="W317" s="282" t="n"/>
      <c r="X317" s="536" t="n"/>
      <c r="Y317" s="536" t="n"/>
      <c r="Z317" s="282" t="n"/>
      <c r="AA317" s="282" t="n"/>
      <c r="AB317" s="536" t="n"/>
      <c r="AC317" s="536" t="n"/>
      <c r="AD317" s="282" t="n"/>
      <c r="AE317" s="282" t="n"/>
      <c r="AF317" s="537" t="n"/>
      <c r="AG317" s="537" t="n"/>
      <c r="AH317" s="282" t="n"/>
      <c r="AI317" s="282" t="n"/>
      <c r="AJ317" s="537" t="n"/>
      <c r="AK317" s="537" t="n"/>
      <c r="AL317" s="282" t="n"/>
      <c r="AM317" s="282" t="n"/>
      <c r="AN317" s="282" t="n"/>
      <c r="AO317" s="282" t="n"/>
      <c r="AP317" s="282" t="n"/>
      <c r="AQ317" s="282" t="n"/>
      <c r="AR317" s="535" t="n"/>
      <c r="AS317" s="535" t="n"/>
      <c r="AT317" s="282" t="n"/>
      <c r="AU317" s="282" t="n"/>
    </row>
    <row customHeight="1" ht="15.75" r="318" s="452" spans="1:48">
      <c r="A318" s="44" t="n"/>
      <c r="D318" s="535" t="n"/>
      <c r="E318" s="535" t="n"/>
      <c r="F318" s="282" t="n"/>
      <c r="G318" s="282" t="n"/>
      <c r="H318" s="536" t="n"/>
      <c r="I318" s="535" t="n"/>
      <c r="J318" s="282" t="n"/>
      <c r="K318" s="282" t="n"/>
      <c r="L318" s="536" t="n"/>
      <c r="M318" s="535" t="n"/>
      <c r="N318" s="282" t="n"/>
      <c r="O318" s="282" t="n"/>
      <c r="P318" s="535" t="n"/>
      <c r="Q318" s="535" t="n"/>
      <c r="R318" s="282" t="n"/>
      <c r="S318" s="282" t="n"/>
      <c r="T318" s="535" t="n"/>
      <c r="U318" s="535" t="n"/>
      <c r="V318" s="282" t="n"/>
      <c r="W318" s="282" t="n"/>
      <c r="X318" s="536" t="n"/>
      <c r="Y318" s="536" t="n"/>
      <c r="Z318" s="282" t="n"/>
      <c r="AA318" s="282" t="n"/>
      <c r="AB318" s="536" t="n"/>
      <c r="AC318" s="536" t="n"/>
      <c r="AD318" s="282" t="n"/>
      <c r="AE318" s="282" t="n"/>
      <c r="AF318" s="537" t="n"/>
      <c r="AG318" s="537" t="n"/>
      <c r="AH318" s="282" t="n"/>
      <c r="AI318" s="282" t="n"/>
      <c r="AJ318" s="537" t="n"/>
      <c r="AK318" s="537" t="n"/>
      <c r="AL318" s="282" t="n"/>
      <c r="AM318" s="282" t="n"/>
      <c r="AN318" s="282" t="n"/>
      <c r="AO318" s="282" t="n"/>
      <c r="AP318" s="282" t="n"/>
      <c r="AQ318" s="282" t="n"/>
      <c r="AR318" s="535" t="n"/>
      <c r="AS318" s="535" t="n"/>
      <c r="AT318" s="282" t="n"/>
      <c r="AU318" s="282" t="n"/>
    </row>
    <row customHeight="1" ht="15.75" r="319" s="452" spans="1:48">
      <c r="A319" s="44" t="n"/>
      <c r="D319" s="535" t="n"/>
      <c r="E319" s="535" t="n"/>
      <c r="F319" s="282" t="n"/>
      <c r="G319" s="282" t="n"/>
      <c r="H319" s="536" t="n"/>
      <c r="I319" s="535" t="n"/>
      <c r="J319" s="282" t="n"/>
      <c r="K319" s="282" t="n"/>
      <c r="L319" s="536" t="n"/>
      <c r="M319" s="535" t="n"/>
      <c r="N319" s="282" t="n"/>
      <c r="O319" s="282" t="n"/>
      <c r="P319" s="535" t="n"/>
      <c r="Q319" s="535" t="n"/>
      <c r="R319" s="282" t="n"/>
      <c r="S319" s="282" t="n"/>
      <c r="T319" s="535" t="n"/>
      <c r="U319" s="535" t="n"/>
      <c r="V319" s="282" t="n"/>
      <c r="W319" s="282" t="n"/>
      <c r="X319" s="536" t="n"/>
      <c r="Y319" s="536" t="n"/>
      <c r="Z319" s="282" t="n"/>
      <c r="AA319" s="282" t="n"/>
      <c r="AB319" s="536" t="n"/>
      <c r="AC319" s="536" t="n"/>
      <c r="AD319" s="282" t="n"/>
      <c r="AE319" s="282" t="n"/>
      <c r="AF319" s="537" t="n"/>
      <c r="AG319" s="537" t="n"/>
      <c r="AH319" s="282" t="n"/>
      <c r="AI319" s="282" t="n"/>
      <c r="AJ319" s="537" t="n"/>
      <c r="AK319" s="537" t="n"/>
      <c r="AL319" s="282" t="n"/>
      <c r="AM319" s="282" t="n"/>
      <c r="AN319" s="282" t="n"/>
      <c r="AO319" s="282" t="n"/>
      <c r="AP319" s="282" t="n"/>
      <c r="AQ319" s="282" t="n"/>
      <c r="AR319" s="535" t="n"/>
      <c r="AS319" s="535" t="n"/>
      <c r="AT319" s="282" t="n"/>
      <c r="AU319" s="282" t="n"/>
    </row>
    <row customHeight="1" ht="15.75" r="320" s="452" spans="1:48">
      <c r="A320" s="44" t="n"/>
      <c r="D320" s="535" t="n"/>
      <c r="E320" s="535" t="n"/>
      <c r="F320" s="282" t="n"/>
      <c r="G320" s="282" t="n"/>
      <c r="H320" s="536" t="n"/>
      <c r="I320" s="535" t="n"/>
      <c r="J320" s="282" t="n"/>
      <c r="K320" s="282" t="n"/>
      <c r="L320" s="536" t="n"/>
      <c r="M320" s="535" t="n"/>
      <c r="N320" s="282" t="n"/>
      <c r="O320" s="282" t="n"/>
      <c r="P320" s="535" t="n"/>
      <c r="Q320" s="535" t="n"/>
      <c r="R320" s="282" t="n"/>
      <c r="S320" s="282" t="n"/>
      <c r="T320" s="535" t="n"/>
      <c r="U320" s="535" t="n"/>
      <c r="V320" s="282" t="n"/>
      <c r="W320" s="282" t="n"/>
      <c r="X320" s="536" t="n"/>
      <c r="Y320" s="536" t="n"/>
      <c r="Z320" s="282" t="n"/>
      <c r="AA320" s="282" t="n"/>
      <c r="AB320" s="536" t="n"/>
      <c r="AC320" s="536" t="n"/>
      <c r="AD320" s="282" t="n"/>
      <c r="AE320" s="282" t="n"/>
      <c r="AF320" s="537" t="n"/>
      <c r="AG320" s="537" t="n"/>
      <c r="AH320" s="282" t="n"/>
      <c r="AI320" s="282" t="n"/>
      <c r="AJ320" s="537" t="n"/>
      <c r="AK320" s="537" t="n"/>
      <c r="AL320" s="282" t="n"/>
      <c r="AM320" s="282" t="n"/>
      <c r="AN320" s="282" t="n"/>
      <c r="AO320" s="282" t="n"/>
      <c r="AP320" s="282" t="n"/>
      <c r="AQ320" s="282" t="n"/>
      <c r="AR320" s="535" t="n"/>
      <c r="AS320" s="535" t="n"/>
      <c r="AT320" s="282" t="n"/>
      <c r="AU320" s="282" t="n"/>
    </row>
    <row customHeight="1" ht="15.75" r="321" s="452" spans="1:48">
      <c r="A321" s="44" t="n"/>
      <c r="D321" s="535" t="n"/>
      <c r="E321" s="535" t="n"/>
      <c r="F321" s="282" t="n"/>
      <c r="G321" s="282" t="n"/>
      <c r="H321" s="536" t="n"/>
      <c r="I321" s="535" t="n"/>
      <c r="J321" s="282" t="n"/>
      <c r="K321" s="282" t="n"/>
      <c r="L321" s="536" t="n"/>
      <c r="M321" s="535" t="n"/>
      <c r="N321" s="282" t="n"/>
      <c r="O321" s="282" t="n"/>
      <c r="P321" s="535" t="n"/>
      <c r="Q321" s="535" t="n"/>
      <c r="R321" s="282" t="n"/>
      <c r="S321" s="282" t="n"/>
      <c r="T321" s="535" t="n"/>
      <c r="U321" s="535" t="n"/>
      <c r="V321" s="282" t="n"/>
      <c r="W321" s="282" t="n"/>
      <c r="X321" s="536" t="n"/>
      <c r="Y321" s="536" t="n"/>
      <c r="Z321" s="282" t="n"/>
      <c r="AA321" s="282" t="n"/>
      <c r="AB321" s="536" t="n"/>
      <c r="AC321" s="536" t="n"/>
      <c r="AD321" s="282" t="n"/>
      <c r="AE321" s="282" t="n"/>
      <c r="AF321" s="537" t="n"/>
      <c r="AG321" s="537" t="n"/>
      <c r="AH321" s="282" t="n"/>
      <c r="AI321" s="282" t="n"/>
      <c r="AJ321" s="537" t="n"/>
      <c r="AK321" s="537" t="n"/>
      <c r="AL321" s="282" t="n"/>
      <c r="AM321" s="282" t="n"/>
      <c r="AN321" s="282" t="n"/>
      <c r="AO321" s="282" t="n"/>
      <c r="AP321" s="282" t="n"/>
      <c r="AQ321" s="282" t="n"/>
      <c r="AR321" s="535" t="n"/>
      <c r="AS321" s="535" t="n"/>
      <c r="AT321" s="282" t="n"/>
      <c r="AU321" s="282" t="n"/>
    </row>
    <row customHeight="1" ht="15.75" r="322" s="452" spans="1:48">
      <c r="A322" s="44" t="n"/>
      <c r="D322" s="535" t="n"/>
      <c r="E322" s="535" t="n"/>
      <c r="F322" s="282" t="n"/>
      <c r="G322" s="282" t="n"/>
      <c r="H322" s="536" t="n"/>
      <c r="I322" s="535" t="n"/>
      <c r="J322" s="282" t="n"/>
      <c r="K322" s="282" t="n"/>
      <c r="L322" s="536" t="n"/>
      <c r="M322" s="535" t="n"/>
      <c r="N322" s="282" t="n"/>
      <c r="O322" s="282" t="n"/>
      <c r="P322" s="535" t="n"/>
      <c r="Q322" s="535" t="n"/>
      <c r="R322" s="282" t="n"/>
      <c r="S322" s="282" t="n"/>
      <c r="T322" s="535" t="n"/>
      <c r="U322" s="535" t="n"/>
      <c r="V322" s="282" t="n"/>
      <c r="W322" s="282" t="n"/>
      <c r="X322" s="536" t="n"/>
      <c r="Y322" s="536" t="n"/>
      <c r="Z322" s="282" t="n"/>
      <c r="AA322" s="282" t="n"/>
      <c r="AB322" s="536" t="n"/>
      <c r="AC322" s="536" t="n"/>
      <c r="AD322" s="282" t="n"/>
      <c r="AE322" s="282" t="n"/>
      <c r="AF322" s="537" t="n"/>
      <c r="AG322" s="537" t="n"/>
      <c r="AH322" s="282" t="n"/>
      <c r="AI322" s="282" t="n"/>
      <c r="AJ322" s="537" t="n"/>
      <c r="AK322" s="537" t="n"/>
      <c r="AL322" s="282" t="n"/>
      <c r="AM322" s="282" t="n"/>
      <c r="AN322" s="282" t="n"/>
      <c r="AO322" s="282" t="n"/>
      <c r="AP322" s="282" t="n"/>
      <c r="AQ322" s="282" t="n"/>
      <c r="AR322" s="535" t="n"/>
      <c r="AS322" s="535" t="n"/>
      <c r="AT322" s="282" t="n"/>
      <c r="AU322" s="282" t="n"/>
    </row>
    <row customHeight="1" ht="15.75" r="323" s="452" spans="1:48">
      <c r="A323" s="44" t="n"/>
      <c r="D323" s="535" t="n"/>
      <c r="E323" s="535" t="n"/>
      <c r="F323" s="282" t="n"/>
      <c r="G323" s="282" t="n"/>
      <c r="H323" s="536" t="n"/>
      <c r="I323" s="535" t="n"/>
      <c r="J323" s="282" t="n"/>
      <c r="K323" s="282" t="n"/>
      <c r="L323" s="536" t="n"/>
      <c r="M323" s="535" t="n"/>
      <c r="N323" s="282" t="n"/>
      <c r="O323" s="282" t="n"/>
      <c r="P323" s="535" t="n"/>
      <c r="Q323" s="535" t="n"/>
      <c r="R323" s="282" t="n"/>
      <c r="S323" s="282" t="n"/>
      <c r="T323" s="535" t="n"/>
      <c r="U323" s="535" t="n"/>
      <c r="V323" s="282" t="n"/>
      <c r="W323" s="282" t="n"/>
      <c r="X323" s="536" t="n"/>
      <c r="Y323" s="536" t="n"/>
      <c r="Z323" s="282" t="n"/>
      <c r="AA323" s="282" t="n"/>
      <c r="AB323" s="536" t="n"/>
      <c r="AC323" s="536" t="n"/>
      <c r="AD323" s="282" t="n"/>
      <c r="AE323" s="282" t="n"/>
      <c r="AF323" s="537" t="n"/>
      <c r="AG323" s="537" t="n"/>
      <c r="AH323" s="282" t="n"/>
      <c r="AI323" s="282" t="n"/>
      <c r="AJ323" s="537" t="n"/>
      <c r="AK323" s="537" t="n"/>
      <c r="AL323" s="282" t="n"/>
      <c r="AM323" s="282" t="n"/>
      <c r="AN323" s="282" t="n"/>
      <c r="AO323" s="282" t="n"/>
      <c r="AP323" s="282" t="n"/>
      <c r="AQ323" s="282" t="n"/>
      <c r="AR323" s="535" t="n"/>
      <c r="AS323" s="535" t="n"/>
      <c r="AT323" s="282" t="n"/>
      <c r="AU323" s="282" t="n"/>
    </row>
    <row customHeight="1" ht="15.75" r="324" s="452" spans="1:48">
      <c r="A324" s="44" t="n"/>
      <c r="D324" s="535" t="n"/>
      <c r="E324" s="535" t="n"/>
      <c r="F324" s="282" t="n"/>
      <c r="G324" s="282" t="n"/>
      <c r="H324" s="536" t="n"/>
      <c r="I324" s="535" t="n"/>
      <c r="J324" s="282" t="n"/>
      <c r="K324" s="282" t="n"/>
      <c r="L324" s="536" t="n"/>
      <c r="M324" s="535" t="n"/>
      <c r="N324" s="282" t="n"/>
      <c r="O324" s="282" t="n"/>
      <c r="P324" s="535" t="n"/>
      <c r="Q324" s="535" t="n"/>
      <c r="R324" s="282" t="n"/>
      <c r="S324" s="282" t="n"/>
      <c r="T324" s="535" t="n"/>
      <c r="U324" s="535" t="n"/>
      <c r="V324" s="282" t="n"/>
      <c r="W324" s="282" t="n"/>
      <c r="X324" s="536" t="n"/>
      <c r="Y324" s="536" t="n"/>
      <c r="Z324" s="282" t="n"/>
      <c r="AA324" s="282" t="n"/>
      <c r="AB324" s="536" t="n"/>
      <c r="AC324" s="536" t="n"/>
      <c r="AD324" s="282" t="n"/>
      <c r="AE324" s="282" t="n"/>
      <c r="AF324" s="537" t="n"/>
      <c r="AG324" s="537" t="n"/>
      <c r="AH324" s="282" t="n"/>
      <c r="AI324" s="282" t="n"/>
      <c r="AJ324" s="537" t="n"/>
      <c r="AK324" s="537" t="n"/>
      <c r="AL324" s="282" t="n"/>
      <c r="AM324" s="282" t="n"/>
      <c r="AN324" s="282" t="n"/>
      <c r="AO324" s="282" t="n"/>
      <c r="AP324" s="282" t="n"/>
      <c r="AQ324" s="282" t="n"/>
      <c r="AR324" s="535" t="n"/>
      <c r="AS324" s="535" t="n"/>
      <c r="AT324" s="282" t="n"/>
      <c r="AU324" s="282" t="n"/>
    </row>
    <row customHeight="1" ht="15.75" r="325" s="452" spans="1:48">
      <c r="A325" s="44" t="n"/>
      <c r="D325" s="535" t="n"/>
      <c r="E325" s="535" t="n"/>
      <c r="F325" s="282" t="n"/>
      <c r="G325" s="282" t="n"/>
      <c r="H325" s="536" t="n"/>
      <c r="I325" s="535" t="n"/>
      <c r="J325" s="282" t="n"/>
      <c r="K325" s="282" t="n"/>
      <c r="L325" s="536" t="n"/>
      <c r="M325" s="535" t="n"/>
      <c r="N325" s="282" t="n"/>
      <c r="O325" s="282" t="n"/>
      <c r="P325" s="535" t="n"/>
      <c r="Q325" s="535" t="n"/>
      <c r="R325" s="282" t="n"/>
      <c r="S325" s="282" t="n"/>
      <c r="T325" s="535" t="n"/>
      <c r="U325" s="535" t="n"/>
      <c r="V325" s="282" t="n"/>
      <c r="W325" s="282" t="n"/>
      <c r="X325" s="536" t="n"/>
      <c r="Y325" s="536" t="n"/>
      <c r="Z325" s="282" t="n"/>
      <c r="AA325" s="282" t="n"/>
      <c r="AB325" s="536" t="n"/>
      <c r="AC325" s="536" t="n"/>
      <c r="AD325" s="282" t="n"/>
      <c r="AE325" s="282" t="n"/>
      <c r="AF325" s="537" t="n"/>
      <c r="AG325" s="537" t="n"/>
      <c r="AH325" s="282" t="n"/>
      <c r="AI325" s="282" t="n"/>
      <c r="AJ325" s="537" t="n"/>
      <c r="AK325" s="537" t="n"/>
      <c r="AL325" s="282" t="n"/>
      <c r="AM325" s="282" t="n"/>
      <c r="AN325" s="282" t="n"/>
      <c r="AO325" s="282" t="n"/>
      <c r="AP325" s="282" t="n"/>
      <c r="AQ325" s="282" t="n"/>
      <c r="AR325" s="535" t="n"/>
      <c r="AS325" s="535" t="n"/>
      <c r="AT325" s="282" t="n"/>
      <c r="AU325" s="282" t="n"/>
    </row>
    <row customHeight="1" ht="15.75" r="326" s="452" spans="1:48">
      <c r="A326" s="44" t="n"/>
      <c r="D326" s="535" t="n"/>
      <c r="E326" s="535" t="n"/>
      <c r="F326" s="282" t="n"/>
      <c r="G326" s="282" t="n"/>
      <c r="H326" s="536" t="n"/>
      <c r="I326" s="535" t="n"/>
      <c r="J326" s="282" t="n"/>
      <c r="K326" s="282" t="n"/>
      <c r="L326" s="536" t="n"/>
      <c r="M326" s="535" t="n"/>
      <c r="N326" s="282" t="n"/>
      <c r="O326" s="282" t="n"/>
      <c r="P326" s="535" t="n"/>
      <c r="Q326" s="535" t="n"/>
      <c r="R326" s="282" t="n"/>
      <c r="S326" s="282" t="n"/>
      <c r="T326" s="535" t="n"/>
      <c r="U326" s="535" t="n"/>
      <c r="V326" s="282" t="n"/>
      <c r="W326" s="282" t="n"/>
      <c r="X326" s="536" t="n"/>
      <c r="Y326" s="536" t="n"/>
      <c r="Z326" s="282" t="n"/>
      <c r="AA326" s="282" t="n"/>
      <c r="AB326" s="536" t="n"/>
      <c r="AC326" s="536" t="n"/>
      <c r="AD326" s="282" t="n"/>
      <c r="AE326" s="282" t="n"/>
      <c r="AF326" s="537" t="n"/>
      <c r="AG326" s="537" t="n"/>
      <c r="AH326" s="282" t="n"/>
      <c r="AI326" s="282" t="n"/>
      <c r="AJ326" s="537" t="n"/>
      <c r="AK326" s="537" t="n"/>
      <c r="AL326" s="282" t="n"/>
      <c r="AM326" s="282" t="n"/>
      <c r="AN326" s="282" t="n"/>
      <c r="AO326" s="282" t="n"/>
      <c r="AP326" s="282" t="n"/>
      <c r="AQ326" s="282" t="n"/>
      <c r="AR326" s="535" t="n"/>
      <c r="AS326" s="535" t="n"/>
      <c r="AT326" s="282" t="n"/>
      <c r="AU326" s="282" t="n"/>
    </row>
    <row customHeight="1" ht="15.75" r="327" s="452" spans="1:48">
      <c r="A327" s="44" t="n"/>
      <c r="D327" s="535" t="n"/>
      <c r="E327" s="535" t="n"/>
      <c r="F327" s="282" t="n"/>
      <c r="G327" s="282" t="n"/>
      <c r="H327" s="536" t="n"/>
      <c r="I327" s="535" t="n"/>
      <c r="J327" s="282" t="n"/>
      <c r="K327" s="282" t="n"/>
      <c r="L327" s="536" t="n"/>
      <c r="M327" s="535" t="n"/>
      <c r="N327" s="282" t="n"/>
      <c r="O327" s="282" t="n"/>
      <c r="P327" s="535" t="n"/>
      <c r="Q327" s="535" t="n"/>
      <c r="R327" s="282" t="n"/>
      <c r="S327" s="282" t="n"/>
      <c r="T327" s="535" t="n"/>
      <c r="U327" s="535" t="n"/>
      <c r="V327" s="282" t="n"/>
      <c r="W327" s="282" t="n"/>
      <c r="X327" s="536" t="n"/>
      <c r="Y327" s="536" t="n"/>
      <c r="Z327" s="282" t="n"/>
      <c r="AA327" s="282" t="n"/>
      <c r="AB327" s="536" t="n"/>
      <c r="AC327" s="536" t="n"/>
      <c r="AD327" s="282" t="n"/>
      <c r="AE327" s="282" t="n"/>
      <c r="AF327" s="537" t="n"/>
      <c r="AG327" s="537" t="n"/>
      <c r="AH327" s="282" t="n"/>
      <c r="AI327" s="282" t="n"/>
      <c r="AJ327" s="537" t="n"/>
      <c r="AK327" s="537" t="n"/>
      <c r="AL327" s="282" t="n"/>
      <c r="AM327" s="282" t="n"/>
      <c r="AN327" s="282" t="n"/>
      <c r="AO327" s="282" t="n"/>
      <c r="AP327" s="282" t="n"/>
      <c r="AQ327" s="282" t="n"/>
      <c r="AR327" s="535" t="n"/>
      <c r="AS327" s="535" t="n"/>
      <c r="AT327" s="282" t="n"/>
      <c r="AU327" s="282" t="n"/>
    </row>
    <row customHeight="1" ht="15.75" r="328" s="452" spans="1:48">
      <c r="A328" s="44" t="n"/>
      <c r="D328" s="535" t="n"/>
      <c r="E328" s="535" t="n"/>
      <c r="F328" s="282" t="n"/>
      <c r="G328" s="282" t="n"/>
      <c r="H328" s="536" t="n"/>
      <c r="I328" s="535" t="n"/>
      <c r="J328" s="282" t="n"/>
      <c r="K328" s="282" t="n"/>
      <c r="L328" s="536" t="n"/>
      <c r="M328" s="535" t="n"/>
      <c r="N328" s="282" t="n"/>
      <c r="O328" s="282" t="n"/>
      <c r="P328" s="535" t="n"/>
      <c r="Q328" s="535" t="n"/>
      <c r="R328" s="282" t="n"/>
      <c r="S328" s="282" t="n"/>
      <c r="T328" s="535" t="n"/>
      <c r="U328" s="535" t="n"/>
      <c r="V328" s="282" t="n"/>
      <c r="W328" s="282" t="n"/>
      <c r="X328" s="536" t="n"/>
      <c r="Y328" s="536" t="n"/>
      <c r="Z328" s="282" t="n"/>
      <c r="AA328" s="282" t="n"/>
      <c r="AB328" s="536" t="n"/>
      <c r="AC328" s="536" t="n"/>
      <c r="AD328" s="282" t="n"/>
      <c r="AE328" s="282" t="n"/>
      <c r="AF328" s="537" t="n"/>
      <c r="AG328" s="537" t="n"/>
      <c r="AH328" s="282" t="n"/>
      <c r="AI328" s="282" t="n"/>
      <c r="AJ328" s="537" t="n"/>
      <c r="AK328" s="537" t="n"/>
      <c r="AL328" s="282" t="n"/>
      <c r="AM328" s="282" t="n"/>
      <c r="AN328" s="282" t="n"/>
      <c r="AO328" s="282" t="n"/>
      <c r="AP328" s="282" t="n"/>
      <c r="AQ328" s="282" t="n"/>
      <c r="AR328" s="535" t="n"/>
      <c r="AS328" s="535" t="n"/>
      <c r="AT328" s="282" t="n"/>
      <c r="AU328" s="282" t="n"/>
    </row>
    <row customHeight="1" ht="15.75" r="329" s="452" spans="1:48">
      <c r="A329" s="44" t="n"/>
      <c r="D329" s="535" t="n"/>
      <c r="E329" s="535" t="n"/>
      <c r="F329" s="282" t="n"/>
      <c r="G329" s="282" t="n"/>
      <c r="H329" s="536" t="n"/>
      <c r="I329" s="535" t="n"/>
      <c r="J329" s="282" t="n"/>
      <c r="K329" s="282" t="n"/>
      <c r="L329" s="536" t="n"/>
      <c r="M329" s="535" t="n"/>
      <c r="N329" s="282" t="n"/>
      <c r="O329" s="282" t="n"/>
      <c r="P329" s="535" t="n"/>
      <c r="Q329" s="535" t="n"/>
      <c r="R329" s="282" t="n"/>
      <c r="S329" s="282" t="n"/>
      <c r="T329" s="535" t="n"/>
      <c r="U329" s="535" t="n"/>
      <c r="V329" s="282" t="n"/>
      <c r="W329" s="282" t="n"/>
      <c r="X329" s="536" t="n"/>
      <c r="Y329" s="536" t="n"/>
      <c r="Z329" s="282" t="n"/>
      <c r="AA329" s="282" t="n"/>
      <c r="AB329" s="536" t="n"/>
      <c r="AC329" s="536" t="n"/>
      <c r="AD329" s="282" t="n"/>
      <c r="AE329" s="282" t="n"/>
      <c r="AF329" s="537" t="n"/>
      <c r="AG329" s="537" t="n"/>
      <c r="AH329" s="282" t="n"/>
      <c r="AI329" s="282" t="n"/>
      <c r="AJ329" s="537" t="n"/>
      <c r="AK329" s="537" t="n"/>
      <c r="AL329" s="282" t="n"/>
      <c r="AM329" s="282" t="n"/>
      <c r="AN329" s="282" t="n"/>
      <c r="AO329" s="282" t="n"/>
      <c r="AP329" s="282" t="n"/>
      <c r="AQ329" s="282" t="n"/>
      <c r="AR329" s="535" t="n"/>
      <c r="AS329" s="535" t="n"/>
      <c r="AT329" s="282" t="n"/>
      <c r="AU329" s="282" t="n"/>
    </row>
    <row customHeight="1" ht="15.75" r="330" s="452" spans="1:48">
      <c r="A330" s="44" t="n"/>
      <c r="D330" s="535" t="n"/>
      <c r="E330" s="535" t="n"/>
      <c r="F330" s="282" t="n"/>
      <c r="G330" s="282" t="n"/>
      <c r="H330" s="536" t="n"/>
      <c r="I330" s="535" t="n"/>
      <c r="J330" s="282" t="n"/>
      <c r="K330" s="282" t="n"/>
      <c r="L330" s="536" t="n"/>
      <c r="M330" s="535" t="n"/>
      <c r="N330" s="282" t="n"/>
      <c r="O330" s="282" t="n"/>
      <c r="P330" s="535" t="n"/>
      <c r="Q330" s="535" t="n"/>
      <c r="R330" s="282" t="n"/>
      <c r="S330" s="282" t="n"/>
      <c r="T330" s="535" t="n"/>
      <c r="U330" s="535" t="n"/>
      <c r="V330" s="282" t="n"/>
      <c r="W330" s="282" t="n"/>
      <c r="X330" s="536" t="n"/>
      <c r="Y330" s="536" t="n"/>
      <c r="Z330" s="282" t="n"/>
      <c r="AA330" s="282" t="n"/>
      <c r="AB330" s="536" t="n"/>
      <c r="AC330" s="536" t="n"/>
      <c r="AD330" s="282" t="n"/>
      <c r="AE330" s="282" t="n"/>
      <c r="AF330" s="537" t="n"/>
      <c r="AG330" s="537" t="n"/>
      <c r="AH330" s="282" t="n"/>
      <c r="AI330" s="282" t="n"/>
      <c r="AJ330" s="537" t="n"/>
      <c r="AK330" s="537" t="n"/>
      <c r="AL330" s="282" t="n"/>
      <c r="AM330" s="282" t="n"/>
      <c r="AN330" s="282" t="n"/>
      <c r="AO330" s="282" t="n"/>
      <c r="AP330" s="282" t="n"/>
      <c r="AQ330" s="282" t="n"/>
      <c r="AR330" s="535" t="n"/>
      <c r="AS330" s="535" t="n"/>
      <c r="AT330" s="282" t="n"/>
      <c r="AU330" s="282" t="n"/>
    </row>
    <row customHeight="1" ht="15.75" r="331" s="452" spans="1:48">
      <c r="A331" s="44" t="n"/>
      <c r="D331" s="535" t="n"/>
      <c r="E331" s="535" t="n"/>
      <c r="F331" s="282" t="n"/>
      <c r="G331" s="282" t="n"/>
      <c r="H331" s="536" t="n"/>
      <c r="I331" s="535" t="n"/>
      <c r="J331" s="282" t="n"/>
      <c r="K331" s="282" t="n"/>
      <c r="L331" s="536" t="n"/>
      <c r="M331" s="535" t="n"/>
      <c r="N331" s="282" t="n"/>
      <c r="O331" s="282" t="n"/>
      <c r="P331" s="535" t="n"/>
      <c r="Q331" s="535" t="n"/>
      <c r="R331" s="282" t="n"/>
      <c r="S331" s="282" t="n"/>
      <c r="T331" s="535" t="n"/>
      <c r="U331" s="535" t="n"/>
      <c r="V331" s="282" t="n"/>
      <c r="W331" s="282" t="n"/>
      <c r="X331" s="536" t="n"/>
      <c r="Y331" s="536" t="n"/>
      <c r="Z331" s="282" t="n"/>
      <c r="AA331" s="282" t="n"/>
      <c r="AB331" s="536" t="n"/>
      <c r="AC331" s="536" t="n"/>
      <c r="AD331" s="282" t="n"/>
      <c r="AE331" s="282" t="n"/>
      <c r="AF331" s="537" t="n"/>
      <c r="AG331" s="537" t="n"/>
      <c r="AH331" s="282" t="n"/>
      <c r="AI331" s="282" t="n"/>
      <c r="AJ331" s="537" t="n"/>
      <c r="AK331" s="537" t="n"/>
      <c r="AL331" s="282" t="n"/>
      <c r="AM331" s="282" t="n"/>
      <c r="AN331" s="282" t="n"/>
      <c r="AO331" s="282" t="n"/>
      <c r="AP331" s="282" t="n"/>
      <c r="AQ331" s="282" t="n"/>
      <c r="AR331" s="535" t="n"/>
      <c r="AS331" s="535" t="n"/>
      <c r="AT331" s="282" t="n"/>
      <c r="AU331" s="282" t="n"/>
    </row>
    <row customHeight="1" ht="15.75" r="332" s="452" spans="1:48">
      <c r="A332" s="44" t="n"/>
      <c r="D332" s="535" t="n"/>
      <c r="E332" s="535" t="n"/>
      <c r="F332" s="282" t="n"/>
      <c r="G332" s="282" t="n"/>
      <c r="H332" s="536" t="n"/>
      <c r="I332" s="535" t="n"/>
      <c r="J332" s="282" t="n"/>
      <c r="K332" s="282" t="n"/>
      <c r="L332" s="536" t="n"/>
      <c r="M332" s="535" t="n"/>
      <c r="N332" s="282" t="n"/>
      <c r="O332" s="282" t="n"/>
      <c r="P332" s="535" t="n"/>
      <c r="Q332" s="535" t="n"/>
      <c r="R332" s="282" t="n"/>
      <c r="S332" s="282" t="n"/>
      <c r="T332" s="535" t="n"/>
      <c r="U332" s="535" t="n"/>
      <c r="V332" s="282" t="n"/>
      <c r="W332" s="282" t="n"/>
      <c r="X332" s="536" t="n"/>
      <c r="Y332" s="536" t="n"/>
      <c r="Z332" s="282" t="n"/>
      <c r="AA332" s="282" t="n"/>
      <c r="AB332" s="536" t="n"/>
      <c r="AC332" s="536" t="n"/>
      <c r="AD332" s="282" t="n"/>
      <c r="AE332" s="282" t="n"/>
      <c r="AF332" s="537" t="n"/>
      <c r="AG332" s="537" t="n"/>
      <c r="AH332" s="282" t="n"/>
      <c r="AI332" s="282" t="n"/>
      <c r="AJ332" s="537" t="n"/>
      <c r="AK332" s="537" t="n"/>
      <c r="AL332" s="282" t="n"/>
      <c r="AM332" s="282" t="n"/>
      <c r="AN332" s="282" t="n"/>
      <c r="AO332" s="282" t="n"/>
      <c r="AP332" s="282" t="n"/>
      <c r="AQ332" s="282" t="n"/>
      <c r="AR332" s="535" t="n"/>
      <c r="AS332" s="535" t="n"/>
      <c r="AT332" s="282" t="n"/>
      <c r="AU332" s="282" t="n"/>
    </row>
    <row customHeight="1" ht="15.75" r="333" s="452" spans="1:48">
      <c r="A333" s="44" t="n"/>
      <c r="D333" s="535" t="n"/>
      <c r="E333" s="535" t="n"/>
      <c r="F333" s="282" t="n"/>
      <c r="G333" s="282" t="n"/>
      <c r="H333" s="536" t="n"/>
      <c r="I333" s="535" t="n"/>
      <c r="J333" s="282" t="n"/>
      <c r="K333" s="282" t="n"/>
      <c r="L333" s="536" t="n"/>
      <c r="M333" s="535" t="n"/>
      <c r="N333" s="282" t="n"/>
      <c r="O333" s="282" t="n"/>
      <c r="P333" s="535" t="n"/>
      <c r="Q333" s="535" t="n"/>
      <c r="R333" s="282" t="n"/>
      <c r="S333" s="282" t="n"/>
      <c r="T333" s="535" t="n"/>
      <c r="U333" s="535" t="n"/>
      <c r="V333" s="282" t="n"/>
      <c r="W333" s="282" t="n"/>
      <c r="X333" s="536" t="n"/>
      <c r="Y333" s="536" t="n"/>
      <c r="Z333" s="282" t="n"/>
      <c r="AA333" s="282" t="n"/>
      <c r="AB333" s="536" t="n"/>
      <c r="AC333" s="536" t="n"/>
      <c r="AD333" s="282" t="n"/>
      <c r="AE333" s="282" t="n"/>
      <c r="AF333" s="537" t="n"/>
      <c r="AG333" s="537" t="n"/>
      <c r="AH333" s="282" t="n"/>
      <c r="AI333" s="282" t="n"/>
      <c r="AJ333" s="537" t="n"/>
      <c r="AK333" s="537" t="n"/>
      <c r="AL333" s="282" t="n"/>
      <c r="AM333" s="282" t="n"/>
      <c r="AN333" s="282" t="n"/>
      <c r="AO333" s="282" t="n"/>
      <c r="AP333" s="282" t="n"/>
      <c r="AQ333" s="282" t="n"/>
      <c r="AR333" s="535" t="n"/>
      <c r="AS333" s="535" t="n"/>
      <c r="AT333" s="282" t="n"/>
      <c r="AU333" s="282" t="n"/>
    </row>
    <row customHeight="1" ht="15.75" r="334" s="452" spans="1:48">
      <c r="A334" s="44" t="n"/>
      <c r="D334" s="535" t="n"/>
      <c r="E334" s="535" t="n"/>
      <c r="F334" s="282" t="n"/>
      <c r="G334" s="282" t="n"/>
      <c r="H334" s="536" t="n"/>
      <c r="I334" s="535" t="n"/>
      <c r="J334" s="282" t="n"/>
      <c r="K334" s="282" t="n"/>
      <c r="L334" s="536" t="n"/>
      <c r="M334" s="535" t="n"/>
      <c r="N334" s="282" t="n"/>
      <c r="O334" s="282" t="n"/>
      <c r="P334" s="535" t="n"/>
      <c r="Q334" s="535" t="n"/>
      <c r="R334" s="282" t="n"/>
      <c r="S334" s="282" t="n"/>
      <c r="T334" s="535" t="n"/>
      <c r="U334" s="535" t="n"/>
      <c r="V334" s="282" t="n"/>
      <c r="W334" s="282" t="n"/>
      <c r="X334" s="536" t="n"/>
      <c r="Y334" s="536" t="n"/>
      <c r="Z334" s="282" t="n"/>
      <c r="AA334" s="282" t="n"/>
      <c r="AB334" s="536" t="n"/>
      <c r="AC334" s="536" t="n"/>
      <c r="AD334" s="282" t="n"/>
      <c r="AE334" s="282" t="n"/>
      <c r="AF334" s="537" t="n"/>
      <c r="AG334" s="537" t="n"/>
      <c r="AH334" s="282" t="n"/>
      <c r="AI334" s="282" t="n"/>
      <c r="AJ334" s="537" t="n"/>
      <c r="AK334" s="537" t="n"/>
      <c r="AL334" s="282" t="n"/>
      <c r="AM334" s="282" t="n"/>
      <c r="AN334" s="282" t="n"/>
      <c r="AO334" s="282" t="n"/>
      <c r="AP334" s="282" t="n"/>
      <c r="AQ334" s="282" t="n"/>
      <c r="AR334" s="535" t="n"/>
      <c r="AS334" s="535" t="n"/>
      <c r="AT334" s="282" t="n"/>
      <c r="AU334" s="282" t="n"/>
    </row>
    <row customHeight="1" ht="15.75" r="335" s="452" spans="1:48">
      <c r="A335" s="44" t="n"/>
      <c r="D335" s="535" t="n"/>
      <c r="E335" s="535" t="n"/>
      <c r="F335" s="282" t="n"/>
      <c r="G335" s="282" t="n"/>
      <c r="H335" s="536" t="n"/>
      <c r="I335" s="535" t="n"/>
      <c r="J335" s="282" t="n"/>
      <c r="K335" s="282" t="n"/>
      <c r="L335" s="536" t="n"/>
      <c r="M335" s="535" t="n"/>
      <c r="N335" s="282" t="n"/>
      <c r="O335" s="282" t="n"/>
      <c r="P335" s="535" t="n"/>
      <c r="Q335" s="535" t="n"/>
      <c r="R335" s="282" t="n"/>
      <c r="S335" s="282" t="n"/>
      <c r="T335" s="535" t="n"/>
      <c r="U335" s="535" t="n"/>
      <c r="V335" s="282" t="n"/>
      <c r="W335" s="282" t="n"/>
      <c r="X335" s="536" t="n"/>
      <c r="Y335" s="536" t="n"/>
      <c r="Z335" s="282" t="n"/>
      <c r="AA335" s="282" t="n"/>
      <c r="AB335" s="536" t="n"/>
      <c r="AC335" s="536" t="n"/>
      <c r="AD335" s="282" t="n"/>
      <c r="AE335" s="282" t="n"/>
      <c r="AF335" s="537" t="n"/>
      <c r="AG335" s="537" t="n"/>
      <c r="AH335" s="282" t="n"/>
      <c r="AI335" s="282" t="n"/>
      <c r="AJ335" s="537" t="n"/>
      <c r="AK335" s="537" t="n"/>
      <c r="AL335" s="282" t="n"/>
      <c r="AM335" s="282" t="n"/>
      <c r="AN335" s="282" t="n"/>
      <c r="AO335" s="282" t="n"/>
      <c r="AP335" s="282" t="n"/>
      <c r="AQ335" s="282" t="n"/>
      <c r="AR335" s="535" t="n"/>
      <c r="AS335" s="535" t="n"/>
      <c r="AT335" s="282" t="n"/>
      <c r="AU335" s="282" t="n"/>
    </row>
    <row customHeight="1" ht="15.75" r="336" s="452" spans="1:48">
      <c r="A336" s="44" t="n"/>
      <c r="D336" s="535" t="n"/>
      <c r="E336" s="535" t="n"/>
      <c r="F336" s="282" t="n"/>
      <c r="G336" s="282" t="n"/>
      <c r="H336" s="536" t="n"/>
      <c r="I336" s="535" t="n"/>
      <c r="J336" s="282" t="n"/>
      <c r="K336" s="282" t="n"/>
      <c r="L336" s="536" t="n"/>
      <c r="M336" s="535" t="n"/>
      <c r="N336" s="282" t="n"/>
      <c r="O336" s="282" t="n"/>
      <c r="P336" s="535" t="n"/>
      <c r="Q336" s="535" t="n"/>
      <c r="R336" s="282" t="n"/>
      <c r="S336" s="282" t="n"/>
      <c r="T336" s="535" t="n"/>
      <c r="U336" s="535" t="n"/>
      <c r="V336" s="282" t="n"/>
      <c r="W336" s="282" t="n"/>
      <c r="X336" s="536" t="n"/>
      <c r="Y336" s="536" t="n"/>
      <c r="Z336" s="282" t="n"/>
      <c r="AA336" s="282" t="n"/>
      <c r="AB336" s="536" t="n"/>
      <c r="AC336" s="536" t="n"/>
      <c r="AD336" s="282" t="n"/>
      <c r="AE336" s="282" t="n"/>
      <c r="AF336" s="537" t="n"/>
      <c r="AG336" s="537" t="n"/>
      <c r="AH336" s="282" t="n"/>
      <c r="AI336" s="282" t="n"/>
      <c r="AJ336" s="537" t="n"/>
      <c r="AK336" s="537" t="n"/>
      <c r="AL336" s="282" t="n"/>
      <c r="AM336" s="282" t="n"/>
      <c r="AN336" s="282" t="n"/>
      <c r="AO336" s="282" t="n"/>
      <c r="AP336" s="282" t="n"/>
      <c r="AQ336" s="282" t="n"/>
      <c r="AR336" s="535" t="n"/>
      <c r="AS336" s="535" t="n"/>
      <c r="AT336" s="282" t="n"/>
      <c r="AU336" s="282" t="n"/>
    </row>
    <row customHeight="1" ht="15.75" r="337" s="452" spans="1:48">
      <c r="A337" s="44" t="n"/>
      <c r="D337" s="535" t="n"/>
      <c r="E337" s="535" t="n"/>
      <c r="F337" s="282" t="n"/>
      <c r="G337" s="282" t="n"/>
      <c r="H337" s="536" t="n"/>
      <c r="I337" s="535" t="n"/>
      <c r="J337" s="282" t="n"/>
      <c r="K337" s="282" t="n"/>
      <c r="L337" s="536" t="n"/>
      <c r="M337" s="535" t="n"/>
      <c r="N337" s="282" t="n"/>
      <c r="O337" s="282" t="n"/>
      <c r="P337" s="535" t="n"/>
      <c r="Q337" s="535" t="n"/>
      <c r="R337" s="282" t="n"/>
      <c r="S337" s="282" t="n"/>
      <c r="T337" s="535" t="n"/>
      <c r="U337" s="535" t="n"/>
      <c r="V337" s="282" t="n"/>
      <c r="W337" s="282" t="n"/>
      <c r="X337" s="536" t="n"/>
      <c r="Y337" s="536" t="n"/>
      <c r="Z337" s="282" t="n"/>
      <c r="AA337" s="282" t="n"/>
      <c r="AB337" s="536" t="n"/>
      <c r="AC337" s="536" t="n"/>
      <c r="AD337" s="282" t="n"/>
      <c r="AE337" s="282" t="n"/>
      <c r="AF337" s="537" t="n"/>
      <c r="AG337" s="537" t="n"/>
      <c r="AH337" s="282" t="n"/>
      <c r="AI337" s="282" t="n"/>
      <c r="AJ337" s="537" t="n"/>
      <c r="AK337" s="537" t="n"/>
      <c r="AL337" s="282" t="n"/>
      <c r="AM337" s="282" t="n"/>
      <c r="AN337" s="282" t="n"/>
      <c r="AO337" s="282" t="n"/>
      <c r="AP337" s="282" t="n"/>
      <c r="AQ337" s="282" t="n"/>
      <c r="AR337" s="535" t="n"/>
      <c r="AS337" s="535" t="n"/>
      <c r="AT337" s="282" t="n"/>
      <c r="AU337" s="282" t="n"/>
    </row>
    <row customHeight="1" ht="15.75" r="338" s="452" spans="1:48">
      <c r="A338" s="44" t="n"/>
      <c r="D338" s="535" t="n"/>
      <c r="E338" s="535" t="n"/>
      <c r="F338" s="282" t="n"/>
      <c r="G338" s="282" t="n"/>
      <c r="H338" s="536" t="n"/>
      <c r="I338" s="535" t="n"/>
      <c r="J338" s="282" t="n"/>
      <c r="K338" s="282" t="n"/>
      <c r="L338" s="536" t="n"/>
      <c r="M338" s="535" t="n"/>
      <c r="N338" s="282" t="n"/>
      <c r="O338" s="282" t="n"/>
      <c r="P338" s="535" t="n"/>
      <c r="Q338" s="535" t="n"/>
      <c r="R338" s="282" t="n"/>
      <c r="S338" s="282" t="n"/>
      <c r="T338" s="535" t="n"/>
      <c r="U338" s="535" t="n"/>
      <c r="V338" s="282" t="n"/>
      <c r="W338" s="282" t="n"/>
      <c r="X338" s="536" t="n"/>
      <c r="Y338" s="536" t="n"/>
      <c r="Z338" s="282" t="n"/>
      <c r="AA338" s="282" t="n"/>
      <c r="AB338" s="536" t="n"/>
      <c r="AC338" s="536" t="n"/>
      <c r="AD338" s="282" t="n"/>
      <c r="AE338" s="282" t="n"/>
      <c r="AF338" s="537" t="n"/>
      <c r="AG338" s="537" t="n"/>
      <c r="AH338" s="282" t="n"/>
      <c r="AI338" s="282" t="n"/>
      <c r="AJ338" s="537" t="n"/>
      <c r="AK338" s="537" t="n"/>
      <c r="AL338" s="282" t="n"/>
      <c r="AM338" s="282" t="n"/>
      <c r="AN338" s="282" t="n"/>
      <c r="AO338" s="282" t="n"/>
      <c r="AP338" s="282" t="n"/>
      <c r="AQ338" s="282" t="n"/>
      <c r="AR338" s="535" t="n"/>
      <c r="AS338" s="535" t="n"/>
      <c r="AT338" s="282" t="n"/>
      <c r="AU338" s="282" t="n"/>
    </row>
    <row customHeight="1" ht="15.75" r="339" s="452" spans="1:48">
      <c r="A339" s="44" t="n"/>
      <c r="D339" s="535" t="n"/>
      <c r="E339" s="535" t="n"/>
      <c r="F339" s="282" t="n"/>
      <c r="G339" s="282" t="n"/>
      <c r="H339" s="536" t="n"/>
      <c r="I339" s="535" t="n"/>
      <c r="J339" s="282" t="n"/>
      <c r="K339" s="282" t="n"/>
      <c r="L339" s="536" t="n"/>
      <c r="M339" s="535" t="n"/>
      <c r="N339" s="282" t="n"/>
      <c r="O339" s="282" t="n"/>
      <c r="P339" s="535" t="n"/>
      <c r="Q339" s="535" t="n"/>
      <c r="R339" s="282" t="n"/>
      <c r="S339" s="282" t="n"/>
      <c r="T339" s="535" t="n"/>
      <c r="U339" s="535" t="n"/>
      <c r="V339" s="282" t="n"/>
      <c r="W339" s="282" t="n"/>
      <c r="X339" s="536" t="n"/>
      <c r="Y339" s="536" t="n"/>
      <c r="Z339" s="282" t="n"/>
      <c r="AA339" s="282" t="n"/>
      <c r="AB339" s="536" t="n"/>
      <c r="AC339" s="536" t="n"/>
      <c r="AD339" s="282" t="n"/>
      <c r="AE339" s="282" t="n"/>
      <c r="AF339" s="537" t="n"/>
      <c r="AG339" s="537" t="n"/>
      <c r="AH339" s="282" t="n"/>
      <c r="AI339" s="282" t="n"/>
      <c r="AJ339" s="537" t="n"/>
      <c r="AK339" s="537" t="n"/>
      <c r="AL339" s="282" t="n"/>
      <c r="AM339" s="282" t="n"/>
      <c r="AN339" s="282" t="n"/>
      <c r="AO339" s="282" t="n"/>
      <c r="AP339" s="282" t="n"/>
      <c r="AQ339" s="282" t="n"/>
      <c r="AR339" s="535" t="n"/>
      <c r="AS339" s="535" t="n"/>
      <c r="AT339" s="282" t="n"/>
      <c r="AU339" s="282" t="n"/>
    </row>
    <row customHeight="1" ht="15.75" r="340" s="452" spans="1:48">
      <c r="A340" s="44" t="n"/>
      <c r="D340" s="535" t="n"/>
      <c r="E340" s="535" t="n"/>
      <c r="F340" s="282" t="n"/>
      <c r="G340" s="282" t="n"/>
      <c r="H340" s="536" t="n"/>
      <c r="I340" s="535" t="n"/>
      <c r="J340" s="282" t="n"/>
      <c r="K340" s="282" t="n"/>
      <c r="L340" s="536" t="n"/>
      <c r="M340" s="535" t="n"/>
      <c r="N340" s="282" t="n"/>
      <c r="O340" s="282" t="n"/>
      <c r="P340" s="535" t="n"/>
      <c r="Q340" s="535" t="n"/>
      <c r="R340" s="282" t="n"/>
      <c r="S340" s="282" t="n"/>
      <c r="T340" s="535" t="n"/>
      <c r="U340" s="535" t="n"/>
      <c r="V340" s="282" t="n"/>
      <c r="W340" s="282" t="n"/>
      <c r="X340" s="536" t="n"/>
      <c r="Y340" s="536" t="n"/>
      <c r="Z340" s="282" t="n"/>
      <c r="AA340" s="282" t="n"/>
      <c r="AB340" s="536" t="n"/>
      <c r="AC340" s="536" t="n"/>
      <c r="AD340" s="282" t="n"/>
      <c r="AE340" s="282" t="n"/>
      <c r="AF340" s="537" t="n"/>
      <c r="AG340" s="537" t="n"/>
      <c r="AH340" s="282" t="n"/>
      <c r="AI340" s="282" t="n"/>
      <c r="AJ340" s="537" t="n"/>
      <c r="AK340" s="537" t="n"/>
      <c r="AL340" s="282" t="n"/>
      <c r="AM340" s="282" t="n"/>
      <c r="AN340" s="282" t="n"/>
      <c r="AO340" s="282" t="n"/>
      <c r="AP340" s="282" t="n"/>
      <c r="AQ340" s="282" t="n"/>
      <c r="AR340" s="535" t="n"/>
      <c r="AS340" s="535" t="n"/>
      <c r="AT340" s="282" t="n"/>
      <c r="AU340" s="282" t="n"/>
    </row>
    <row customHeight="1" ht="15.75" r="341" s="452" spans="1:48">
      <c r="A341" s="44" t="n"/>
      <c r="D341" s="535" t="n"/>
      <c r="E341" s="535" t="n"/>
      <c r="F341" s="282" t="n"/>
      <c r="G341" s="282" t="n"/>
      <c r="H341" s="536" t="n"/>
      <c r="I341" s="535" t="n"/>
      <c r="J341" s="282" t="n"/>
      <c r="K341" s="282" t="n"/>
      <c r="L341" s="536" t="n"/>
      <c r="M341" s="535" t="n"/>
      <c r="N341" s="282" t="n"/>
      <c r="O341" s="282" t="n"/>
      <c r="P341" s="535" t="n"/>
      <c r="Q341" s="535" t="n"/>
      <c r="R341" s="282" t="n"/>
      <c r="S341" s="282" t="n"/>
      <c r="T341" s="535" t="n"/>
      <c r="U341" s="535" t="n"/>
      <c r="V341" s="282" t="n"/>
      <c r="W341" s="282" t="n"/>
      <c r="X341" s="536" t="n"/>
      <c r="Y341" s="536" t="n"/>
      <c r="Z341" s="282" t="n"/>
      <c r="AA341" s="282" t="n"/>
      <c r="AB341" s="536" t="n"/>
      <c r="AC341" s="536" t="n"/>
      <c r="AD341" s="282" t="n"/>
      <c r="AE341" s="282" t="n"/>
      <c r="AF341" s="537" t="n"/>
      <c r="AG341" s="537" t="n"/>
      <c r="AH341" s="282" t="n"/>
      <c r="AI341" s="282" t="n"/>
      <c r="AJ341" s="537" t="n"/>
      <c r="AK341" s="537" t="n"/>
      <c r="AL341" s="282" t="n"/>
      <c r="AM341" s="282" t="n"/>
      <c r="AN341" s="282" t="n"/>
      <c r="AO341" s="282" t="n"/>
      <c r="AP341" s="282" t="n"/>
      <c r="AQ341" s="282" t="n"/>
      <c r="AR341" s="535" t="n"/>
      <c r="AS341" s="535" t="n"/>
      <c r="AT341" s="282" t="n"/>
      <c r="AU341" s="282" t="n"/>
    </row>
    <row customHeight="1" ht="15.75" r="342" s="452" spans="1:48">
      <c r="A342" s="44" t="n"/>
      <c r="D342" s="535" t="n"/>
      <c r="E342" s="535" t="n"/>
      <c r="F342" s="282" t="n"/>
      <c r="G342" s="282" t="n"/>
      <c r="H342" s="536" t="n"/>
      <c r="I342" s="535" t="n"/>
      <c r="J342" s="282" t="n"/>
      <c r="K342" s="282" t="n"/>
      <c r="L342" s="536" t="n"/>
      <c r="M342" s="535" t="n"/>
      <c r="N342" s="282" t="n"/>
      <c r="O342" s="282" t="n"/>
      <c r="P342" s="535" t="n"/>
      <c r="Q342" s="535" t="n"/>
      <c r="R342" s="282" t="n"/>
      <c r="S342" s="282" t="n"/>
      <c r="T342" s="535" t="n"/>
      <c r="U342" s="535" t="n"/>
      <c r="V342" s="282" t="n"/>
      <c r="W342" s="282" t="n"/>
      <c r="X342" s="536" t="n"/>
      <c r="Y342" s="536" t="n"/>
      <c r="Z342" s="282" t="n"/>
      <c r="AA342" s="282" t="n"/>
      <c r="AB342" s="536" t="n"/>
      <c r="AC342" s="536" t="n"/>
      <c r="AD342" s="282" t="n"/>
      <c r="AE342" s="282" t="n"/>
      <c r="AF342" s="537" t="n"/>
      <c r="AG342" s="537" t="n"/>
      <c r="AH342" s="282" t="n"/>
      <c r="AI342" s="282" t="n"/>
      <c r="AJ342" s="537" t="n"/>
      <c r="AK342" s="537" t="n"/>
      <c r="AL342" s="282" t="n"/>
      <c r="AM342" s="282" t="n"/>
      <c r="AN342" s="282" t="n"/>
      <c r="AO342" s="282" t="n"/>
      <c r="AP342" s="282" t="n"/>
      <c r="AQ342" s="282" t="n"/>
      <c r="AR342" s="535" t="n"/>
      <c r="AS342" s="535" t="n"/>
      <c r="AT342" s="282" t="n"/>
      <c r="AU342" s="282" t="n"/>
    </row>
    <row customHeight="1" ht="15.75" r="343" s="452" spans="1:48">
      <c r="A343" s="44" t="n"/>
      <c r="D343" s="535" t="n"/>
      <c r="E343" s="535" t="n"/>
      <c r="F343" s="282" t="n"/>
      <c r="G343" s="282" t="n"/>
      <c r="H343" s="536" t="n"/>
      <c r="I343" s="535" t="n"/>
      <c r="J343" s="282" t="n"/>
      <c r="K343" s="282" t="n"/>
      <c r="L343" s="536" t="n"/>
      <c r="M343" s="535" t="n"/>
      <c r="N343" s="282" t="n"/>
      <c r="O343" s="282" t="n"/>
      <c r="P343" s="535" t="n"/>
      <c r="Q343" s="535" t="n"/>
      <c r="R343" s="282" t="n"/>
      <c r="S343" s="282" t="n"/>
      <c r="T343" s="535" t="n"/>
      <c r="U343" s="535" t="n"/>
      <c r="V343" s="282" t="n"/>
      <c r="W343" s="282" t="n"/>
      <c r="X343" s="536" t="n"/>
      <c r="Y343" s="536" t="n"/>
      <c r="Z343" s="282" t="n"/>
      <c r="AA343" s="282" t="n"/>
      <c r="AB343" s="536" t="n"/>
      <c r="AC343" s="536" t="n"/>
      <c r="AD343" s="282" t="n"/>
      <c r="AE343" s="282" t="n"/>
      <c r="AF343" s="537" t="n"/>
      <c r="AG343" s="537" t="n"/>
      <c r="AH343" s="282" t="n"/>
      <c r="AI343" s="282" t="n"/>
      <c r="AJ343" s="537" t="n"/>
      <c r="AK343" s="537" t="n"/>
      <c r="AL343" s="282" t="n"/>
      <c r="AM343" s="282" t="n"/>
      <c r="AN343" s="282" t="n"/>
      <c r="AO343" s="282" t="n"/>
      <c r="AP343" s="282" t="n"/>
      <c r="AQ343" s="282" t="n"/>
      <c r="AR343" s="535" t="n"/>
      <c r="AS343" s="535" t="n"/>
      <c r="AT343" s="282" t="n"/>
      <c r="AU343" s="282" t="n"/>
    </row>
    <row customHeight="1" ht="15.75" r="344" s="452" spans="1:48">
      <c r="A344" s="44" t="n"/>
      <c r="D344" s="535" t="n"/>
      <c r="E344" s="535" t="n"/>
      <c r="F344" s="282" t="n"/>
      <c r="G344" s="282" t="n"/>
      <c r="H344" s="536" t="n"/>
      <c r="I344" s="535" t="n"/>
      <c r="J344" s="282" t="n"/>
      <c r="K344" s="282" t="n"/>
      <c r="L344" s="536" t="n"/>
      <c r="M344" s="535" t="n"/>
      <c r="N344" s="282" t="n"/>
      <c r="O344" s="282" t="n"/>
      <c r="P344" s="535" t="n"/>
      <c r="Q344" s="535" t="n"/>
      <c r="R344" s="282" t="n"/>
      <c r="S344" s="282" t="n"/>
      <c r="T344" s="535" t="n"/>
      <c r="U344" s="535" t="n"/>
      <c r="V344" s="282" t="n"/>
      <c r="W344" s="282" t="n"/>
      <c r="X344" s="536" t="n"/>
      <c r="Y344" s="536" t="n"/>
      <c r="Z344" s="282" t="n"/>
      <c r="AA344" s="282" t="n"/>
      <c r="AB344" s="536" t="n"/>
      <c r="AC344" s="536" t="n"/>
      <c r="AD344" s="282" t="n"/>
      <c r="AE344" s="282" t="n"/>
      <c r="AF344" s="537" t="n"/>
      <c r="AG344" s="537" t="n"/>
      <c r="AH344" s="282" t="n"/>
      <c r="AI344" s="282" t="n"/>
      <c r="AJ344" s="537" t="n"/>
      <c r="AK344" s="537" t="n"/>
      <c r="AL344" s="282" t="n"/>
      <c r="AM344" s="282" t="n"/>
      <c r="AN344" s="282" t="n"/>
      <c r="AO344" s="282" t="n"/>
      <c r="AP344" s="282" t="n"/>
      <c r="AQ344" s="282" t="n"/>
      <c r="AR344" s="535" t="n"/>
      <c r="AS344" s="535" t="n"/>
      <c r="AT344" s="282" t="n"/>
      <c r="AU344" s="282" t="n"/>
    </row>
    <row customHeight="1" ht="15.75" r="345" s="452" spans="1:48">
      <c r="A345" s="44" t="n"/>
      <c r="D345" s="535" t="n"/>
      <c r="E345" s="535" t="n"/>
      <c r="F345" s="282" t="n"/>
      <c r="G345" s="282" t="n"/>
      <c r="H345" s="536" t="n"/>
      <c r="I345" s="535" t="n"/>
      <c r="J345" s="282" t="n"/>
      <c r="K345" s="282" t="n"/>
      <c r="L345" s="536" t="n"/>
      <c r="M345" s="535" t="n"/>
      <c r="N345" s="282" t="n"/>
      <c r="O345" s="282" t="n"/>
      <c r="P345" s="535" t="n"/>
      <c r="Q345" s="535" t="n"/>
      <c r="R345" s="282" t="n"/>
      <c r="S345" s="282" t="n"/>
      <c r="T345" s="535" t="n"/>
      <c r="U345" s="535" t="n"/>
      <c r="V345" s="282" t="n"/>
      <c r="W345" s="282" t="n"/>
      <c r="X345" s="536" t="n"/>
      <c r="Y345" s="536" t="n"/>
      <c r="Z345" s="282" t="n"/>
      <c r="AA345" s="282" t="n"/>
      <c r="AB345" s="536" t="n"/>
      <c r="AC345" s="536" t="n"/>
      <c r="AD345" s="282" t="n"/>
      <c r="AE345" s="282" t="n"/>
      <c r="AF345" s="537" t="n"/>
      <c r="AG345" s="537" t="n"/>
      <c r="AH345" s="282" t="n"/>
      <c r="AI345" s="282" t="n"/>
      <c r="AJ345" s="537" t="n"/>
      <c r="AK345" s="537" t="n"/>
      <c r="AL345" s="282" t="n"/>
      <c r="AM345" s="282" t="n"/>
      <c r="AN345" s="282" t="n"/>
      <c r="AO345" s="282" t="n"/>
      <c r="AP345" s="282" t="n"/>
      <c r="AQ345" s="282" t="n"/>
      <c r="AR345" s="535" t="n"/>
      <c r="AS345" s="535" t="n"/>
      <c r="AT345" s="282" t="n"/>
      <c r="AU345" s="282" t="n"/>
    </row>
    <row customHeight="1" ht="15.75" r="346" s="452" spans="1:48">
      <c r="A346" s="44" t="n"/>
      <c r="D346" s="535" t="n"/>
      <c r="E346" s="535" t="n"/>
      <c r="F346" s="282" t="n"/>
      <c r="G346" s="282" t="n"/>
      <c r="H346" s="536" t="n"/>
      <c r="I346" s="535" t="n"/>
      <c r="J346" s="282" t="n"/>
      <c r="K346" s="282" t="n"/>
      <c r="L346" s="536" t="n"/>
      <c r="M346" s="535" t="n"/>
      <c r="N346" s="282" t="n"/>
      <c r="O346" s="282" t="n"/>
      <c r="P346" s="535" t="n"/>
      <c r="Q346" s="535" t="n"/>
      <c r="R346" s="282" t="n"/>
      <c r="S346" s="282" t="n"/>
      <c r="T346" s="535" t="n"/>
      <c r="U346" s="535" t="n"/>
      <c r="V346" s="282" t="n"/>
      <c r="W346" s="282" t="n"/>
      <c r="X346" s="536" t="n"/>
      <c r="Y346" s="536" t="n"/>
      <c r="Z346" s="282" t="n"/>
      <c r="AA346" s="282" t="n"/>
      <c r="AB346" s="536" t="n"/>
      <c r="AC346" s="536" t="n"/>
      <c r="AD346" s="282" t="n"/>
      <c r="AE346" s="282" t="n"/>
      <c r="AF346" s="537" t="n"/>
      <c r="AG346" s="537" t="n"/>
      <c r="AH346" s="282" t="n"/>
      <c r="AI346" s="282" t="n"/>
      <c r="AJ346" s="537" t="n"/>
      <c r="AK346" s="537" t="n"/>
      <c r="AL346" s="282" t="n"/>
      <c r="AM346" s="282" t="n"/>
      <c r="AN346" s="282" t="n"/>
      <c r="AO346" s="282" t="n"/>
      <c r="AP346" s="282" t="n"/>
      <c r="AQ346" s="282" t="n"/>
      <c r="AR346" s="535" t="n"/>
      <c r="AS346" s="535" t="n"/>
      <c r="AT346" s="282" t="n"/>
      <c r="AU346" s="282" t="n"/>
    </row>
    <row customHeight="1" ht="15.75" r="347" s="452" spans="1:48">
      <c r="A347" s="44" t="n"/>
      <c r="D347" s="535" t="n"/>
      <c r="E347" s="535" t="n"/>
      <c r="F347" s="282" t="n"/>
      <c r="G347" s="282" t="n"/>
      <c r="H347" s="536" t="n"/>
      <c r="I347" s="535" t="n"/>
      <c r="J347" s="282" t="n"/>
      <c r="K347" s="282" t="n"/>
      <c r="L347" s="536" t="n"/>
      <c r="M347" s="535" t="n"/>
      <c r="N347" s="282" t="n"/>
      <c r="O347" s="282" t="n"/>
      <c r="P347" s="535" t="n"/>
      <c r="Q347" s="535" t="n"/>
      <c r="R347" s="282" t="n"/>
      <c r="S347" s="282" t="n"/>
      <c r="T347" s="535" t="n"/>
      <c r="U347" s="535" t="n"/>
      <c r="V347" s="282" t="n"/>
      <c r="W347" s="282" t="n"/>
      <c r="X347" s="536" t="n"/>
      <c r="Y347" s="536" t="n"/>
      <c r="Z347" s="282" t="n"/>
      <c r="AA347" s="282" t="n"/>
      <c r="AB347" s="536" t="n"/>
      <c r="AC347" s="536" t="n"/>
      <c r="AD347" s="282" t="n"/>
      <c r="AE347" s="282" t="n"/>
      <c r="AF347" s="537" t="n"/>
      <c r="AG347" s="537" t="n"/>
      <c r="AH347" s="282" t="n"/>
      <c r="AI347" s="282" t="n"/>
      <c r="AJ347" s="537" t="n"/>
      <c r="AK347" s="537" t="n"/>
      <c r="AL347" s="282" t="n"/>
      <c r="AM347" s="282" t="n"/>
      <c r="AN347" s="282" t="n"/>
      <c r="AO347" s="282" t="n"/>
      <c r="AP347" s="282" t="n"/>
      <c r="AQ347" s="282" t="n"/>
      <c r="AR347" s="535" t="n"/>
      <c r="AS347" s="535" t="n"/>
      <c r="AT347" s="282" t="n"/>
      <c r="AU347" s="282" t="n"/>
    </row>
    <row customHeight="1" ht="15.75" r="348" s="452" spans="1:48">
      <c r="A348" s="44" t="n"/>
      <c r="D348" s="535" t="n"/>
      <c r="E348" s="535" t="n"/>
      <c r="F348" s="282" t="n"/>
      <c r="G348" s="282" t="n"/>
      <c r="H348" s="536" t="n"/>
      <c r="I348" s="535" t="n"/>
      <c r="J348" s="282" t="n"/>
      <c r="K348" s="282" t="n"/>
      <c r="L348" s="536" t="n"/>
      <c r="M348" s="535" t="n"/>
      <c r="N348" s="282" t="n"/>
      <c r="O348" s="282" t="n"/>
      <c r="P348" s="535" t="n"/>
      <c r="Q348" s="535" t="n"/>
      <c r="R348" s="282" t="n"/>
      <c r="S348" s="282" t="n"/>
      <c r="T348" s="535" t="n"/>
      <c r="U348" s="535" t="n"/>
      <c r="V348" s="282" t="n"/>
      <c r="W348" s="282" t="n"/>
      <c r="X348" s="536" t="n"/>
      <c r="Y348" s="536" t="n"/>
      <c r="Z348" s="282" t="n"/>
      <c r="AA348" s="282" t="n"/>
      <c r="AB348" s="536" t="n"/>
      <c r="AC348" s="536" t="n"/>
      <c r="AD348" s="282" t="n"/>
      <c r="AE348" s="282" t="n"/>
      <c r="AF348" s="537" t="n"/>
      <c r="AG348" s="537" t="n"/>
      <c r="AH348" s="282" t="n"/>
      <c r="AI348" s="282" t="n"/>
      <c r="AJ348" s="537" t="n"/>
      <c r="AK348" s="537" t="n"/>
      <c r="AL348" s="282" t="n"/>
      <c r="AM348" s="282" t="n"/>
      <c r="AN348" s="282" t="n"/>
      <c r="AO348" s="282" t="n"/>
      <c r="AP348" s="282" t="n"/>
      <c r="AQ348" s="282" t="n"/>
      <c r="AR348" s="535" t="n"/>
      <c r="AS348" s="535" t="n"/>
      <c r="AT348" s="282" t="n"/>
      <c r="AU348" s="282" t="n"/>
    </row>
    <row customHeight="1" ht="15.75" r="349" s="452" spans="1:48">
      <c r="A349" s="44" t="n"/>
      <c r="D349" s="535" t="n"/>
      <c r="E349" s="535" t="n"/>
      <c r="F349" s="282" t="n"/>
      <c r="G349" s="282" t="n"/>
      <c r="H349" s="536" t="n"/>
      <c r="I349" s="535" t="n"/>
      <c r="J349" s="282" t="n"/>
      <c r="K349" s="282" t="n"/>
      <c r="L349" s="536" t="n"/>
      <c r="M349" s="535" t="n"/>
      <c r="N349" s="282" t="n"/>
      <c r="O349" s="282" t="n"/>
      <c r="P349" s="535" t="n"/>
      <c r="Q349" s="535" t="n"/>
      <c r="R349" s="282" t="n"/>
      <c r="S349" s="282" t="n"/>
      <c r="T349" s="535" t="n"/>
      <c r="U349" s="535" t="n"/>
      <c r="V349" s="282" t="n"/>
      <c r="W349" s="282" t="n"/>
      <c r="X349" s="536" t="n"/>
      <c r="Y349" s="536" t="n"/>
      <c r="Z349" s="282" t="n"/>
      <c r="AA349" s="282" t="n"/>
      <c r="AB349" s="536" t="n"/>
      <c r="AC349" s="536" t="n"/>
      <c r="AD349" s="282" t="n"/>
      <c r="AE349" s="282" t="n"/>
      <c r="AF349" s="537" t="n"/>
      <c r="AG349" s="537" t="n"/>
      <c r="AH349" s="282" t="n"/>
      <c r="AI349" s="282" t="n"/>
      <c r="AJ349" s="537" t="n"/>
      <c r="AK349" s="537" t="n"/>
      <c r="AL349" s="282" t="n"/>
      <c r="AM349" s="282" t="n"/>
      <c r="AN349" s="282" t="n"/>
      <c r="AO349" s="282" t="n"/>
      <c r="AP349" s="282" t="n"/>
      <c r="AQ349" s="282" t="n"/>
      <c r="AR349" s="535" t="n"/>
      <c r="AS349" s="535" t="n"/>
      <c r="AT349" s="282" t="n"/>
      <c r="AU349" s="282" t="n"/>
    </row>
    <row customHeight="1" ht="15.75" r="350" s="452" spans="1:48">
      <c r="A350" s="44" t="n"/>
      <c r="D350" s="535" t="n"/>
      <c r="E350" s="535" t="n"/>
      <c r="F350" s="282" t="n"/>
      <c r="G350" s="282" t="n"/>
      <c r="H350" s="536" t="n"/>
      <c r="I350" s="535" t="n"/>
      <c r="J350" s="282" t="n"/>
      <c r="K350" s="282" t="n"/>
      <c r="L350" s="536" t="n"/>
      <c r="M350" s="535" t="n"/>
      <c r="N350" s="282" t="n"/>
      <c r="O350" s="282" t="n"/>
      <c r="P350" s="535" t="n"/>
      <c r="Q350" s="535" t="n"/>
      <c r="R350" s="282" t="n"/>
      <c r="S350" s="282" t="n"/>
      <c r="T350" s="535" t="n"/>
      <c r="U350" s="535" t="n"/>
      <c r="V350" s="282" t="n"/>
      <c r="W350" s="282" t="n"/>
      <c r="X350" s="536" t="n"/>
      <c r="Y350" s="536" t="n"/>
      <c r="Z350" s="282" t="n"/>
      <c r="AA350" s="282" t="n"/>
      <c r="AB350" s="536" t="n"/>
      <c r="AC350" s="536" t="n"/>
      <c r="AD350" s="282" t="n"/>
      <c r="AE350" s="282" t="n"/>
      <c r="AF350" s="537" t="n"/>
      <c r="AG350" s="537" t="n"/>
      <c r="AH350" s="282" t="n"/>
      <c r="AI350" s="282" t="n"/>
      <c r="AJ350" s="537" t="n"/>
      <c r="AK350" s="537" t="n"/>
      <c r="AL350" s="282" t="n"/>
      <c r="AM350" s="282" t="n"/>
      <c r="AN350" s="282" t="n"/>
      <c r="AO350" s="282" t="n"/>
      <c r="AP350" s="282" t="n"/>
      <c r="AQ350" s="282" t="n"/>
      <c r="AR350" s="535" t="n"/>
      <c r="AS350" s="535" t="n"/>
      <c r="AT350" s="282" t="n"/>
      <c r="AU350" s="282" t="n"/>
    </row>
    <row customHeight="1" ht="15.75" r="351" s="452" spans="1:48">
      <c r="A351" s="44" t="n"/>
      <c r="D351" s="535" t="n"/>
      <c r="E351" s="535" t="n"/>
      <c r="F351" s="282" t="n"/>
      <c r="G351" s="282" t="n"/>
      <c r="H351" s="536" t="n"/>
      <c r="I351" s="535" t="n"/>
      <c r="J351" s="282" t="n"/>
      <c r="K351" s="282" t="n"/>
      <c r="L351" s="536" t="n"/>
      <c r="M351" s="535" t="n"/>
      <c r="N351" s="282" t="n"/>
      <c r="O351" s="282" t="n"/>
      <c r="P351" s="535" t="n"/>
      <c r="Q351" s="535" t="n"/>
      <c r="R351" s="282" t="n"/>
      <c r="S351" s="282" t="n"/>
      <c r="T351" s="535" t="n"/>
      <c r="U351" s="535" t="n"/>
      <c r="V351" s="282" t="n"/>
      <c r="W351" s="282" t="n"/>
      <c r="X351" s="536" t="n"/>
      <c r="Y351" s="536" t="n"/>
      <c r="Z351" s="282" t="n"/>
      <c r="AA351" s="282" t="n"/>
      <c r="AB351" s="536" t="n"/>
      <c r="AC351" s="536" t="n"/>
      <c r="AD351" s="282" t="n"/>
      <c r="AE351" s="282" t="n"/>
      <c r="AF351" s="537" t="n"/>
      <c r="AG351" s="537" t="n"/>
      <c r="AH351" s="282" t="n"/>
      <c r="AI351" s="282" t="n"/>
      <c r="AJ351" s="537" t="n"/>
      <c r="AK351" s="537" t="n"/>
      <c r="AL351" s="282" t="n"/>
      <c r="AM351" s="282" t="n"/>
      <c r="AN351" s="282" t="n"/>
      <c r="AO351" s="282" t="n"/>
      <c r="AP351" s="282" t="n"/>
      <c r="AQ351" s="282" t="n"/>
      <c r="AR351" s="535" t="n"/>
      <c r="AS351" s="535" t="n"/>
      <c r="AT351" s="282" t="n"/>
      <c r="AU351" s="282" t="n"/>
    </row>
    <row customHeight="1" ht="15.75" r="352" s="452" spans="1:48">
      <c r="A352" s="44" t="n"/>
      <c r="D352" s="535" t="n"/>
      <c r="E352" s="535" t="n"/>
      <c r="F352" s="282" t="n"/>
      <c r="G352" s="282" t="n"/>
      <c r="H352" s="536" t="n"/>
      <c r="I352" s="535" t="n"/>
      <c r="J352" s="282" t="n"/>
      <c r="K352" s="282" t="n"/>
      <c r="L352" s="536" t="n"/>
      <c r="M352" s="535" t="n"/>
      <c r="N352" s="282" t="n"/>
      <c r="O352" s="282" t="n"/>
      <c r="P352" s="535" t="n"/>
      <c r="Q352" s="535" t="n"/>
      <c r="R352" s="282" t="n"/>
      <c r="S352" s="282" t="n"/>
      <c r="T352" s="535" t="n"/>
      <c r="U352" s="535" t="n"/>
      <c r="V352" s="282" t="n"/>
      <c r="W352" s="282" t="n"/>
      <c r="X352" s="536" t="n"/>
      <c r="Y352" s="536" t="n"/>
      <c r="Z352" s="282" t="n"/>
      <c r="AA352" s="282" t="n"/>
      <c r="AB352" s="536" t="n"/>
      <c r="AC352" s="536" t="n"/>
      <c r="AD352" s="282" t="n"/>
      <c r="AE352" s="282" t="n"/>
      <c r="AF352" s="537" t="n"/>
      <c r="AG352" s="537" t="n"/>
      <c r="AH352" s="282" t="n"/>
      <c r="AI352" s="282" t="n"/>
      <c r="AJ352" s="537" t="n"/>
      <c r="AK352" s="537" t="n"/>
      <c r="AL352" s="282" t="n"/>
      <c r="AM352" s="282" t="n"/>
      <c r="AN352" s="282" t="n"/>
      <c r="AO352" s="282" t="n"/>
      <c r="AP352" s="282" t="n"/>
      <c r="AQ352" s="282" t="n"/>
      <c r="AR352" s="535" t="n"/>
      <c r="AS352" s="535" t="n"/>
      <c r="AT352" s="282" t="n"/>
      <c r="AU352" s="282" t="n"/>
    </row>
    <row customHeight="1" ht="15.75" r="353" s="452" spans="1:48">
      <c r="A353" s="44" t="n"/>
      <c r="D353" s="535" t="n"/>
      <c r="E353" s="535" t="n"/>
      <c r="F353" s="282" t="n"/>
      <c r="G353" s="282" t="n"/>
      <c r="H353" s="536" t="n"/>
      <c r="I353" s="535" t="n"/>
      <c r="J353" s="282" t="n"/>
      <c r="K353" s="282" t="n"/>
      <c r="L353" s="536" t="n"/>
      <c r="M353" s="535" t="n"/>
      <c r="N353" s="282" t="n"/>
      <c r="O353" s="282" t="n"/>
      <c r="P353" s="535" t="n"/>
      <c r="Q353" s="535" t="n"/>
      <c r="R353" s="282" t="n"/>
      <c r="S353" s="282" t="n"/>
      <c r="T353" s="535" t="n"/>
      <c r="U353" s="535" t="n"/>
      <c r="V353" s="282" t="n"/>
      <c r="W353" s="282" t="n"/>
      <c r="X353" s="536" t="n"/>
      <c r="Y353" s="536" t="n"/>
      <c r="Z353" s="282" t="n"/>
      <c r="AA353" s="282" t="n"/>
      <c r="AB353" s="536" t="n"/>
      <c r="AC353" s="536" t="n"/>
      <c r="AD353" s="282" t="n"/>
      <c r="AE353" s="282" t="n"/>
      <c r="AF353" s="537" t="n"/>
      <c r="AG353" s="537" t="n"/>
      <c r="AH353" s="282" t="n"/>
      <c r="AI353" s="282" t="n"/>
      <c r="AJ353" s="537" t="n"/>
      <c r="AK353" s="537" t="n"/>
      <c r="AL353" s="282" t="n"/>
      <c r="AM353" s="282" t="n"/>
      <c r="AN353" s="282" t="n"/>
      <c r="AO353" s="282" t="n"/>
      <c r="AP353" s="282" t="n"/>
      <c r="AQ353" s="282" t="n"/>
      <c r="AR353" s="535" t="n"/>
      <c r="AS353" s="535" t="n"/>
      <c r="AT353" s="282" t="n"/>
      <c r="AU353" s="282" t="n"/>
    </row>
    <row customHeight="1" ht="15.75" r="354" s="452" spans="1:48">
      <c r="A354" s="44" t="n"/>
      <c r="D354" s="535" t="n"/>
      <c r="E354" s="535" t="n"/>
      <c r="F354" s="282" t="n"/>
      <c r="G354" s="282" t="n"/>
      <c r="H354" s="536" t="n"/>
      <c r="I354" s="535" t="n"/>
      <c r="J354" s="282" t="n"/>
      <c r="K354" s="282" t="n"/>
      <c r="L354" s="536" t="n"/>
      <c r="M354" s="535" t="n"/>
      <c r="N354" s="282" t="n"/>
      <c r="O354" s="282" t="n"/>
      <c r="P354" s="535" t="n"/>
      <c r="Q354" s="535" t="n"/>
      <c r="R354" s="282" t="n"/>
      <c r="S354" s="282" t="n"/>
      <c r="T354" s="535" t="n"/>
      <c r="U354" s="535" t="n"/>
      <c r="V354" s="282" t="n"/>
      <c r="W354" s="282" t="n"/>
      <c r="X354" s="536" t="n"/>
      <c r="Y354" s="536" t="n"/>
      <c r="Z354" s="282" t="n"/>
      <c r="AA354" s="282" t="n"/>
      <c r="AB354" s="536" t="n"/>
      <c r="AC354" s="536" t="n"/>
      <c r="AD354" s="282" t="n"/>
      <c r="AE354" s="282" t="n"/>
      <c r="AF354" s="537" t="n"/>
      <c r="AG354" s="537" t="n"/>
      <c r="AH354" s="282" t="n"/>
      <c r="AI354" s="282" t="n"/>
      <c r="AJ354" s="537" t="n"/>
      <c r="AK354" s="537" t="n"/>
      <c r="AL354" s="282" t="n"/>
      <c r="AM354" s="282" t="n"/>
      <c r="AN354" s="282" t="n"/>
      <c r="AO354" s="282" t="n"/>
      <c r="AP354" s="282" t="n"/>
      <c r="AQ354" s="282" t="n"/>
      <c r="AR354" s="535" t="n"/>
      <c r="AS354" s="535" t="n"/>
      <c r="AT354" s="282" t="n"/>
      <c r="AU354" s="282" t="n"/>
    </row>
    <row customHeight="1" ht="15.75" r="355" s="452" spans="1:48">
      <c r="A355" s="44" t="n"/>
      <c r="D355" s="535" t="n"/>
      <c r="E355" s="535" t="n"/>
      <c r="F355" s="282" t="n"/>
      <c r="G355" s="282" t="n"/>
      <c r="H355" s="536" t="n"/>
      <c r="I355" s="535" t="n"/>
      <c r="J355" s="282" t="n"/>
      <c r="K355" s="282" t="n"/>
      <c r="L355" s="536" t="n"/>
      <c r="M355" s="535" t="n"/>
      <c r="N355" s="282" t="n"/>
      <c r="O355" s="282" t="n"/>
      <c r="P355" s="535" t="n"/>
      <c r="Q355" s="535" t="n"/>
      <c r="R355" s="282" t="n"/>
      <c r="S355" s="282" t="n"/>
      <c r="T355" s="535" t="n"/>
      <c r="U355" s="535" t="n"/>
      <c r="V355" s="282" t="n"/>
      <c r="W355" s="282" t="n"/>
      <c r="X355" s="536" t="n"/>
      <c r="Y355" s="536" t="n"/>
      <c r="Z355" s="282" t="n"/>
      <c r="AA355" s="282" t="n"/>
      <c r="AB355" s="536" t="n"/>
      <c r="AC355" s="536" t="n"/>
      <c r="AD355" s="282" t="n"/>
      <c r="AE355" s="282" t="n"/>
      <c r="AF355" s="537" t="n"/>
      <c r="AG355" s="537" t="n"/>
      <c r="AH355" s="282" t="n"/>
      <c r="AI355" s="282" t="n"/>
      <c r="AJ355" s="537" t="n"/>
      <c r="AK355" s="537" t="n"/>
      <c r="AL355" s="282" t="n"/>
      <c r="AM355" s="282" t="n"/>
      <c r="AN355" s="282" t="n"/>
      <c r="AO355" s="282" t="n"/>
      <c r="AP355" s="282" t="n"/>
      <c r="AQ355" s="282" t="n"/>
      <c r="AR355" s="535" t="n"/>
      <c r="AS355" s="535" t="n"/>
      <c r="AT355" s="282" t="n"/>
      <c r="AU355" s="282" t="n"/>
    </row>
    <row customHeight="1" ht="15.75" r="356" s="452" spans="1:48">
      <c r="A356" s="44" t="n"/>
      <c r="D356" s="535" t="n"/>
      <c r="E356" s="535" t="n"/>
      <c r="F356" s="282" t="n"/>
      <c r="G356" s="282" t="n"/>
      <c r="H356" s="536" t="n"/>
      <c r="I356" s="535" t="n"/>
      <c r="J356" s="282" t="n"/>
      <c r="K356" s="282" t="n"/>
      <c r="L356" s="536" t="n"/>
      <c r="M356" s="535" t="n"/>
      <c r="N356" s="282" t="n"/>
      <c r="O356" s="282" t="n"/>
      <c r="P356" s="535" t="n"/>
      <c r="Q356" s="535" t="n"/>
      <c r="R356" s="282" t="n"/>
      <c r="S356" s="282" t="n"/>
      <c r="T356" s="535" t="n"/>
      <c r="U356" s="535" t="n"/>
      <c r="V356" s="282" t="n"/>
      <c r="W356" s="282" t="n"/>
      <c r="X356" s="536" t="n"/>
      <c r="Y356" s="536" t="n"/>
      <c r="Z356" s="282" t="n"/>
      <c r="AA356" s="282" t="n"/>
      <c r="AB356" s="536" t="n"/>
      <c r="AC356" s="536" t="n"/>
      <c r="AD356" s="282" t="n"/>
      <c r="AE356" s="282" t="n"/>
      <c r="AF356" s="537" t="n"/>
      <c r="AG356" s="537" t="n"/>
      <c r="AH356" s="282" t="n"/>
      <c r="AI356" s="282" t="n"/>
      <c r="AJ356" s="537" t="n"/>
      <c r="AK356" s="537" t="n"/>
      <c r="AL356" s="282" t="n"/>
      <c r="AM356" s="282" t="n"/>
      <c r="AN356" s="282" t="n"/>
      <c r="AO356" s="282" t="n"/>
      <c r="AP356" s="282" t="n"/>
      <c r="AQ356" s="282" t="n"/>
      <c r="AR356" s="535" t="n"/>
      <c r="AS356" s="535" t="n"/>
      <c r="AT356" s="282" t="n"/>
      <c r="AU356" s="282" t="n"/>
    </row>
    <row customHeight="1" ht="15.75" r="357" s="452" spans="1:48">
      <c r="A357" s="44" t="n"/>
      <c r="D357" s="535" t="n"/>
      <c r="E357" s="535" t="n"/>
      <c r="F357" s="282" t="n"/>
      <c r="G357" s="282" t="n"/>
      <c r="H357" s="536" t="n"/>
      <c r="I357" s="535" t="n"/>
      <c r="J357" s="282" t="n"/>
      <c r="K357" s="282" t="n"/>
      <c r="L357" s="536" t="n"/>
      <c r="M357" s="535" t="n"/>
      <c r="N357" s="282" t="n"/>
      <c r="O357" s="282" t="n"/>
      <c r="P357" s="535" t="n"/>
      <c r="Q357" s="535" t="n"/>
      <c r="R357" s="282" t="n"/>
      <c r="S357" s="282" t="n"/>
      <c r="T357" s="535" t="n"/>
      <c r="U357" s="535" t="n"/>
      <c r="V357" s="282" t="n"/>
      <c r="W357" s="282" t="n"/>
      <c r="X357" s="536" t="n"/>
      <c r="Y357" s="536" t="n"/>
      <c r="Z357" s="282" t="n"/>
      <c r="AA357" s="282" t="n"/>
      <c r="AB357" s="536" t="n"/>
      <c r="AC357" s="536" t="n"/>
      <c r="AD357" s="282" t="n"/>
      <c r="AE357" s="282" t="n"/>
      <c r="AF357" s="537" t="n"/>
      <c r="AG357" s="537" t="n"/>
      <c r="AH357" s="282" t="n"/>
      <c r="AI357" s="282" t="n"/>
      <c r="AJ357" s="537" t="n"/>
      <c r="AK357" s="537" t="n"/>
      <c r="AL357" s="282" t="n"/>
      <c r="AM357" s="282" t="n"/>
      <c r="AN357" s="282" t="n"/>
      <c r="AO357" s="282" t="n"/>
      <c r="AP357" s="282" t="n"/>
      <c r="AQ357" s="282" t="n"/>
      <c r="AR357" s="535" t="n"/>
      <c r="AS357" s="535" t="n"/>
      <c r="AT357" s="282" t="n"/>
      <c r="AU357" s="282" t="n"/>
    </row>
    <row customHeight="1" ht="15.75" r="358" s="452" spans="1:48">
      <c r="A358" s="44" t="n"/>
      <c r="D358" s="535" t="n"/>
      <c r="E358" s="535" t="n"/>
      <c r="F358" s="282" t="n"/>
      <c r="G358" s="282" t="n"/>
      <c r="H358" s="536" t="n"/>
      <c r="I358" s="535" t="n"/>
      <c r="J358" s="282" t="n"/>
      <c r="K358" s="282" t="n"/>
      <c r="L358" s="536" t="n"/>
      <c r="M358" s="535" t="n"/>
      <c r="N358" s="282" t="n"/>
      <c r="O358" s="282" t="n"/>
      <c r="P358" s="535" t="n"/>
      <c r="Q358" s="535" t="n"/>
      <c r="R358" s="282" t="n"/>
      <c r="S358" s="282" t="n"/>
      <c r="T358" s="535" t="n"/>
      <c r="U358" s="535" t="n"/>
      <c r="V358" s="282" t="n"/>
      <c r="W358" s="282" t="n"/>
      <c r="X358" s="536" t="n"/>
      <c r="Y358" s="536" t="n"/>
      <c r="Z358" s="282" t="n"/>
      <c r="AA358" s="282" t="n"/>
      <c r="AB358" s="536" t="n"/>
      <c r="AC358" s="536" t="n"/>
      <c r="AD358" s="282" t="n"/>
      <c r="AE358" s="282" t="n"/>
      <c r="AF358" s="537" t="n"/>
      <c r="AG358" s="537" t="n"/>
      <c r="AH358" s="282" t="n"/>
      <c r="AI358" s="282" t="n"/>
      <c r="AJ358" s="537" t="n"/>
      <c r="AK358" s="537" t="n"/>
      <c r="AL358" s="282" t="n"/>
      <c r="AM358" s="282" t="n"/>
      <c r="AN358" s="282" t="n"/>
      <c r="AO358" s="282" t="n"/>
      <c r="AP358" s="282" t="n"/>
      <c r="AQ358" s="282" t="n"/>
      <c r="AR358" s="535" t="n"/>
      <c r="AS358" s="535" t="n"/>
      <c r="AT358" s="282" t="n"/>
      <c r="AU358" s="282" t="n"/>
    </row>
    <row customHeight="1" ht="15.75" r="359" s="452" spans="1:48">
      <c r="A359" s="44" t="n"/>
      <c r="D359" s="535" t="n"/>
      <c r="E359" s="535" t="n"/>
      <c r="F359" s="282" t="n"/>
      <c r="G359" s="282" t="n"/>
      <c r="H359" s="536" t="n"/>
      <c r="I359" s="535" t="n"/>
      <c r="J359" s="282" t="n"/>
      <c r="K359" s="282" t="n"/>
      <c r="L359" s="536" t="n"/>
      <c r="M359" s="535" t="n"/>
      <c r="N359" s="282" t="n"/>
      <c r="O359" s="282" t="n"/>
      <c r="P359" s="535" t="n"/>
      <c r="Q359" s="535" t="n"/>
      <c r="R359" s="282" t="n"/>
      <c r="S359" s="282" t="n"/>
      <c r="T359" s="535" t="n"/>
      <c r="U359" s="535" t="n"/>
      <c r="V359" s="282" t="n"/>
      <c r="W359" s="282" t="n"/>
      <c r="X359" s="536" t="n"/>
      <c r="Y359" s="536" t="n"/>
      <c r="Z359" s="282" t="n"/>
      <c r="AA359" s="282" t="n"/>
      <c r="AB359" s="536" t="n"/>
      <c r="AC359" s="536" t="n"/>
      <c r="AD359" s="282" t="n"/>
      <c r="AE359" s="282" t="n"/>
      <c r="AF359" s="537" t="n"/>
      <c r="AG359" s="537" t="n"/>
      <c r="AH359" s="282" t="n"/>
      <c r="AI359" s="282" t="n"/>
      <c r="AJ359" s="537" t="n"/>
      <c r="AK359" s="537" t="n"/>
      <c r="AL359" s="282" t="n"/>
      <c r="AM359" s="282" t="n"/>
      <c r="AN359" s="282" t="n"/>
      <c r="AO359" s="282" t="n"/>
      <c r="AP359" s="282" t="n"/>
      <c r="AQ359" s="282" t="n"/>
      <c r="AR359" s="535" t="n"/>
      <c r="AS359" s="535" t="n"/>
      <c r="AT359" s="282" t="n"/>
      <c r="AU359" s="282" t="n"/>
    </row>
    <row customHeight="1" ht="15.75" r="360" s="452" spans="1:48">
      <c r="A360" s="44" t="n"/>
      <c r="D360" s="535" t="n"/>
      <c r="E360" s="535" t="n"/>
      <c r="F360" s="282" t="n"/>
      <c r="G360" s="282" t="n"/>
      <c r="H360" s="536" t="n"/>
      <c r="I360" s="535" t="n"/>
      <c r="J360" s="282" t="n"/>
      <c r="K360" s="282" t="n"/>
      <c r="L360" s="536" t="n"/>
      <c r="M360" s="535" t="n"/>
      <c r="N360" s="282" t="n"/>
      <c r="O360" s="282" t="n"/>
      <c r="P360" s="535" t="n"/>
      <c r="Q360" s="535" t="n"/>
      <c r="R360" s="282" t="n"/>
      <c r="S360" s="282" t="n"/>
      <c r="T360" s="535" t="n"/>
      <c r="U360" s="535" t="n"/>
      <c r="V360" s="282" t="n"/>
      <c r="W360" s="282" t="n"/>
      <c r="X360" s="536" t="n"/>
      <c r="Y360" s="536" t="n"/>
      <c r="Z360" s="282" t="n"/>
      <c r="AA360" s="282" t="n"/>
      <c r="AB360" s="536" t="n"/>
      <c r="AC360" s="536" t="n"/>
      <c r="AD360" s="282" t="n"/>
      <c r="AE360" s="282" t="n"/>
      <c r="AF360" s="537" t="n"/>
      <c r="AG360" s="537" t="n"/>
      <c r="AH360" s="282" t="n"/>
      <c r="AI360" s="282" t="n"/>
      <c r="AJ360" s="537" t="n"/>
      <c r="AK360" s="537" t="n"/>
      <c r="AL360" s="282" t="n"/>
      <c r="AM360" s="282" t="n"/>
      <c r="AN360" s="282" t="n"/>
      <c r="AO360" s="282" t="n"/>
      <c r="AP360" s="282" t="n"/>
      <c r="AQ360" s="282" t="n"/>
      <c r="AR360" s="535" t="n"/>
      <c r="AS360" s="535" t="n"/>
      <c r="AT360" s="282" t="n"/>
      <c r="AU360" s="282" t="n"/>
    </row>
    <row customHeight="1" ht="15.75" r="361" s="452" spans="1:48">
      <c r="A361" s="44" t="n"/>
      <c r="D361" s="535" t="n"/>
      <c r="E361" s="535" t="n"/>
      <c r="F361" s="282" t="n"/>
      <c r="G361" s="282" t="n"/>
      <c r="H361" s="536" t="n"/>
      <c r="I361" s="535" t="n"/>
      <c r="J361" s="282" t="n"/>
      <c r="K361" s="282" t="n"/>
      <c r="L361" s="536" t="n"/>
      <c r="M361" s="535" t="n"/>
      <c r="N361" s="282" t="n"/>
      <c r="O361" s="282" t="n"/>
      <c r="P361" s="535" t="n"/>
      <c r="Q361" s="535" t="n"/>
      <c r="R361" s="282" t="n"/>
      <c r="S361" s="282" t="n"/>
      <c r="T361" s="535" t="n"/>
      <c r="U361" s="535" t="n"/>
      <c r="V361" s="282" t="n"/>
      <c r="W361" s="282" t="n"/>
      <c r="X361" s="536" t="n"/>
      <c r="Y361" s="536" t="n"/>
      <c r="Z361" s="282" t="n"/>
      <c r="AA361" s="282" t="n"/>
      <c r="AB361" s="536" t="n"/>
      <c r="AC361" s="536" t="n"/>
      <c r="AD361" s="282" t="n"/>
      <c r="AE361" s="282" t="n"/>
      <c r="AF361" s="537" t="n"/>
      <c r="AG361" s="537" t="n"/>
      <c r="AH361" s="282" t="n"/>
      <c r="AI361" s="282" t="n"/>
      <c r="AJ361" s="537" t="n"/>
      <c r="AK361" s="537" t="n"/>
      <c r="AL361" s="282" t="n"/>
      <c r="AM361" s="282" t="n"/>
      <c r="AN361" s="282" t="n"/>
      <c r="AO361" s="282" t="n"/>
      <c r="AP361" s="282" t="n"/>
      <c r="AQ361" s="282" t="n"/>
      <c r="AR361" s="535" t="n"/>
      <c r="AS361" s="535" t="n"/>
      <c r="AT361" s="282" t="n"/>
      <c r="AU361" s="282" t="n"/>
    </row>
    <row customHeight="1" ht="15.75" r="362" s="452" spans="1:48">
      <c r="A362" s="44" t="n"/>
      <c r="D362" s="535" t="n"/>
      <c r="E362" s="535" t="n"/>
      <c r="F362" s="282" t="n"/>
      <c r="G362" s="282" t="n"/>
      <c r="H362" s="536" t="n"/>
      <c r="I362" s="535" t="n"/>
      <c r="J362" s="282" t="n"/>
      <c r="K362" s="282" t="n"/>
      <c r="L362" s="536" t="n"/>
      <c r="M362" s="535" t="n"/>
      <c r="N362" s="282" t="n"/>
      <c r="O362" s="282" t="n"/>
      <c r="P362" s="535" t="n"/>
      <c r="Q362" s="535" t="n"/>
      <c r="R362" s="282" t="n"/>
      <c r="S362" s="282" t="n"/>
      <c r="T362" s="535" t="n"/>
      <c r="U362" s="535" t="n"/>
      <c r="V362" s="282" t="n"/>
      <c r="W362" s="282" t="n"/>
      <c r="X362" s="536" t="n"/>
      <c r="Y362" s="536" t="n"/>
      <c r="Z362" s="282" t="n"/>
      <c r="AA362" s="282" t="n"/>
      <c r="AB362" s="536" t="n"/>
      <c r="AC362" s="536" t="n"/>
      <c r="AD362" s="282" t="n"/>
      <c r="AE362" s="282" t="n"/>
      <c r="AF362" s="537" t="n"/>
      <c r="AG362" s="537" t="n"/>
      <c r="AH362" s="282" t="n"/>
      <c r="AI362" s="282" t="n"/>
      <c r="AJ362" s="537" t="n"/>
      <c r="AK362" s="537" t="n"/>
      <c r="AL362" s="282" t="n"/>
      <c r="AM362" s="282" t="n"/>
      <c r="AN362" s="282" t="n"/>
      <c r="AO362" s="282" t="n"/>
      <c r="AP362" s="282" t="n"/>
      <c r="AQ362" s="282" t="n"/>
      <c r="AR362" s="535" t="n"/>
      <c r="AS362" s="535" t="n"/>
      <c r="AT362" s="282" t="n"/>
      <c r="AU362" s="282" t="n"/>
    </row>
    <row customHeight="1" ht="15.75" r="363" s="452" spans="1:48">
      <c r="A363" s="44" t="n"/>
      <c r="D363" s="535" t="n"/>
      <c r="E363" s="535" t="n"/>
      <c r="F363" s="282" t="n"/>
      <c r="G363" s="282" t="n"/>
      <c r="H363" s="536" t="n"/>
      <c r="I363" s="535" t="n"/>
      <c r="J363" s="282" t="n"/>
      <c r="K363" s="282" t="n"/>
      <c r="L363" s="536" t="n"/>
      <c r="M363" s="535" t="n"/>
      <c r="N363" s="282" t="n"/>
      <c r="O363" s="282" t="n"/>
      <c r="P363" s="535" t="n"/>
      <c r="Q363" s="535" t="n"/>
      <c r="R363" s="282" t="n"/>
      <c r="S363" s="282" t="n"/>
      <c r="T363" s="535" t="n"/>
      <c r="U363" s="535" t="n"/>
      <c r="V363" s="282" t="n"/>
      <c r="W363" s="282" t="n"/>
      <c r="X363" s="536" t="n"/>
      <c r="Y363" s="536" t="n"/>
      <c r="Z363" s="282" t="n"/>
      <c r="AA363" s="282" t="n"/>
      <c r="AB363" s="536" t="n"/>
      <c r="AC363" s="536" t="n"/>
      <c r="AD363" s="282" t="n"/>
      <c r="AE363" s="282" t="n"/>
      <c r="AF363" s="537" t="n"/>
      <c r="AG363" s="537" t="n"/>
      <c r="AH363" s="282" t="n"/>
      <c r="AI363" s="282" t="n"/>
      <c r="AJ363" s="537" t="n"/>
      <c r="AK363" s="537" t="n"/>
      <c r="AL363" s="282" t="n"/>
      <c r="AM363" s="282" t="n"/>
      <c r="AN363" s="282" t="n"/>
      <c r="AO363" s="282" t="n"/>
      <c r="AP363" s="282" t="n"/>
      <c r="AQ363" s="282" t="n"/>
      <c r="AR363" s="535" t="n"/>
      <c r="AS363" s="535" t="n"/>
      <c r="AT363" s="282" t="n"/>
      <c r="AU363" s="282" t="n"/>
    </row>
    <row customHeight="1" ht="15.75" r="364" s="452" spans="1:48">
      <c r="A364" s="44" t="n"/>
      <c r="D364" s="535" t="n"/>
      <c r="E364" s="535" t="n"/>
      <c r="F364" s="282" t="n"/>
      <c r="G364" s="282" t="n"/>
      <c r="H364" s="536" t="n"/>
      <c r="I364" s="535" t="n"/>
      <c r="J364" s="282" t="n"/>
      <c r="K364" s="282" t="n"/>
      <c r="L364" s="536" t="n"/>
      <c r="M364" s="535" t="n"/>
      <c r="N364" s="282" t="n"/>
      <c r="O364" s="282" t="n"/>
      <c r="P364" s="535" t="n"/>
      <c r="Q364" s="535" t="n"/>
      <c r="R364" s="282" t="n"/>
      <c r="S364" s="282" t="n"/>
      <c r="T364" s="535" t="n"/>
      <c r="U364" s="535" t="n"/>
      <c r="V364" s="282" t="n"/>
      <c r="W364" s="282" t="n"/>
      <c r="X364" s="536" t="n"/>
      <c r="Y364" s="536" t="n"/>
      <c r="Z364" s="282" t="n"/>
      <c r="AA364" s="282" t="n"/>
      <c r="AB364" s="536" t="n"/>
      <c r="AC364" s="536" t="n"/>
      <c r="AD364" s="282" t="n"/>
      <c r="AE364" s="282" t="n"/>
      <c r="AF364" s="537" t="n"/>
      <c r="AG364" s="537" t="n"/>
      <c r="AH364" s="282" t="n"/>
      <c r="AI364" s="282" t="n"/>
      <c r="AJ364" s="537" t="n"/>
      <c r="AK364" s="537" t="n"/>
      <c r="AL364" s="282" t="n"/>
      <c r="AM364" s="282" t="n"/>
      <c r="AN364" s="282" t="n"/>
      <c r="AO364" s="282" t="n"/>
      <c r="AP364" s="282" t="n"/>
      <c r="AQ364" s="282" t="n"/>
      <c r="AR364" s="535" t="n"/>
      <c r="AS364" s="535" t="n"/>
      <c r="AT364" s="282" t="n"/>
      <c r="AU364" s="282" t="n"/>
    </row>
    <row customHeight="1" ht="15.75" r="365" s="452" spans="1:48">
      <c r="A365" s="44" t="n"/>
      <c r="D365" s="535" t="n"/>
      <c r="E365" s="535" t="n"/>
      <c r="F365" s="282" t="n"/>
      <c r="G365" s="282" t="n"/>
      <c r="H365" s="536" t="n"/>
      <c r="I365" s="535" t="n"/>
      <c r="J365" s="282" t="n"/>
      <c r="K365" s="282" t="n"/>
      <c r="L365" s="536" t="n"/>
      <c r="M365" s="535" t="n"/>
      <c r="N365" s="282" t="n"/>
      <c r="O365" s="282" t="n"/>
      <c r="P365" s="535" t="n"/>
      <c r="Q365" s="535" t="n"/>
      <c r="R365" s="282" t="n"/>
      <c r="S365" s="282" t="n"/>
      <c r="T365" s="535" t="n"/>
      <c r="U365" s="535" t="n"/>
      <c r="V365" s="282" t="n"/>
      <c r="W365" s="282" t="n"/>
      <c r="X365" s="536" t="n"/>
      <c r="Y365" s="536" t="n"/>
      <c r="Z365" s="282" t="n"/>
      <c r="AA365" s="282" t="n"/>
      <c r="AB365" s="536" t="n"/>
      <c r="AC365" s="536" t="n"/>
      <c r="AD365" s="282" t="n"/>
      <c r="AE365" s="282" t="n"/>
      <c r="AF365" s="537" t="n"/>
      <c r="AG365" s="537" t="n"/>
      <c r="AH365" s="282" t="n"/>
      <c r="AI365" s="282" t="n"/>
      <c r="AJ365" s="537" t="n"/>
      <c r="AK365" s="537" t="n"/>
      <c r="AL365" s="282" t="n"/>
      <c r="AM365" s="282" t="n"/>
      <c r="AN365" s="282" t="n"/>
      <c r="AO365" s="282" t="n"/>
      <c r="AP365" s="282" t="n"/>
      <c r="AQ365" s="282" t="n"/>
      <c r="AR365" s="535" t="n"/>
      <c r="AS365" s="535" t="n"/>
      <c r="AT365" s="282" t="n"/>
      <c r="AU365" s="282" t="n"/>
    </row>
    <row customHeight="1" ht="15.75" r="366" s="452" spans="1:48">
      <c r="A366" s="44" t="n"/>
      <c r="D366" s="535" t="n"/>
      <c r="E366" s="535" t="n"/>
      <c r="F366" s="282" t="n"/>
      <c r="G366" s="282" t="n"/>
      <c r="H366" s="536" t="n"/>
      <c r="I366" s="535" t="n"/>
      <c r="J366" s="282" t="n"/>
      <c r="K366" s="282" t="n"/>
      <c r="L366" s="536" t="n"/>
      <c r="M366" s="535" t="n"/>
      <c r="N366" s="282" t="n"/>
      <c r="O366" s="282" t="n"/>
      <c r="P366" s="535" t="n"/>
      <c r="Q366" s="535" t="n"/>
      <c r="R366" s="282" t="n"/>
      <c r="S366" s="282" t="n"/>
      <c r="T366" s="535" t="n"/>
      <c r="U366" s="535" t="n"/>
      <c r="V366" s="282" t="n"/>
      <c r="W366" s="282" t="n"/>
      <c r="X366" s="536" t="n"/>
      <c r="Y366" s="536" t="n"/>
      <c r="Z366" s="282" t="n"/>
      <c r="AA366" s="282" t="n"/>
      <c r="AB366" s="536" t="n"/>
      <c r="AC366" s="536" t="n"/>
      <c r="AD366" s="282" t="n"/>
      <c r="AE366" s="282" t="n"/>
      <c r="AF366" s="537" t="n"/>
      <c r="AG366" s="537" t="n"/>
      <c r="AH366" s="282" t="n"/>
      <c r="AI366" s="282" t="n"/>
      <c r="AJ366" s="537" t="n"/>
      <c r="AK366" s="537" t="n"/>
      <c r="AL366" s="282" t="n"/>
      <c r="AM366" s="282" t="n"/>
      <c r="AN366" s="282" t="n"/>
      <c r="AO366" s="282" t="n"/>
      <c r="AP366" s="282" t="n"/>
      <c r="AQ366" s="282" t="n"/>
      <c r="AR366" s="535" t="n"/>
      <c r="AS366" s="535" t="n"/>
      <c r="AT366" s="282" t="n"/>
      <c r="AU366" s="282" t="n"/>
    </row>
    <row customHeight="1" ht="15.75" r="367" s="452" spans="1:48">
      <c r="A367" s="44" t="n"/>
      <c r="D367" s="535" t="n"/>
      <c r="E367" s="535" t="n"/>
      <c r="F367" s="282" t="n"/>
      <c r="G367" s="282" t="n"/>
      <c r="H367" s="536" t="n"/>
      <c r="I367" s="535" t="n"/>
      <c r="J367" s="282" t="n"/>
      <c r="K367" s="282" t="n"/>
      <c r="L367" s="536" t="n"/>
      <c r="M367" s="535" t="n"/>
      <c r="N367" s="282" t="n"/>
      <c r="O367" s="282" t="n"/>
      <c r="P367" s="535" t="n"/>
      <c r="Q367" s="535" t="n"/>
      <c r="R367" s="282" t="n"/>
      <c r="S367" s="282" t="n"/>
      <c r="T367" s="535" t="n"/>
      <c r="U367" s="535" t="n"/>
      <c r="V367" s="282" t="n"/>
      <c r="W367" s="282" t="n"/>
      <c r="X367" s="536" t="n"/>
      <c r="Y367" s="536" t="n"/>
      <c r="Z367" s="282" t="n"/>
      <c r="AA367" s="282" t="n"/>
      <c r="AB367" s="536" t="n"/>
      <c r="AC367" s="536" t="n"/>
      <c r="AD367" s="282" t="n"/>
      <c r="AE367" s="282" t="n"/>
      <c r="AF367" s="537" t="n"/>
      <c r="AG367" s="537" t="n"/>
      <c r="AH367" s="282" t="n"/>
      <c r="AI367" s="282" t="n"/>
      <c r="AJ367" s="537" t="n"/>
      <c r="AK367" s="537" t="n"/>
      <c r="AL367" s="282" t="n"/>
      <c r="AM367" s="282" t="n"/>
      <c r="AN367" s="282" t="n"/>
      <c r="AO367" s="282" t="n"/>
      <c r="AP367" s="282" t="n"/>
      <c r="AQ367" s="282" t="n"/>
      <c r="AR367" s="535" t="n"/>
      <c r="AS367" s="535" t="n"/>
      <c r="AT367" s="282" t="n"/>
      <c r="AU367" s="282" t="n"/>
    </row>
    <row customHeight="1" ht="15.75" r="368" s="452" spans="1:48">
      <c r="A368" s="44" t="n"/>
      <c r="D368" s="535" t="n"/>
      <c r="E368" s="535" t="n"/>
      <c r="F368" s="282" t="n"/>
      <c r="G368" s="282" t="n"/>
      <c r="H368" s="536" t="n"/>
      <c r="I368" s="535" t="n"/>
      <c r="J368" s="282" t="n"/>
      <c r="K368" s="282" t="n"/>
      <c r="L368" s="536" t="n"/>
      <c r="M368" s="535" t="n"/>
      <c r="N368" s="282" t="n"/>
      <c r="O368" s="282" t="n"/>
      <c r="P368" s="535" t="n"/>
      <c r="Q368" s="535" t="n"/>
      <c r="R368" s="282" t="n"/>
      <c r="S368" s="282" t="n"/>
      <c r="T368" s="535" t="n"/>
      <c r="U368" s="535" t="n"/>
      <c r="V368" s="282" t="n"/>
      <c r="W368" s="282" t="n"/>
      <c r="X368" s="536" t="n"/>
      <c r="Y368" s="536" t="n"/>
      <c r="Z368" s="282" t="n"/>
      <c r="AA368" s="282" t="n"/>
      <c r="AB368" s="536" t="n"/>
      <c r="AC368" s="536" t="n"/>
      <c r="AD368" s="282" t="n"/>
      <c r="AE368" s="282" t="n"/>
      <c r="AF368" s="537" t="n"/>
      <c r="AG368" s="537" t="n"/>
      <c r="AH368" s="282" t="n"/>
      <c r="AI368" s="282" t="n"/>
      <c r="AJ368" s="537" t="n"/>
      <c r="AK368" s="537" t="n"/>
      <c r="AL368" s="282" t="n"/>
      <c r="AM368" s="282" t="n"/>
      <c r="AN368" s="282" t="n"/>
      <c r="AO368" s="282" t="n"/>
      <c r="AP368" s="282" t="n"/>
      <c r="AQ368" s="282" t="n"/>
      <c r="AR368" s="535" t="n"/>
      <c r="AS368" s="535" t="n"/>
      <c r="AT368" s="282" t="n"/>
      <c r="AU368" s="282" t="n"/>
    </row>
    <row customHeight="1" ht="15.75" r="369" s="452" spans="1:48">
      <c r="A369" s="44" t="n"/>
      <c r="D369" s="535" t="n"/>
      <c r="E369" s="535" t="n"/>
      <c r="F369" s="282" t="n"/>
      <c r="G369" s="282" t="n"/>
      <c r="H369" s="536" t="n"/>
      <c r="I369" s="535" t="n"/>
      <c r="J369" s="282" t="n"/>
      <c r="K369" s="282" t="n"/>
      <c r="L369" s="536" t="n"/>
      <c r="M369" s="535" t="n"/>
      <c r="N369" s="282" t="n"/>
      <c r="O369" s="282" t="n"/>
      <c r="P369" s="535" t="n"/>
      <c r="Q369" s="535" t="n"/>
      <c r="R369" s="282" t="n"/>
      <c r="S369" s="282" t="n"/>
      <c r="T369" s="535" t="n"/>
      <c r="U369" s="535" t="n"/>
      <c r="V369" s="282" t="n"/>
      <c r="W369" s="282" t="n"/>
      <c r="X369" s="536" t="n"/>
      <c r="Y369" s="536" t="n"/>
      <c r="Z369" s="282" t="n"/>
      <c r="AA369" s="282" t="n"/>
      <c r="AB369" s="536" t="n"/>
      <c r="AC369" s="536" t="n"/>
      <c r="AD369" s="282" t="n"/>
      <c r="AE369" s="282" t="n"/>
      <c r="AF369" s="537" t="n"/>
      <c r="AG369" s="537" t="n"/>
      <c r="AH369" s="282" t="n"/>
      <c r="AI369" s="282" t="n"/>
      <c r="AJ369" s="537" t="n"/>
      <c r="AK369" s="537" t="n"/>
      <c r="AL369" s="282" t="n"/>
      <c r="AM369" s="282" t="n"/>
      <c r="AN369" s="282" t="n"/>
      <c r="AO369" s="282" t="n"/>
      <c r="AP369" s="282" t="n"/>
      <c r="AQ369" s="282" t="n"/>
      <c r="AR369" s="535" t="n"/>
      <c r="AS369" s="535" t="n"/>
      <c r="AT369" s="282" t="n"/>
      <c r="AU369" s="282" t="n"/>
    </row>
    <row customHeight="1" ht="15.75" r="370" s="452" spans="1:48">
      <c r="A370" s="44" t="n"/>
      <c r="D370" s="535" t="n"/>
      <c r="E370" s="535" t="n"/>
      <c r="F370" s="282" t="n"/>
      <c r="G370" s="282" t="n"/>
      <c r="H370" s="536" t="n"/>
      <c r="I370" s="535" t="n"/>
      <c r="J370" s="282" t="n"/>
      <c r="K370" s="282" t="n"/>
      <c r="L370" s="536" t="n"/>
      <c r="M370" s="535" t="n"/>
      <c r="N370" s="282" t="n"/>
      <c r="O370" s="282" t="n"/>
      <c r="P370" s="535" t="n"/>
      <c r="Q370" s="535" t="n"/>
      <c r="R370" s="282" t="n"/>
      <c r="S370" s="282" t="n"/>
      <c r="T370" s="535" t="n"/>
      <c r="U370" s="535" t="n"/>
      <c r="V370" s="282" t="n"/>
      <c r="W370" s="282" t="n"/>
      <c r="X370" s="536" t="n"/>
      <c r="Y370" s="536" t="n"/>
      <c r="Z370" s="282" t="n"/>
      <c r="AA370" s="282" t="n"/>
      <c r="AB370" s="536" t="n"/>
      <c r="AC370" s="536" t="n"/>
      <c r="AD370" s="282" t="n"/>
      <c r="AE370" s="282" t="n"/>
      <c r="AF370" s="537" t="n"/>
      <c r="AG370" s="537" t="n"/>
      <c r="AH370" s="282" t="n"/>
      <c r="AI370" s="282" t="n"/>
      <c r="AJ370" s="537" t="n"/>
      <c r="AK370" s="537" t="n"/>
      <c r="AL370" s="282" t="n"/>
      <c r="AM370" s="282" t="n"/>
      <c r="AN370" s="282" t="n"/>
      <c r="AO370" s="282" t="n"/>
      <c r="AP370" s="282" t="n"/>
      <c r="AQ370" s="282" t="n"/>
      <c r="AR370" s="535" t="n"/>
      <c r="AS370" s="535" t="n"/>
      <c r="AT370" s="282" t="n"/>
      <c r="AU370" s="282" t="n"/>
    </row>
    <row customHeight="1" ht="15.75" r="371" s="452" spans="1:48">
      <c r="A371" s="44" t="n"/>
      <c r="D371" s="535" t="n"/>
      <c r="E371" s="535" t="n"/>
      <c r="F371" s="282" t="n"/>
      <c r="G371" s="282" t="n"/>
      <c r="H371" s="536" t="n"/>
      <c r="I371" s="535" t="n"/>
      <c r="J371" s="282" t="n"/>
      <c r="K371" s="282" t="n"/>
      <c r="L371" s="536" t="n"/>
      <c r="M371" s="535" t="n"/>
      <c r="N371" s="282" t="n"/>
      <c r="O371" s="282" t="n"/>
      <c r="P371" s="535" t="n"/>
      <c r="Q371" s="535" t="n"/>
      <c r="R371" s="282" t="n"/>
      <c r="S371" s="282" t="n"/>
      <c r="T371" s="535" t="n"/>
      <c r="U371" s="535" t="n"/>
      <c r="V371" s="282" t="n"/>
      <c r="W371" s="282" t="n"/>
      <c r="X371" s="536" t="n"/>
      <c r="Y371" s="536" t="n"/>
      <c r="Z371" s="282" t="n"/>
      <c r="AA371" s="282" t="n"/>
      <c r="AB371" s="536" t="n"/>
      <c r="AC371" s="536" t="n"/>
      <c r="AD371" s="282" t="n"/>
      <c r="AE371" s="282" t="n"/>
      <c r="AF371" s="537" t="n"/>
      <c r="AG371" s="537" t="n"/>
      <c r="AH371" s="282" t="n"/>
      <c r="AI371" s="282" t="n"/>
      <c r="AJ371" s="537" t="n"/>
      <c r="AK371" s="537" t="n"/>
      <c r="AL371" s="282" t="n"/>
      <c r="AM371" s="282" t="n"/>
      <c r="AN371" s="282" t="n"/>
      <c r="AO371" s="282" t="n"/>
      <c r="AP371" s="282" t="n"/>
      <c r="AQ371" s="282" t="n"/>
      <c r="AR371" s="535" t="n"/>
      <c r="AS371" s="535" t="n"/>
      <c r="AT371" s="282" t="n"/>
      <c r="AU371" s="282" t="n"/>
    </row>
    <row customHeight="1" ht="15.75" r="372" s="452" spans="1:48">
      <c r="A372" s="44" t="n"/>
      <c r="D372" s="535" t="n"/>
      <c r="E372" s="535" t="n"/>
      <c r="F372" s="282" t="n"/>
      <c r="G372" s="282" t="n"/>
      <c r="H372" s="536" t="n"/>
      <c r="I372" s="535" t="n"/>
      <c r="J372" s="282" t="n"/>
      <c r="K372" s="282" t="n"/>
      <c r="L372" s="536" t="n"/>
      <c r="M372" s="535" t="n"/>
      <c r="N372" s="282" t="n"/>
      <c r="O372" s="282" t="n"/>
      <c r="P372" s="535" t="n"/>
      <c r="Q372" s="535" t="n"/>
      <c r="R372" s="282" t="n"/>
      <c r="S372" s="282" t="n"/>
      <c r="T372" s="535" t="n"/>
      <c r="U372" s="535" t="n"/>
      <c r="V372" s="282" t="n"/>
      <c r="W372" s="282" t="n"/>
      <c r="X372" s="536" t="n"/>
      <c r="Y372" s="536" t="n"/>
      <c r="Z372" s="282" t="n"/>
      <c r="AA372" s="282" t="n"/>
      <c r="AB372" s="536" t="n"/>
      <c r="AC372" s="536" t="n"/>
      <c r="AD372" s="282" t="n"/>
      <c r="AE372" s="282" t="n"/>
      <c r="AF372" s="537" t="n"/>
      <c r="AG372" s="537" t="n"/>
      <c r="AH372" s="282" t="n"/>
      <c r="AI372" s="282" t="n"/>
      <c r="AJ372" s="537" t="n"/>
      <c r="AK372" s="537" t="n"/>
      <c r="AL372" s="282" t="n"/>
      <c r="AM372" s="282" t="n"/>
      <c r="AN372" s="282" t="n"/>
      <c r="AO372" s="282" t="n"/>
      <c r="AP372" s="282" t="n"/>
      <c r="AQ372" s="282" t="n"/>
      <c r="AR372" s="535" t="n"/>
      <c r="AS372" s="535" t="n"/>
      <c r="AT372" s="282" t="n"/>
      <c r="AU372" s="282" t="n"/>
    </row>
    <row customHeight="1" ht="15.75" r="373" s="452" spans="1:48">
      <c r="A373" s="44" t="n"/>
      <c r="D373" s="535" t="n"/>
      <c r="E373" s="535" t="n"/>
      <c r="F373" s="282" t="n"/>
      <c r="G373" s="282" t="n"/>
      <c r="H373" s="536" t="n"/>
      <c r="I373" s="535" t="n"/>
      <c r="J373" s="282" t="n"/>
      <c r="K373" s="282" t="n"/>
      <c r="L373" s="536" t="n"/>
      <c r="M373" s="535" t="n"/>
      <c r="N373" s="282" t="n"/>
      <c r="O373" s="282" t="n"/>
      <c r="P373" s="535" t="n"/>
      <c r="Q373" s="535" t="n"/>
      <c r="R373" s="282" t="n"/>
      <c r="S373" s="282" t="n"/>
      <c r="T373" s="535" t="n"/>
      <c r="U373" s="535" t="n"/>
      <c r="V373" s="282" t="n"/>
      <c r="W373" s="282" t="n"/>
      <c r="X373" s="536" t="n"/>
      <c r="Y373" s="536" t="n"/>
      <c r="Z373" s="282" t="n"/>
      <c r="AA373" s="282" t="n"/>
      <c r="AB373" s="536" t="n"/>
      <c r="AC373" s="536" t="n"/>
      <c r="AD373" s="282" t="n"/>
      <c r="AE373" s="282" t="n"/>
      <c r="AF373" s="537" t="n"/>
      <c r="AG373" s="537" t="n"/>
      <c r="AH373" s="282" t="n"/>
      <c r="AI373" s="282" t="n"/>
      <c r="AJ373" s="537" t="n"/>
      <c r="AK373" s="537" t="n"/>
      <c r="AL373" s="282" t="n"/>
      <c r="AM373" s="282" t="n"/>
      <c r="AN373" s="282" t="n"/>
      <c r="AO373" s="282" t="n"/>
      <c r="AP373" s="282" t="n"/>
      <c r="AQ373" s="282" t="n"/>
      <c r="AR373" s="535" t="n"/>
      <c r="AS373" s="535" t="n"/>
      <c r="AT373" s="282" t="n"/>
      <c r="AU373" s="282" t="n"/>
    </row>
    <row customHeight="1" ht="15.75" r="374" s="452" spans="1:48">
      <c r="A374" s="44" t="n"/>
      <c r="D374" s="535" t="n"/>
      <c r="E374" s="535" t="n"/>
      <c r="F374" s="282" t="n"/>
      <c r="G374" s="282" t="n"/>
      <c r="H374" s="536" t="n"/>
      <c r="I374" s="535" t="n"/>
      <c r="J374" s="282" t="n"/>
      <c r="K374" s="282" t="n"/>
      <c r="L374" s="536" t="n"/>
      <c r="M374" s="535" t="n"/>
      <c r="N374" s="282" t="n"/>
      <c r="O374" s="282" t="n"/>
      <c r="P374" s="535" t="n"/>
      <c r="Q374" s="535" t="n"/>
      <c r="R374" s="282" t="n"/>
      <c r="S374" s="282" t="n"/>
      <c r="T374" s="535" t="n"/>
      <c r="U374" s="535" t="n"/>
      <c r="V374" s="282" t="n"/>
      <c r="W374" s="282" t="n"/>
      <c r="X374" s="536" t="n"/>
      <c r="Y374" s="536" t="n"/>
      <c r="Z374" s="282" t="n"/>
      <c r="AA374" s="282" t="n"/>
      <c r="AB374" s="536" t="n"/>
      <c r="AC374" s="536" t="n"/>
      <c r="AD374" s="282" t="n"/>
      <c r="AE374" s="282" t="n"/>
      <c r="AF374" s="537" t="n"/>
      <c r="AG374" s="537" t="n"/>
      <c r="AH374" s="282" t="n"/>
      <c r="AI374" s="282" t="n"/>
      <c r="AJ374" s="537" t="n"/>
      <c r="AK374" s="537" t="n"/>
      <c r="AL374" s="282" t="n"/>
      <c r="AM374" s="282" t="n"/>
      <c r="AN374" s="282" t="n"/>
      <c r="AO374" s="282" t="n"/>
      <c r="AP374" s="282" t="n"/>
      <c r="AQ374" s="282" t="n"/>
      <c r="AR374" s="535" t="n"/>
      <c r="AS374" s="535" t="n"/>
      <c r="AT374" s="282" t="n"/>
      <c r="AU374" s="282" t="n"/>
    </row>
    <row customHeight="1" ht="15.75" r="375" s="452" spans="1:48">
      <c r="A375" s="44" t="n"/>
      <c r="D375" s="535" t="n"/>
      <c r="E375" s="535" t="n"/>
      <c r="F375" s="282" t="n"/>
      <c r="G375" s="282" t="n"/>
      <c r="H375" s="536" t="n"/>
      <c r="I375" s="535" t="n"/>
      <c r="J375" s="282" t="n"/>
      <c r="K375" s="282" t="n"/>
      <c r="L375" s="536" t="n"/>
      <c r="M375" s="535" t="n"/>
      <c r="N375" s="282" t="n"/>
      <c r="O375" s="282" t="n"/>
      <c r="P375" s="535" t="n"/>
      <c r="Q375" s="535" t="n"/>
      <c r="R375" s="282" t="n"/>
      <c r="S375" s="282" t="n"/>
      <c r="T375" s="535" t="n"/>
      <c r="U375" s="535" t="n"/>
      <c r="V375" s="282" t="n"/>
      <c r="W375" s="282" t="n"/>
      <c r="X375" s="536" t="n"/>
      <c r="Y375" s="536" t="n"/>
      <c r="Z375" s="282" t="n"/>
      <c r="AA375" s="282" t="n"/>
      <c r="AB375" s="536" t="n"/>
      <c r="AC375" s="536" t="n"/>
      <c r="AD375" s="282" t="n"/>
      <c r="AE375" s="282" t="n"/>
      <c r="AF375" s="537" t="n"/>
      <c r="AG375" s="537" t="n"/>
      <c r="AH375" s="282" t="n"/>
      <c r="AI375" s="282" t="n"/>
      <c r="AJ375" s="537" t="n"/>
      <c r="AK375" s="537" t="n"/>
      <c r="AL375" s="282" t="n"/>
      <c r="AM375" s="282" t="n"/>
      <c r="AN375" s="282" t="n"/>
      <c r="AO375" s="282" t="n"/>
      <c r="AP375" s="282" t="n"/>
      <c r="AQ375" s="282" t="n"/>
      <c r="AR375" s="535" t="n"/>
      <c r="AS375" s="535" t="n"/>
      <c r="AT375" s="282" t="n"/>
      <c r="AU375" s="282" t="n"/>
    </row>
    <row customHeight="1" ht="15.75" r="376" s="452" spans="1:48">
      <c r="A376" s="44" t="n"/>
      <c r="D376" s="535" t="n"/>
      <c r="E376" s="535" t="n"/>
      <c r="F376" s="282" t="n"/>
      <c r="G376" s="282" t="n"/>
      <c r="H376" s="536" t="n"/>
      <c r="I376" s="535" t="n"/>
      <c r="J376" s="282" t="n"/>
      <c r="K376" s="282" t="n"/>
      <c r="L376" s="536" t="n"/>
      <c r="M376" s="535" t="n"/>
      <c r="N376" s="282" t="n"/>
      <c r="O376" s="282" t="n"/>
      <c r="P376" s="535" t="n"/>
      <c r="Q376" s="535" t="n"/>
      <c r="R376" s="282" t="n"/>
      <c r="S376" s="282" t="n"/>
      <c r="T376" s="535" t="n"/>
      <c r="U376" s="535" t="n"/>
      <c r="V376" s="282" t="n"/>
      <c r="W376" s="282" t="n"/>
      <c r="X376" s="536" t="n"/>
      <c r="Y376" s="536" t="n"/>
      <c r="Z376" s="282" t="n"/>
      <c r="AA376" s="282" t="n"/>
      <c r="AB376" s="536" t="n"/>
      <c r="AC376" s="536" t="n"/>
      <c r="AD376" s="282" t="n"/>
      <c r="AE376" s="282" t="n"/>
      <c r="AF376" s="537" t="n"/>
      <c r="AG376" s="537" t="n"/>
      <c r="AH376" s="282" t="n"/>
      <c r="AI376" s="282" t="n"/>
      <c r="AJ376" s="537" t="n"/>
      <c r="AK376" s="537" t="n"/>
      <c r="AL376" s="282" t="n"/>
      <c r="AM376" s="282" t="n"/>
      <c r="AN376" s="282" t="n"/>
      <c r="AO376" s="282" t="n"/>
      <c r="AP376" s="282" t="n"/>
      <c r="AQ376" s="282" t="n"/>
      <c r="AR376" s="535" t="n"/>
      <c r="AS376" s="535" t="n"/>
      <c r="AT376" s="282" t="n"/>
      <c r="AU376" s="282" t="n"/>
    </row>
    <row customHeight="1" ht="15.75" r="377" s="452" spans="1:48">
      <c r="A377" s="44" t="n"/>
      <c r="D377" s="535" t="n"/>
      <c r="E377" s="535" t="n"/>
      <c r="F377" s="282" t="n"/>
      <c r="G377" s="282" t="n"/>
      <c r="H377" s="536" t="n"/>
      <c r="I377" s="535" t="n"/>
      <c r="J377" s="282" t="n"/>
      <c r="K377" s="282" t="n"/>
      <c r="L377" s="536" t="n"/>
      <c r="M377" s="535" t="n"/>
      <c r="N377" s="282" t="n"/>
      <c r="O377" s="282" t="n"/>
      <c r="P377" s="535" t="n"/>
      <c r="Q377" s="535" t="n"/>
      <c r="R377" s="282" t="n"/>
      <c r="S377" s="282" t="n"/>
      <c r="T377" s="535" t="n"/>
      <c r="U377" s="535" t="n"/>
      <c r="V377" s="282" t="n"/>
      <c r="W377" s="282" t="n"/>
      <c r="X377" s="536" t="n"/>
      <c r="Y377" s="536" t="n"/>
      <c r="Z377" s="282" t="n"/>
      <c r="AA377" s="282" t="n"/>
      <c r="AB377" s="536" t="n"/>
      <c r="AC377" s="536" t="n"/>
      <c r="AD377" s="282" t="n"/>
      <c r="AE377" s="282" t="n"/>
      <c r="AF377" s="537" t="n"/>
      <c r="AG377" s="537" t="n"/>
      <c r="AH377" s="282" t="n"/>
      <c r="AI377" s="282" t="n"/>
      <c r="AJ377" s="537" t="n"/>
      <c r="AK377" s="537" t="n"/>
      <c r="AL377" s="282" t="n"/>
      <c r="AM377" s="282" t="n"/>
      <c r="AN377" s="282" t="n"/>
      <c r="AO377" s="282" t="n"/>
      <c r="AP377" s="282" t="n"/>
      <c r="AQ377" s="282" t="n"/>
      <c r="AR377" s="535" t="n"/>
      <c r="AS377" s="535" t="n"/>
      <c r="AT377" s="282" t="n"/>
      <c r="AU377" s="282" t="n"/>
    </row>
    <row customHeight="1" ht="15.75" r="378" s="452" spans="1:48">
      <c r="A378" s="44" t="n"/>
      <c r="D378" s="535" t="n"/>
      <c r="E378" s="535" t="n"/>
      <c r="F378" s="282" t="n"/>
      <c r="G378" s="282" t="n"/>
      <c r="H378" s="536" t="n"/>
      <c r="I378" s="535" t="n"/>
      <c r="J378" s="282" t="n"/>
      <c r="K378" s="282" t="n"/>
      <c r="L378" s="536" t="n"/>
      <c r="M378" s="535" t="n"/>
      <c r="N378" s="282" t="n"/>
      <c r="O378" s="282" t="n"/>
      <c r="P378" s="535" t="n"/>
      <c r="Q378" s="535" t="n"/>
      <c r="R378" s="282" t="n"/>
      <c r="S378" s="282" t="n"/>
      <c r="T378" s="535" t="n"/>
      <c r="U378" s="535" t="n"/>
      <c r="V378" s="282" t="n"/>
      <c r="W378" s="282" t="n"/>
      <c r="X378" s="536" t="n"/>
      <c r="Y378" s="536" t="n"/>
      <c r="Z378" s="282" t="n"/>
      <c r="AA378" s="282" t="n"/>
      <c r="AB378" s="536" t="n"/>
      <c r="AC378" s="536" t="n"/>
      <c r="AD378" s="282" t="n"/>
      <c r="AE378" s="282" t="n"/>
      <c r="AF378" s="537" t="n"/>
      <c r="AG378" s="537" t="n"/>
      <c r="AH378" s="282" t="n"/>
      <c r="AI378" s="282" t="n"/>
      <c r="AJ378" s="537" t="n"/>
      <c r="AK378" s="537" t="n"/>
      <c r="AL378" s="282" t="n"/>
      <c r="AM378" s="282" t="n"/>
      <c r="AN378" s="282" t="n"/>
      <c r="AO378" s="282" t="n"/>
      <c r="AP378" s="282" t="n"/>
      <c r="AQ378" s="282" t="n"/>
      <c r="AR378" s="535" t="n"/>
      <c r="AS378" s="535" t="n"/>
      <c r="AT378" s="282" t="n"/>
      <c r="AU378" s="282" t="n"/>
    </row>
    <row customHeight="1" ht="15.75" r="379" s="452" spans="1:48">
      <c r="A379" s="44" t="n"/>
      <c r="D379" s="535" t="n"/>
      <c r="E379" s="535" t="n"/>
      <c r="F379" s="282" t="n"/>
      <c r="G379" s="282" t="n"/>
      <c r="H379" s="536" t="n"/>
      <c r="I379" s="535" t="n"/>
      <c r="J379" s="282" t="n"/>
      <c r="K379" s="282" t="n"/>
      <c r="L379" s="536" t="n"/>
      <c r="M379" s="535" t="n"/>
      <c r="N379" s="282" t="n"/>
      <c r="O379" s="282" t="n"/>
      <c r="P379" s="535" t="n"/>
      <c r="Q379" s="535" t="n"/>
      <c r="R379" s="282" t="n"/>
      <c r="S379" s="282" t="n"/>
      <c r="T379" s="535" t="n"/>
      <c r="U379" s="535" t="n"/>
      <c r="V379" s="282" t="n"/>
      <c r="W379" s="282" t="n"/>
      <c r="X379" s="536" t="n"/>
      <c r="Y379" s="536" t="n"/>
      <c r="Z379" s="282" t="n"/>
      <c r="AA379" s="282" t="n"/>
      <c r="AB379" s="536" t="n"/>
      <c r="AC379" s="536" t="n"/>
      <c r="AD379" s="282" t="n"/>
      <c r="AE379" s="282" t="n"/>
      <c r="AF379" s="537" t="n"/>
      <c r="AG379" s="537" t="n"/>
      <c r="AH379" s="282" t="n"/>
      <c r="AI379" s="282" t="n"/>
      <c r="AJ379" s="537" t="n"/>
      <c r="AK379" s="537" t="n"/>
      <c r="AL379" s="282" t="n"/>
      <c r="AM379" s="282" t="n"/>
      <c r="AN379" s="282" t="n"/>
      <c r="AO379" s="282" t="n"/>
      <c r="AP379" s="282" t="n"/>
      <c r="AQ379" s="282" t="n"/>
      <c r="AR379" s="535" t="n"/>
      <c r="AS379" s="535" t="n"/>
      <c r="AT379" s="282" t="n"/>
      <c r="AU379" s="282" t="n"/>
    </row>
    <row customHeight="1" ht="15.75" r="380" s="452" spans="1:48">
      <c r="A380" s="44" t="n"/>
      <c r="D380" s="535" t="n"/>
      <c r="E380" s="535" t="n"/>
      <c r="F380" s="282" t="n"/>
      <c r="G380" s="282" t="n"/>
      <c r="H380" s="536" t="n"/>
      <c r="I380" s="535" t="n"/>
      <c r="J380" s="282" t="n"/>
      <c r="K380" s="282" t="n"/>
      <c r="L380" s="536" t="n"/>
      <c r="M380" s="535" t="n"/>
      <c r="N380" s="282" t="n"/>
      <c r="O380" s="282" t="n"/>
      <c r="P380" s="535" t="n"/>
      <c r="Q380" s="535" t="n"/>
      <c r="R380" s="282" t="n"/>
      <c r="S380" s="282" t="n"/>
      <c r="T380" s="535" t="n"/>
      <c r="U380" s="535" t="n"/>
      <c r="V380" s="282" t="n"/>
      <c r="W380" s="282" t="n"/>
      <c r="X380" s="536" t="n"/>
      <c r="Y380" s="536" t="n"/>
      <c r="Z380" s="282" t="n"/>
      <c r="AA380" s="282" t="n"/>
      <c r="AB380" s="536" t="n"/>
      <c r="AC380" s="536" t="n"/>
      <c r="AD380" s="282" t="n"/>
      <c r="AE380" s="282" t="n"/>
      <c r="AF380" s="537" t="n"/>
      <c r="AG380" s="537" t="n"/>
      <c r="AH380" s="282" t="n"/>
      <c r="AI380" s="282" t="n"/>
      <c r="AJ380" s="537" t="n"/>
      <c r="AK380" s="537" t="n"/>
      <c r="AL380" s="282" t="n"/>
      <c r="AM380" s="282" t="n"/>
      <c r="AN380" s="282" t="n"/>
      <c r="AO380" s="282" t="n"/>
      <c r="AP380" s="282" t="n"/>
      <c r="AQ380" s="282" t="n"/>
      <c r="AR380" s="535" t="n"/>
      <c r="AS380" s="535" t="n"/>
      <c r="AT380" s="282" t="n"/>
      <c r="AU380" s="282" t="n"/>
    </row>
    <row customHeight="1" ht="15.75" r="381" s="452" spans="1:48">
      <c r="A381" s="44" t="n"/>
      <c r="D381" s="535" t="n"/>
      <c r="E381" s="535" t="n"/>
      <c r="F381" s="282" t="n"/>
      <c r="G381" s="282" t="n"/>
      <c r="H381" s="536" t="n"/>
      <c r="I381" s="535" t="n"/>
      <c r="J381" s="282" t="n"/>
      <c r="K381" s="282" t="n"/>
      <c r="L381" s="536" t="n"/>
      <c r="M381" s="535" t="n"/>
      <c r="N381" s="282" t="n"/>
      <c r="O381" s="282" t="n"/>
      <c r="P381" s="535" t="n"/>
      <c r="Q381" s="535" t="n"/>
      <c r="R381" s="282" t="n"/>
      <c r="S381" s="282" t="n"/>
      <c r="T381" s="535" t="n"/>
      <c r="U381" s="535" t="n"/>
      <c r="V381" s="282" t="n"/>
      <c r="W381" s="282" t="n"/>
      <c r="X381" s="536" t="n"/>
      <c r="Y381" s="536" t="n"/>
      <c r="Z381" s="282" t="n"/>
      <c r="AA381" s="282" t="n"/>
      <c r="AB381" s="536" t="n"/>
      <c r="AC381" s="536" t="n"/>
      <c r="AD381" s="282" t="n"/>
      <c r="AE381" s="282" t="n"/>
      <c r="AF381" s="537" t="n"/>
      <c r="AG381" s="537" t="n"/>
      <c r="AH381" s="282" t="n"/>
      <c r="AI381" s="282" t="n"/>
      <c r="AJ381" s="537" t="n"/>
      <c r="AK381" s="537" t="n"/>
      <c r="AL381" s="282" t="n"/>
      <c r="AM381" s="282" t="n"/>
      <c r="AN381" s="282" t="n"/>
      <c r="AO381" s="282" t="n"/>
      <c r="AP381" s="282" t="n"/>
      <c r="AQ381" s="282" t="n"/>
      <c r="AR381" s="535" t="n"/>
      <c r="AS381" s="535" t="n"/>
      <c r="AT381" s="282" t="n"/>
      <c r="AU381" s="282" t="n"/>
    </row>
    <row customHeight="1" ht="15.75" r="382" s="452" spans="1:48">
      <c r="A382" s="44" t="n"/>
      <c r="D382" s="535" t="n"/>
      <c r="E382" s="535" t="n"/>
      <c r="F382" s="282" t="n"/>
      <c r="G382" s="282" t="n"/>
      <c r="H382" s="536" t="n"/>
      <c r="I382" s="535" t="n"/>
      <c r="J382" s="282" t="n"/>
      <c r="K382" s="282" t="n"/>
      <c r="L382" s="536" t="n"/>
      <c r="M382" s="535" t="n"/>
      <c r="N382" s="282" t="n"/>
      <c r="O382" s="282" t="n"/>
      <c r="P382" s="535" t="n"/>
      <c r="Q382" s="535" t="n"/>
      <c r="R382" s="282" t="n"/>
      <c r="S382" s="282" t="n"/>
      <c r="T382" s="535" t="n"/>
      <c r="U382" s="535" t="n"/>
      <c r="V382" s="282" t="n"/>
      <c r="W382" s="282" t="n"/>
      <c r="X382" s="536" t="n"/>
      <c r="Y382" s="536" t="n"/>
      <c r="Z382" s="282" t="n"/>
      <c r="AA382" s="282" t="n"/>
      <c r="AB382" s="536" t="n"/>
      <c r="AC382" s="536" t="n"/>
      <c r="AD382" s="282" t="n"/>
      <c r="AE382" s="282" t="n"/>
      <c r="AF382" s="537" t="n"/>
      <c r="AG382" s="537" t="n"/>
      <c r="AH382" s="282" t="n"/>
      <c r="AI382" s="282" t="n"/>
      <c r="AJ382" s="537" t="n"/>
      <c r="AK382" s="537" t="n"/>
      <c r="AL382" s="282" t="n"/>
      <c r="AM382" s="282" t="n"/>
      <c r="AN382" s="282" t="n"/>
      <c r="AO382" s="282" t="n"/>
      <c r="AP382" s="282" t="n"/>
      <c r="AQ382" s="282" t="n"/>
      <c r="AR382" s="535" t="n"/>
      <c r="AS382" s="535" t="n"/>
      <c r="AT382" s="282" t="n"/>
      <c r="AU382" s="282" t="n"/>
    </row>
    <row customHeight="1" ht="15.75" r="383" s="452" spans="1:48">
      <c r="A383" s="44" t="n"/>
      <c r="D383" s="535" t="n"/>
      <c r="E383" s="535" t="n"/>
      <c r="F383" s="282" t="n"/>
      <c r="G383" s="282" t="n"/>
      <c r="H383" s="536" t="n"/>
      <c r="I383" s="535" t="n"/>
      <c r="J383" s="282" t="n"/>
      <c r="K383" s="282" t="n"/>
      <c r="L383" s="536" t="n"/>
      <c r="M383" s="535" t="n"/>
      <c r="N383" s="282" t="n"/>
      <c r="O383" s="282" t="n"/>
      <c r="P383" s="535" t="n"/>
      <c r="Q383" s="535" t="n"/>
      <c r="R383" s="282" t="n"/>
      <c r="S383" s="282" t="n"/>
      <c r="T383" s="535" t="n"/>
      <c r="U383" s="535" t="n"/>
      <c r="V383" s="282" t="n"/>
      <c r="W383" s="282" t="n"/>
      <c r="X383" s="536" t="n"/>
      <c r="Y383" s="536" t="n"/>
      <c r="Z383" s="282" t="n"/>
      <c r="AA383" s="282" t="n"/>
      <c r="AB383" s="536" t="n"/>
      <c r="AC383" s="536" t="n"/>
      <c r="AD383" s="282" t="n"/>
      <c r="AE383" s="282" t="n"/>
      <c r="AF383" s="537" t="n"/>
      <c r="AG383" s="537" t="n"/>
      <c r="AH383" s="282" t="n"/>
      <c r="AI383" s="282" t="n"/>
      <c r="AJ383" s="537" t="n"/>
      <c r="AK383" s="537" t="n"/>
      <c r="AL383" s="282" t="n"/>
      <c r="AM383" s="282" t="n"/>
      <c r="AN383" s="282" t="n"/>
      <c r="AO383" s="282" t="n"/>
      <c r="AP383" s="282" t="n"/>
      <c r="AQ383" s="282" t="n"/>
      <c r="AR383" s="535" t="n"/>
      <c r="AS383" s="535" t="n"/>
      <c r="AT383" s="282" t="n"/>
      <c r="AU383" s="282" t="n"/>
    </row>
    <row customHeight="1" ht="15.75" r="384" s="452" spans="1:48">
      <c r="A384" s="44" t="n"/>
      <c r="D384" s="535" t="n"/>
      <c r="E384" s="535" t="n"/>
      <c r="F384" s="282" t="n"/>
      <c r="G384" s="282" t="n"/>
      <c r="H384" s="536" t="n"/>
      <c r="I384" s="535" t="n"/>
      <c r="J384" s="282" t="n"/>
      <c r="K384" s="282" t="n"/>
      <c r="L384" s="536" t="n"/>
      <c r="M384" s="535" t="n"/>
      <c r="N384" s="282" t="n"/>
      <c r="O384" s="282" t="n"/>
      <c r="P384" s="535" t="n"/>
      <c r="Q384" s="535" t="n"/>
      <c r="R384" s="282" t="n"/>
      <c r="S384" s="282" t="n"/>
      <c r="T384" s="535" t="n"/>
      <c r="U384" s="535" t="n"/>
      <c r="V384" s="282" t="n"/>
      <c r="W384" s="282" t="n"/>
      <c r="X384" s="536" t="n"/>
      <c r="Y384" s="536" t="n"/>
      <c r="Z384" s="282" t="n"/>
      <c r="AA384" s="282" t="n"/>
      <c r="AB384" s="536" t="n"/>
      <c r="AC384" s="536" t="n"/>
      <c r="AD384" s="282" t="n"/>
      <c r="AE384" s="282" t="n"/>
      <c r="AF384" s="537" t="n"/>
      <c r="AG384" s="537" t="n"/>
      <c r="AH384" s="282" t="n"/>
      <c r="AI384" s="282" t="n"/>
      <c r="AJ384" s="537" t="n"/>
      <c r="AK384" s="537" t="n"/>
      <c r="AL384" s="282" t="n"/>
      <c r="AM384" s="282" t="n"/>
      <c r="AN384" s="282" t="n"/>
      <c r="AO384" s="282" t="n"/>
      <c r="AP384" s="282" t="n"/>
      <c r="AQ384" s="282" t="n"/>
      <c r="AR384" s="535" t="n"/>
      <c r="AS384" s="535" t="n"/>
      <c r="AT384" s="282" t="n"/>
      <c r="AU384" s="282" t="n"/>
    </row>
    <row customHeight="1" ht="15.75" r="385" s="452" spans="1:48">
      <c r="A385" s="44" t="n"/>
      <c r="D385" s="535" t="n"/>
      <c r="E385" s="535" t="n"/>
      <c r="F385" s="282" t="n"/>
      <c r="G385" s="282" t="n"/>
      <c r="H385" s="536" t="n"/>
      <c r="I385" s="535" t="n"/>
      <c r="J385" s="282" t="n"/>
      <c r="K385" s="282" t="n"/>
      <c r="L385" s="536" t="n"/>
      <c r="M385" s="535" t="n"/>
      <c r="N385" s="282" t="n"/>
      <c r="O385" s="282" t="n"/>
      <c r="P385" s="535" t="n"/>
      <c r="Q385" s="535" t="n"/>
      <c r="R385" s="282" t="n"/>
      <c r="S385" s="282" t="n"/>
      <c r="T385" s="535" t="n"/>
      <c r="U385" s="535" t="n"/>
      <c r="V385" s="282" t="n"/>
      <c r="W385" s="282" t="n"/>
      <c r="X385" s="536" t="n"/>
      <c r="Y385" s="536" t="n"/>
      <c r="Z385" s="282" t="n"/>
      <c r="AA385" s="282" t="n"/>
      <c r="AB385" s="536" t="n"/>
      <c r="AC385" s="536" t="n"/>
      <c r="AD385" s="282" t="n"/>
      <c r="AE385" s="282" t="n"/>
      <c r="AF385" s="537" t="n"/>
      <c r="AG385" s="537" t="n"/>
      <c r="AH385" s="282" t="n"/>
      <c r="AI385" s="282" t="n"/>
      <c r="AJ385" s="537" t="n"/>
      <c r="AK385" s="537" t="n"/>
      <c r="AL385" s="282" t="n"/>
      <c r="AM385" s="282" t="n"/>
      <c r="AN385" s="282" t="n"/>
      <c r="AO385" s="282" t="n"/>
      <c r="AP385" s="282" t="n"/>
      <c r="AQ385" s="282" t="n"/>
      <c r="AR385" s="535" t="n"/>
      <c r="AS385" s="535" t="n"/>
      <c r="AT385" s="282" t="n"/>
      <c r="AU385" s="282" t="n"/>
    </row>
    <row customHeight="1" ht="15.75" r="386" s="452" spans="1:48">
      <c r="A386" s="44" t="n"/>
      <c r="D386" s="535" t="n"/>
      <c r="E386" s="535" t="n"/>
      <c r="F386" s="282" t="n"/>
      <c r="G386" s="282" t="n"/>
      <c r="H386" s="536" t="n"/>
      <c r="I386" s="535" t="n"/>
      <c r="J386" s="282" t="n"/>
      <c r="K386" s="282" t="n"/>
      <c r="L386" s="536" t="n"/>
      <c r="M386" s="535" t="n"/>
      <c r="N386" s="282" t="n"/>
      <c r="O386" s="282" t="n"/>
      <c r="P386" s="535" t="n"/>
      <c r="Q386" s="535" t="n"/>
      <c r="R386" s="282" t="n"/>
      <c r="S386" s="282" t="n"/>
      <c r="T386" s="535" t="n"/>
      <c r="U386" s="535" t="n"/>
      <c r="V386" s="282" t="n"/>
      <c r="W386" s="282" t="n"/>
      <c r="X386" s="536" t="n"/>
      <c r="Y386" s="536" t="n"/>
      <c r="Z386" s="282" t="n"/>
      <c r="AA386" s="282" t="n"/>
      <c r="AB386" s="536" t="n"/>
      <c r="AC386" s="536" t="n"/>
      <c r="AD386" s="282" t="n"/>
      <c r="AE386" s="282" t="n"/>
      <c r="AF386" s="537" t="n"/>
      <c r="AG386" s="537" t="n"/>
      <c r="AH386" s="282" t="n"/>
      <c r="AI386" s="282" t="n"/>
      <c r="AJ386" s="537" t="n"/>
      <c r="AK386" s="537" t="n"/>
      <c r="AL386" s="282" t="n"/>
      <c r="AM386" s="282" t="n"/>
      <c r="AN386" s="282" t="n"/>
      <c r="AO386" s="282" t="n"/>
      <c r="AP386" s="282" t="n"/>
      <c r="AQ386" s="282" t="n"/>
      <c r="AR386" s="535" t="n"/>
      <c r="AS386" s="535" t="n"/>
      <c r="AT386" s="282" t="n"/>
      <c r="AU386" s="282" t="n"/>
    </row>
    <row customHeight="1" ht="15.75" r="387" s="452" spans="1:48">
      <c r="A387" s="44" t="n"/>
      <c r="D387" s="535" t="n"/>
      <c r="E387" s="535" t="n"/>
      <c r="F387" s="282" t="n"/>
      <c r="G387" s="282" t="n"/>
      <c r="H387" s="536" t="n"/>
      <c r="I387" s="535" t="n"/>
      <c r="J387" s="282" t="n"/>
      <c r="K387" s="282" t="n"/>
      <c r="L387" s="536" t="n"/>
      <c r="M387" s="535" t="n"/>
      <c r="N387" s="282" t="n"/>
      <c r="O387" s="282" t="n"/>
      <c r="P387" s="535" t="n"/>
      <c r="Q387" s="535" t="n"/>
      <c r="R387" s="282" t="n"/>
      <c r="S387" s="282" t="n"/>
      <c r="T387" s="535" t="n"/>
      <c r="U387" s="535" t="n"/>
      <c r="V387" s="282" t="n"/>
      <c r="W387" s="282" t="n"/>
      <c r="X387" s="536" t="n"/>
      <c r="Y387" s="536" t="n"/>
      <c r="Z387" s="282" t="n"/>
      <c r="AA387" s="282" t="n"/>
      <c r="AB387" s="536" t="n"/>
      <c r="AC387" s="536" t="n"/>
      <c r="AD387" s="282" t="n"/>
      <c r="AE387" s="282" t="n"/>
      <c r="AF387" s="537" t="n"/>
      <c r="AG387" s="537" t="n"/>
      <c r="AH387" s="282" t="n"/>
      <c r="AI387" s="282" t="n"/>
      <c r="AJ387" s="537" t="n"/>
      <c r="AK387" s="537" t="n"/>
      <c r="AL387" s="282" t="n"/>
      <c r="AM387" s="282" t="n"/>
      <c r="AN387" s="282" t="n"/>
      <c r="AO387" s="282" t="n"/>
      <c r="AP387" s="282" t="n"/>
      <c r="AQ387" s="282" t="n"/>
      <c r="AR387" s="535" t="n"/>
      <c r="AS387" s="535" t="n"/>
      <c r="AT387" s="282" t="n"/>
      <c r="AU387" s="282" t="n"/>
    </row>
    <row customHeight="1" ht="15.75" r="388" s="452" spans="1:48">
      <c r="A388" s="44" t="n"/>
      <c r="D388" s="535" t="n"/>
      <c r="E388" s="535" t="n"/>
      <c r="F388" s="282" t="n"/>
      <c r="G388" s="282" t="n"/>
      <c r="H388" s="536" t="n"/>
      <c r="I388" s="535" t="n"/>
      <c r="J388" s="282" t="n"/>
      <c r="K388" s="282" t="n"/>
      <c r="L388" s="536" t="n"/>
      <c r="M388" s="535" t="n"/>
      <c r="N388" s="282" t="n"/>
      <c r="O388" s="282" t="n"/>
      <c r="P388" s="535" t="n"/>
      <c r="Q388" s="535" t="n"/>
      <c r="R388" s="282" t="n"/>
      <c r="S388" s="282" t="n"/>
      <c r="T388" s="535" t="n"/>
      <c r="U388" s="535" t="n"/>
      <c r="V388" s="282" t="n"/>
      <c r="W388" s="282" t="n"/>
      <c r="X388" s="536" t="n"/>
      <c r="Y388" s="536" t="n"/>
      <c r="Z388" s="282" t="n"/>
      <c r="AA388" s="282" t="n"/>
      <c r="AB388" s="536" t="n"/>
      <c r="AC388" s="536" t="n"/>
      <c r="AD388" s="282" t="n"/>
      <c r="AE388" s="282" t="n"/>
      <c r="AF388" s="537" t="n"/>
      <c r="AG388" s="537" t="n"/>
      <c r="AH388" s="282" t="n"/>
      <c r="AI388" s="282" t="n"/>
      <c r="AJ388" s="537" t="n"/>
      <c r="AK388" s="537" t="n"/>
      <c r="AL388" s="282" t="n"/>
      <c r="AM388" s="282" t="n"/>
      <c r="AN388" s="282" t="n"/>
      <c r="AO388" s="282" t="n"/>
      <c r="AP388" s="282" t="n"/>
      <c r="AQ388" s="282" t="n"/>
      <c r="AR388" s="535" t="n"/>
      <c r="AS388" s="535" t="n"/>
      <c r="AT388" s="282" t="n"/>
      <c r="AU388" s="282" t="n"/>
    </row>
    <row customHeight="1" ht="15.75" r="389" s="452" spans="1:48">
      <c r="A389" s="44" t="n"/>
      <c r="D389" s="535" t="n"/>
      <c r="E389" s="535" t="n"/>
      <c r="F389" s="282" t="n"/>
      <c r="G389" s="282" t="n"/>
      <c r="H389" s="536" t="n"/>
      <c r="I389" s="535" t="n"/>
      <c r="J389" s="282" t="n"/>
      <c r="K389" s="282" t="n"/>
      <c r="L389" s="536" t="n"/>
      <c r="M389" s="535" t="n"/>
      <c r="N389" s="282" t="n"/>
      <c r="O389" s="282" t="n"/>
      <c r="P389" s="535" t="n"/>
      <c r="Q389" s="535" t="n"/>
      <c r="R389" s="282" t="n"/>
      <c r="S389" s="282" t="n"/>
      <c r="T389" s="535" t="n"/>
      <c r="U389" s="535" t="n"/>
      <c r="V389" s="282" t="n"/>
      <c r="W389" s="282" t="n"/>
      <c r="X389" s="536" t="n"/>
      <c r="Y389" s="536" t="n"/>
      <c r="Z389" s="282" t="n"/>
      <c r="AA389" s="282" t="n"/>
      <c r="AB389" s="536" t="n"/>
      <c r="AC389" s="536" t="n"/>
      <c r="AD389" s="282" t="n"/>
      <c r="AE389" s="282" t="n"/>
      <c r="AF389" s="537" t="n"/>
      <c r="AG389" s="537" t="n"/>
      <c r="AH389" s="282" t="n"/>
      <c r="AI389" s="282" t="n"/>
      <c r="AJ389" s="537" t="n"/>
      <c r="AK389" s="537" t="n"/>
      <c r="AL389" s="282" t="n"/>
      <c r="AM389" s="282" t="n"/>
      <c r="AN389" s="282" t="n"/>
      <c r="AO389" s="282" t="n"/>
      <c r="AP389" s="282" t="n"/>
      <c r="AQ389" s="282" t="n"/>
      <c r="AR389" s="535" t="n"/>
      <c r="AS389" s="535" t="n"/>
      <c r="AT389" s="282" t="n"/>
      <c r="AU389" s="282" t="n"/>
    </row>
    <row customHeight="1" ht="15.75" r="390" s="452" spans="1:48">
      <c r="A390" s="44" t="n"/>
      <c r="D390" s="535" t="n"/>
      <c r="E390" s="535" t="n"/>
      <c r="F390" s="282" t="n"/>
      <c r="G390" s="282" t="n"/>
      <c r="H390" s="536" t="n"/>
      <c r="I390" s="535" t="n"/>
      <c r="J390" s="282" t="n"/>
      <c r="K390" s="282" t="n"/>
      <c r="L390" s="536" t="n"/>
      <c r="M390" s="535" t="n"/>
      <c r="N390" s="282" t="n"/>
      <c r="O390" s="282" t="n"/>
      <c r="P390" s="535" t="n"/>
      <c r="Q390" s="535" t="n"/>
      <c r="R390" s="282" t="n"/>
      <c r="S390" s="282" t="n"/>
      <c r="T390" s="535" t="n"/>
      <c r="U390" s="535" t="n"/>
      <c r="V390" s="282" t="n"/>
      <c r="W390" s="282" t="n"/>
      <c r="X390" s="536" t="n"/>
      <c r="Y390" s="536" t="n"/>
      <c r="Z390" s="282" t="n"/>
      <c r="AA390" s="282" t="n"/>
      <c r="AB390" s="536" t="n"/>
      <c r="AC390" s="536" t="n"/>
      <c r="AD390" s="282" t="n"/>
      <c r="AE390" s="282" t="n"/>
      <c r="AF390" s="537" t="n"/>
      <c r="AG390" s="537" t="n"/>
      <c r="AH390" s="282" t="n"/>
      <c r="AI390" s="282" t="n"/>
      <c r="AJ390" s="537" t="n"/>
      <c r="AK390" s="537" t="n"/>
      <c r="AL390" s="282" t="n"/>
      <c r="AM390" s="282" t="n"/>
      <c r="AN390" s="282" t="n"/>
      <c r="AO390" s="282" t="n"/>
      <c r="AP390" s="282" t="n"/>
      <c r="AQ390" s="282" t="n"/>
      <c r="AR390" s="535" t="n"/>
      <c r="AS390" s="535" t="n"/>
      <c r="AT390" s="282" t="n"/>
      <c r="AU390" s="282" t="n"/>
    </row>
    <row customHeight="1" ht="15.75" r="391" s="452" spans="1:48">
      <c r="A391" s="44" t="n"/>
      <c r="D391" s="535" t="n"/>
      <c r="E391" s="535" t="n"/>
      <c r="F391" s="282" t="n"/>
      <c r="G391" s="282" t="n"/>
      <c r="H391" s="536" t="n"/>
      <c r="I391" s="535" t="n"/>
      <c r="J391" s="282" t="n"/>
      <c r="K391" s="282" t="n"/>
      <c r="L391" s="536" t="n"/>
      <c r="M391" s="535" t="n"/>
      <c r="N391" s="282" t="n"/>
      <c r="O391" s="282" t="n"/>
      <c r="P391" s="535" t="n"/>
      <c r="Q391" s="535" t="n"/>
      <c r="R391" s="282" t="n"/>
      <c r="S391" s="282" t="n"/>
      <c r="T391" s="535" t="n"/>
      <c r="U391" s="535" t="n"/>
      <c r="V391" s="282" t="n"/>
      <c r="W391" s="282" t="n"/>
      <c r="X391" s="536" t="n"/>
      <c r="Y391" s="536" t="n"/>
      <c r="Z391" s="282" t="n"/>
      <c r="AA391" s="282" t="n"/>
      <c r="AB391" s="536" t="n"/>
      <c r="AC391" s="536" t="n"/>
      <c r="AD391" s="282" t="n"/>
      <c r="AE391" s="282" t="n"/>
      <c r="AF391" s="537" t="n"/>
      <c r="AG391" s="537" t="n"/>
      <c r="AH391" s="282" t="n"/>
      <c r="AI391" s="282" t="n"/>
      <c r="AJ391" s="537" t="n"/>
      <c r="AK391" s="537" t="n"/>
      <c r="AL391" s="282" t="n"/>
      <c r="AM391" s="282" t="n"/>
      <c r="AN391" s="282" t="n"/>
      <c r="AO391" s="282" t="n"/>
      <c r="AP391" s="282" t="n"/>
      <c r="AQ391" s="282" t="n"/>
      <c r="AR391" s="535" t="n"/>
      <c r="AS391" s="535" t="n"/>
      <c r="AT391" s="282" t="n"/>
      <c r="AU391" s="282" t="n"/>
    </row>
    <row customHeight="1" ht="15.75" r="392" s="452" spans="1:48">
      <c r="A392" s="44" t="n"/>
      <c r="D392" s="535" t="n"/>
      <c r="E392" s="535" t="n"/>
      <c r="F392" s="282" t="n"/>
      <c r="G392" s="282" t="n"/>
      <c r="H392" s="536" t="n"/>
      <c r="I392" s="535" t="n"/>
      <c r="J392" s="282" t="n"/>
      <c r="K392" s="282" t="n"/>
      <c r="L392" s="536" t="n"/>
      <c r="M392" s="535" t="n"/>
      <c r="N392" s="282" t="n"/>
      <c r="O392" s="282" t="n"/>
      <c r="P392" s="535" t="n"/>
      <c r="Q392" s="535" t="n"/>
      <c r="R392" s="282" t="n"/>
      <c r="S392" s="282" t="n"/>
      <c r="T392" s="535" t="n"/>
      <c r="U392" s="535" t="n"/>
      <c r="V392" s="282" t="n"/>
      <c r="W392" s="282" t="n"/>
      <c r="X392" s="536" t="n"/>
      <c r="Y392" s="536" t="n"/>
      <c r="Z392" s="282" t="n"/>
      <c r="AA392" s="282" t="n"/>
      <c r="AB392" s="536" t="n"/>
      <c r="AC392" s="536" t="n"/>
      <c r="AD392" s="282" t="n"/>
      <c r="AE392" s="282" t="n"/>
      <c r="AF392" s="537" t="n"/>
      <c r="AG392" s="537" t="n"/>
      <c r="AH392" s="282" t="n"/>
      <c r="AI392" s="282" t="n"/>
      <c r="AJ392" s="537" t="n"/>
      <c r="AK392" s="537" t="n"/>
      <c r="AL392" s="282" t="n"/>
      <c r="AM392" s="282" t="n"/>
      <c r="AN392" s="282" t="n"/>
      <c r="AO392" s="282" t="n"/>
      <c r="AP392" s="282" t="n"/>
      <c r="AQ392" s="282" t="n"/>
      <c r="AR392" s="535" t="n"/>
      <c r="AS392" s="535" t="n"/>
      <c r="AT392" s="282" t="n"/>
      <c r="AU392" s="282" t="n"/>
    </row>
    <row customHeight="1" ht="15.75" r="393" s="452" spans="1:48">
      <c r="A393" s="44" t="n"/>
      <c r="D393" s="535" t="n"/>
      <c r="E393" s="535" t="n"/>
      <c r="F393" s="282" t="n"/>
      <c r="G393" s="282" t="n"/>
      <c r="H393" s="536" t="n"/>
      <c r="I393" s="535" t="n"/>
      <c r="J393" s="282" t="n"/>
      <c r="K393" s="282" t="n"/>
      <c r="L393" s="536" t="n"/>
      <c r="M393" s="535" t="n"/>
      <c r="N393" s="282" t="n"/>
      <c r="O393" s="282" t="n"/>
      <c r="P393" s="535" t="n"/>
      <c r="Q393" s="535" t="n"/>
      <c r="R393" s="282" t="n"/>
      <c r="S393" s="282" t="n"/>
      <c r="T393" s="535" t="n"/>
      <c r="U393" s="535" t="n"/>
      <c r="V393" s="282" t="n"/>
      <c r="W393" s="282" t="n"/>
      <c r="X393" s="536" t="n"/>
      <c r="Y393" s="536" t="n"/>
      <c r="Z393" s="282" t="n"/>
      <c r="AA393" s="282" t="n"/>
      <c r="AB393" s="536" t="n"/>
      <c r="AC393" s="536" t="n"/>
      <c r="AD393" s="282" t="n"/>
      <c r="AE393" s="282" t="n"/>
      <c r="AF393" s="537" t="n"/>
      <c r="AG393" s="537" t="n"/>
      <c r="AH393" s="282" t="n"/>
      <c r="AI393" s="282" t="n"/>
      <c r="AJ393" s="537" t="n"/>
      <c r="AK393" s="537" t="n"/>
      <c r="AL393" s="282" t="n"/>
      <c r="AM393" s="282" t="n"/>
      <c r="AN393" s="282" t="n"/>
      <c r="AO393" s="282" t="n"/>
      <c r="AP393" s="282" t="n"/>
      <c r="AQ393" s="282" t="n"/>
      <c r="AR393" s="535" t="n"/>
      <c r="AS393" s="535" t="n"/>
      <c r="AT393" s="282" t="n"/>
      <c r="AU393" s="282" t="n"/>
    </row>
    <row customHeight="1" ht="15.75" r="394" s="452" spans="1:48">
      <c r="A394" s="44" t="n"/>
      <c r="D394" s="535" t="n"/>
      <c r="E394" s="535" t="n"/>
      <c r="F394" s="282" t="n"/>
      <c r="G394" s="282" t="n"/>
      <c r="H394" s="536" t="n"/>
      <c r="I394" s="535" t="n"/>
      <c r="J394" s="282" t="n"/>
      <c r="K394" s="282" t="n"/>
      <c r="L394" s="536" t="n"/>
      <c r="M394" s="535" t="n"/>
      <c r="N394" s="282" t="n"/>
      <c r="O394" s="282" t="n"/>
      <c r="P394" s="535" t="n"/>
      <c r="Q394" s="535" t="n"/>
      <c r="R394" s="282" t="n"/>
      <c r="S394" s="282" t="n"/>
      <c r="T394" s="535" t="n"/>
      <c r="U394" s="535" t="n"/>
      <c r="V394" s="282" t="n"/>
      <c r="W394" s="282" t="n"/>
      <c r="X394" s="536" t="n"/>
      <c r="Y394" s="536" t="n"/>
      <c r="Z394" s="282" t="n"/>
      <c r="AA394" s="282" t="n"/>
      <c r="AB394" s="536" t="n"/>
      <c r="AC394" s="536" t="n"/>
      <c r="AD394" s="282" t="n"/>
      <c r="AE394" s="282" t="n"/>
      <c r="AF394" s="537" t="n"/>
      <c r="AG394" s="537" t="n"/>
      <c r="AH394" s="282" t="n"/>
      <c r="AI394" s="282" t="n"/>
      <c r="AJ394" s="537" t="n"/>
      <c r="AK394" s="537" t="n"/>
      <c r="AL394" s="282" t="n"/>
      <c r="AM394" s="282" t="n"/>
      <c r="AN394" s="282" t="n"/>
      <c r="AO394" s="282" t="n"/>
      <c r="AP394" s="282" t="n"/>
      <c r="AQ394" s="282" t="n"/>
      <c r="AR394" s="535" t="n"/>
      <c r="AS394" s="535" t="n"/>
      <c r="AT394" s="282" t="n"/>
      <c r="AU394" s="282" t="n"/>
    </row>
    <row customHeight="1" ht="15.75" r="395" s="452" spans="1:48">
      <c r="A395" s="44" t="n"/>
      <c r="D395" s="535" t="n"/>
      <c r="E395" s="535" t="n"/>
      <c r="F395" s="282" t="n"/>
      <c r="G395" s="282" t="n"/>
      <c r="H395" s="536" t="n"/>
      <c r="I395" s="535" t="n"/>
      <c r="J395" s="282" t="n"/>
      <c r="K395" s="282" t="n"/>
      <c r="L395" s="536" t="n"/>
      <c r="M395" s="535" t="n"/>
      <c r="N395" s="282" t="n"/>
      <c r="O395" s="282" t="n"/>
      <c r="P395" s="535" t="n"/>
      <c r="Q395" s="535" t="n"/>
      <c r="R395" s="282" t="n"/>
      <c r="S395" s="282" t="n"/>
      <c r="T395" s="535" t="n"/>
      <c r="U395" s="535" t="n"/>
      <c r="V395" s="282" t="n"/>
      <c r="W395" s="282" t="n"/>
      <c r="X395" s="536" t="n"/>
      <c r="Y395" s="536" t="n"/>
      <c r="Z395" s="282" t="n"/>
      <c r="AA395" s="282" t="n"/>
      <c r="AB395" s="536" t="n"/>
      <c r="AC395" s="536" t="n"/>
      <c r="AD395" s="282" t="n"/>
      <c r="AE395" s="282" t="n"/>
      <c r="AF395" s="537" t="n"/>
      <c r="AG395" s="537" t="n"/>
      <c r="AH395" s="282" t="n"/>
      <c r="AI395" s="282" t="n"/>
      <c r="AJ395" s="537" t="n"/>
      <c r="AK395" s="537" t="n"/>
      <c r="AL395" s="282" t="n"/>
      <c r="AM395" s="282" t="n"/>
      <c r="AN395" s="282" t="n"/>
      <c r="AO395" s="282" t="n"/>
      <c r="AP395" s="282" t="n"/>
      <c r="AQ395" s="282" t="n"/>
      <c r="AR395" s="535" t="n"/>
      <c r="AS395" s="535" t="n"/>
      <c r="AT395" s="282" t="n"/>
      <c r="AU395" s="282" t="n"/>
    </row>
    <row customHeight="1" ht="15.75" r="396" s="452" spans="1:48">
      <c r="A396" s="44" t="n"/>
      <c r="D396" s="535" t="n"/>
      <c r="E396" s="535" t="n"/>
      <c r="F396" s="282" t="n"/>
      <c r="G396" s="282" t="n"/>
      <c r="H396" s="536" t="n"/>
      <c r="I396" s="535" t="n"/>
      <c r="J396" s="282" t="n"/>
      <c r="K396" s="282" t="n"/>
      <c r="L396" s="536" t="n"/>
      <c r="M396" s="535" t="n"/>
      <c r="N396" s="282" t="n"/>
      <c r="O396" s="282" t="n"/>
      <c r="P396" s="535" t="n"/>
      <c r="Q396" s="535" t="n"/>
      <c r="R396" s="282" t="n"/>
      <c r="S396" s="282" t="n"/>
      <c r="T396" s="535" t="n"/>
      <c r="U396" s="535" t="n"/>
      <c r="V396" s="282" t="n"/>
      <c r="W396" s="282" t="n"/>
      <c r="X396" s="536" t="n"/>
      <c r="Y396" s="536" t="n"/>
      <c r="Z396" s="282" t="n"/>
      <c r="AA396" s="282" t="n"/>
      <c r="AB396" s="536" t="n"/>
      <c r="AC396" s="536" t="n"/>
      <c r="AD396" s="282" t="n"/>
      <c r="AE396" s="282" t="n"/>
      <c r="AF396" s="537" t="n"/>
      <c r="AG396" s="537" t="n"/>
      <c r="AH396" s="282" t="n"/>
      <c r="AI396" s="282" t="n"/>
      <c r="AJ396" s="537" t="n"/>
      <c r="AK396" s="537" t="n"/>
      <c r="AL396" s="282" t="n"/>
      <c r="AM396" s="282" t="n"/>
      <c r="AN396" s="282" t="n"/>
      <c r="AO396" s="282" t="n"/>
      <c r="AP396" s="282" t="n"/>
      <c r="AQ396" s="282" t="n"/>
      <c r="AR396" s="535" t="n"/>
      <c r="AS396" s="535" t="n"/>
      <c r="AT396" s="282" t="n"/>
      <c r="AU396" s="282" t="n"/>
    </row>
    <row customHeight="1" ht="15.75" r="397" s="452" spans="1:48">
      <c r="A397" s="44" t="n"/>
      <c r="D397" s="535" t="n"/>
      <c r="E397" s="535" t="n"/>
      <c r="F397" s="282" t="n"/>
      <c r="G397" s="282" t="n"/>
      <c r="H397" s="536" t="n"/>
      <c r="I397" s="535" t="n"/>
      <c r="J397" s="282" t="n"/>
      <c r="K397" s="282" t="n"/>
      <c r="L397" s="536" t="n"/>
      <c r="M397" s="535" t="n"/>
      <c r="N397" s="282" t="n"/>
      <c r="O397" s="282" t="n"/>
      <c r="P397" s="535" t="n"/>
      <c r="Q397" s="535" t="n"/>
      <c r="R397" s="282" t="n"/>
      <c r="S397" s="282" t="n"/>
      <c r="T397" s="535" t="n"/>
      <c r="U397" s="535" t="n"/>
      <c r="V397" s="282" t="n"/>
      <c r="W397" s="282" t="n"/>
      <c r="X397" s="536" t="n"/>
      <c r="Y397" s="536" t="n"/>
      <c r="Z397" s="282" t="n"/>
      <c r="AA397" s="282" t="n"/>
      <c r="AB397" s="536" t="n"/>
      <c r="AC397" s="536" t="n"/>
      <c r="AD397" s="282" t="n"/>
      <c r="AE397" s="282" t="n"/>
      <c r="AF397" s="537" t="n"/>
      <c r="AG397" s="537" t="n"/>
      <c r="AH397" s="282" t="n"/>
      <c r="AI397" s="282" t="n"/>
      <c r="AJ397" s="537" t="n"/>
      <c r="AK397" s="537" t="n"/>
      <c r="AL397" s="282" t="n"/>
      <c r="AM397" s="282" t="n"/>
      <c r="AN397" s="282" t="n"/>
      <c r="AO397" s="282" t="n"/>
      <c r="AP397" s="282" t="n"/>
      <c r="AQ397" s="282" t="n"/>
      <c r="AR397" s="535" t="n"/>
      <c r="AS397" s="535" t="n"/>
      <c r="AT397" s="282" t="n"/>
      <c r="AU397" s="282" t="n"/>
    </row>
    <row customHeight="1" ht="15.75" r="398" s="452" spans="1:48">
      <c r="A398" s="44" t="n"/>
      <c r="D398" s="535" t="n"/>
      <c r="E398" s="535" t="n"/>
      <c r="F398" s="282" t="n"/>
      <c r="G398" s="282" t="n"/>
      <c r="H398" s="536" t="n"/>
      <c r="I398" s="535" t="n"/>
      <c r="J398" s="282" t="n"/>
      <c r="K398" s="282" t="n"/>
      <c r="L398" s="536" t="n"/>
      <c r="M398" s="535" t="n"/>
      <c r="N398" s="282" t="n"/>
      <c r="O398" s="282" t="n"/>
      <c r="P398" s="535" t="n"/>
      <c r="Q398" s="535" t="n"/>
      <c r="R398" s="282" t="n"/>
      <c r="S398" s="282" t="n"/>
      <c r="T398" s="535" t="n"/>
      <c r="U398" s="535" t="n"/>
      <c r="V398" s="282" t="n"/>
      <c r="W398" s="282" t="n"/>
      <c r="X398" s="536" t="n"/>
      <c r="Y398" s="536" t="n"/>
      <c r="Z398" s="282" t="n"/>
      <c r="AA398" s="282" t="n"/>
      <c r="AB398" s="536" t="n"/>
      <c r="AC398" s="536" t="n"/>
      <c r="AD398" s="282" t="n"/>
      <c r="AE398" s="282" t="n"/>
      <c r="AF398" s="537" t="n"/>
      <c r="AG398" s="537" t="n"/>
      <c r="AH398" s="282" t="n"/>
      <c r="AI398" s="282" t="n"/>
      <c r="AJ398" s="537" t="n"/>
      <c r="AK398" s="537" t="n"/>
      <c r="AL398" s="282" t="n"/>
      <c r="AM398" s="282" t="n"/>
      <c r="AN398" s="282" t="n"/>
      <c r="AO398" s="282" t="n"/>
      <c r="AP398" s="282" t="n"/>
      <c r="AQ398" s="282" t="n"/>
      <c r="AR398" s="535" t="n"/>
      <c r="AS398" s="535" t="n"/>
      <c r="AT398" s="282" t="n"/>
      <c r="AU398" s="282" t="n"/>
    </row>
    <row customHeight="1" ht="15.75" r="399" s="452" spans="1:48">
      <c r="A399" s="44" t="n"/>
      <c r="D399" s="535" t="n"/>
      <c r="E399" s="535" t="n"/>
      <c r="F399" s="282" t="n"/>
      <c r="G399" s="282" t="n"/>
      <c r="H399" s="536" t="n"/>
      <c r="I399" s="535" t="n"/>
      <c r="J399" s="282" t="n"/>
      <c r="K399" s="282" t="n"/>
      <c r="L399" s="536" t="n"/>
      <c r="M399" s="535" t="n"/>
      <c r="N399" s="282" t="n"/>
      <c r="O399" s="282" t="n"/>
      <c r="P399" s="535" t="n"/>
      <c r="Q399" s="535" t="n"/>
      <c r="R399" s="282" t="n"/>
      <c r="S399" s="282" t="n"/>
      <c r="T399" s="535" t="n"/>
      <c r="U399" s="535" t="n"/>
      <c r="V399" s="282" t="n"/>
      <c r="W399" s="282" t="n"/>
      <c r="X399" s="536" t="n"/>
      <c r="Y399" s="536" t="n"/>
      <c r="Z399" s="282" t="n"/>
      <c r="AA399" s="282" t="n"/>
      <c r="AB399" s="536" t="n"/>
      <c r="AC399" s="536" t="n"/>
      <c r="AD399" s="282" t="n"/>
      <c r="AE399" s="282" t="n"/>
      <c r="AF399" s="537" t="n"/>
      <c r="AG399" s="537" t="n"/>
      <c r="AH399" s="282" t="n"/>
      <c r="AI399" s="282" t="n"/>
      <c r="AJ399" s="537" t="n"/>
      <c r="AK399" s="537" t="n"/>
      <c r="AL399" s="282" t="n"/>
      <c r="AM399" s="282" t="n"/>
      <c r="AN399" s="282" t="n"/>
      <c r="AO399" s="282" t="n"/>
      <c r="AP399" s="282" t="n"/>
      <c r="AQ399" s="282" t="n"/>
      <c r="AR399" s="535" t="n"/>
      <c r="AS399" s="535" t="n"/>
      <c r="AT399" s="282" t="n"/>
      <c r="AU399" s="282" t="n"/>
    </row>
    <row customHeight="1" ht="15.75" r="400" s="452" spans="1:48">
      <c r="A400" s="44" t="n"/>
      <c r="D400" s="535" t="n"/>
      <c r="E400" s="535" t="n"/>
      <c r="F400" s="282" t="n"/>
      <c r="G400" s="282" t="n"/>
      <c r="H400" s="536" t="n"/>
      <c r="I400" s="535" t="n"/>
      <c r="J400" s="282" t="n"/>
      <c r="K400" s="282" t="n"/>
      <c r="L400" s="536" t="n"/>
      <c r="M400" s="535" t="n"/>
      <c r="N400" s="282" t="n"/>
      <c r="O400" s="282" t="n"/>
      <c r="P400" s="535" t="n"/>
      <c r="Q400" s="535" t="n"/>
      <c r="R400" s="282" t="n"/>
      <c r="S400" s="282" t="n"/>
      <c r="T400" s="535" t="n"/>
      <c r="U400" s="535" t="n"/>
      <c r="V400" s="282" t="n"/>
      <c r="W400" s="282" t="n"/>
      <c r="X400" s="536" t="n"/>
      <c r="Y400" s="536" t="n"/>
      <c r="Z400" s="282" t="n"/>
      <c r="AA400" s="282" t="n"/>
      <c r="AB400" s="536" t="n"/>
      <c r="AC400" s="536" t="n"/>
      <c r="AD400" s="282" t="n"/>
      <c r="AE400" s="282" t="n"/>
      <c r="AF400" s="537" t="n"/>
      <c r="AG400" s="537" t="n"/>
      <c r="AH400" s="282" t="n"/>
      <c r="AI400" s="282" t="n"/>
      <c r="AJ400" s="537" t="n"/>
      <c r="AK400" s="537" t="n"/>
      <c r="AL400" s="282" t="n"/>
      <c r="AM400" s="282" t="n"/>
      <c r="AN400" s="282" t="n"/>
      <c r="AO400" s="282" t="n"/>
      <c r="AP400" s="282" t="n"/>
      <c r="AQ400" s="282" t="n"/>
      <c r="AR400" s="535" t="n"/>
      <c r="AS400" s="535" t="n"/>
      <c r="AT400" s="282" t="n"/>
      <c r="AU400" s="282" t="n"/>
    </row>
    <row customHeight="1" ht="15.75" r="401" s="452" spans="1:48">
      <c r="A401" s="44" t="n"/>
      <c r="D401" s="535" t="n"/>
      <c r="E401" s="535" t="n"/>
      <c r="F401" s="282" t="n"/>
      <c r="G401" s="282" t="n"/>
      <c r="H401" s="536" t="n"/>
      <c r="I401" s="535" t="n"/>
      <c r="J401" s="282" t="n"/>
      <c r="K401" s="282" t="n"/>
      <c r="L401" s="536" t="n"/>
      <c r="M401" s="535" t="n"/>
      <c r="N401" s="282" t="n"/>
      <c r="O401" s="282" t="n"/>
      <c r="P401" s="535" t="n"/>
      <c r="Q401" s="535" t="n"/>
      <c r="R401" s="282" t="n"/>
      <c r="S401" s="282" t="n"/>
      <c r="T401" s="535" t="n"/>
      <c r="U401" s="535" t="n"/>
      <c r="V401" s="282" t="n"/>
      <c r="W401" s="282" t="n"/>
      <c r="X401" s="536" t="n"/>
      <c r="Y401" s="536" t="n"/>
      <c r="Z401" s="282" t="n"/>
      <c r="AA401" s="282" t="n"/>
      <c r="AB401" s="536" t="n"/>
      <c r="AC401" s="536" t="n"/>
      <c r="AD401" s="282" t="n"/>
      <c r="AE401" s="282" t="n"/>
      <c r="AF401" s="537" t="n"/>
      <c r="AG401" s="537" t="n"/>
      <c r="AH401" s="282" t="n"/>
      <c r="AI401" s="282" t="n"/>
      <c r="AJ401" s="537" t="n"/>
      <c r="AK401" s="537" t="n"/>
      <c r="AL401" s="282" t="n"/>
      <c r="AM401" s="282" t="n"/>
      <c r="AN401" s="282" t="n"/>
      <c r="AO401" s="282" t="n"/>
      <c r="AP401" s="282" t="n"/>
      <c r="AQ401" s="282" t="n"/>
      <c r="AR401" s="535" t="n"/>
      <c r="AS401" s="535" t="n"/>
      <c r="AT401" s="282" t="n"/>
      <c r="AU401" s="282" t="n"/>
    </row>
    <row customHeight="1" ht="15.75" r="402" s="452" spans="1:48">
      <c r="A402" s="44" t="n"/>
      <c r="D402" s="535" t="n"/>
      <c r="E402" s="535" t="n"/>
      <c r="F402" s="282" t="n"/>
      <c r="G402" s="282" t="n"/>
      <c r="H402" s="536" t="n"/>
      <c r="I402" s="535" t="n"/>
      <c r="J402" s="282" t="n"/>
      <c r="K402" s="282" t="n"/>
      <c r="L402" s="536" t="n"/>
      <c r="M402" s="535" t="n"/>
      <c r="N402" s="282" t="n"/>
      <c r="O402" s="282" t="n"/>
      <c r="P402" s="535" t="n"/>
      <c r="Q402" s="535" t="n"/>
      <c r="R402" s="282" t="n"/>
      <c r="S402" s="282" t="n"/>
      <c r="T402" s="535" t="n"/>
      <c r="U402" s="535" t="n"/>
      <c r="V402" s="282" t="n"/>
      <c r="W402" s="282" t="n"/>
      <c r="X402" s="536" t="n"/>
      <c r="Y402" s="536" t="n"/>
      <c r="Z402" s="282" t="n"/>
      <c r="AA402" s="282" t="n"/>
      <c r="AB402" s="536" t="n"/>
      <c r="AC402" s="536" t="n"/>
      <c r="AD402" s="282" t="n"/>
      <c r="AE402" s="282" t="n"/>
      <c r="AF402" s="537" t="n"/>
      <c r="AG402" s="537" t="n"/>
      <c r="AH402" s="282" t="n"/>
      <c r="AI402" s="282" t="n"/>
      <c r="AJ402" s="537" t="n"/>
      <c r="AK402" s="537" t="n"/>
      <c r="AL402" s="282" t="n"/>
      <c r="AM402" s="282" t="n"/>
      <c r="AN402" s="282" t="n"/>
      <c r="AO402" s="282" t="n"/>
      <c r="AP402" s="282" t="n"/>
      <c r="AQ402" s="282" t="n"/>
      <c r="AR402" s="535" t="n"/>
      <c r="AS402" s="535" t="n"/>
      <c r="AT402" s="282" t="n"/>
      <c r="AU402" s="282" t="n"/>
    </row>
    <row customHeight="1" ht="15.75" r="403" s="452" spans="1:48">
      <c r="A403" s="44" t="n"/>
      <c r="D403" s="535" t="n"/>
      <c r="E403" s="535" t="n"/>
      <c r="F403" s="282" t="n"/>
      <c r="G403" s="282" t="n"/>
      <c r="H403" s="536" t="n"/>
      <c r="I403" s="535" t="n"/>
      <c r="J403" s="282" t="n"/>
      <c r="K403" s="282" t="n"/>
      <c r="L403" s="536" t="n"/>
      <c r="M403" s="535" t="n"/>
      <c r="N403" s="282" t="n"/>
      <c r="O403" s="282" t="n"/>
      <c r="P403" s="535" t="n"/>
      <c r="Q403" s="535" t="n"/>
      <c r="R403" s="282" t="n"/>
      <c r="S403" s="282" t="n"/>
      <c r="T403" s="535" t="n"/>
      <c r="U403" s="535" t="n"/>
      <c r="V403" s="282" t="n"/>
      <c r="W403" s="282" t="n"/>
      <c r="X403" s="536" t="n"/>
      <c r="Y403" s="536" t="n"/>
      <c r="Z403" s="282" t="n"/>
      <c r="AA403" s="282" t="n"/>
      <c r="AB403" s="536" t="n"/>
      <c r="AC403" s="536" t="n"/>
      <c r="AD403" s="282" t="n"/>
      <c r="AE403" s="282" t="n"/>
      <c r="AF403" s="537" t="n"/>
      <c r="AG403" s="537" t="n"/>
      <c r="AH403" s="282" t="n"/>
      <c r="AI403" s="282" t="n"/>
      <c r="AJ403" s="537" t="n"/>
      <c r="AK403" s="537" t="n"/>
      <c r="AL403" s="282" t="n"/>
      <c r="AM403" s="282" t="n"/>
      <c r="AN403" s="282" t="n"/>
      <c r="AO403" s="282" t="n"/>
      <c r="AP403" s="282" t="n"/>
      <c r="AQ403" s="282" t="n"/>
      <c r="AR403" s="535" t="n"/>
      <c r="AS403" s="535" t="n"/>
      <c r="AT403" s="282" t="n"/>
      <c r="AU403" s="282" t="n"/>
    </row>
    <row customHeight="1" ht="15.75" r="404" s="452" spans="1:48">
      <c r="A404" s="44" t="n"/>
      <c r="D404" s="535" t="n"/>
      <c r="E404" s="535" t="n"/>
      <c r="F404" s="282" t="n"/>
      <c r="G404" s="282" t="n"/>
      <c r="H404" s="536" t="n"/>
      <c r="I404" s="535" t="n"/>
      <c r="J404" s="282" t="n"/>
      <c r="K404" s="282" t="n"/>
      <c r="L404" s="536" t="n"/>
      <c r="M404" s="535" t="n"/>
      <c r="N404" s="282" t="n"/>
      <c r="O404" s="282" t="n"/>
      <c r="P404" s="535" t="n"/>
      <c r="Q404" s="535" t="n"/>
      <c r="R404" s="282" t="n"/>
      <c r="S404" s="282" t="n"/>
      <c r="T404" s="535" t="n"/>
      <c r="U404" s="535" t="n"/>
      <c r="V404" s="282" t="n"/>
      <c r="W404" s="282" t="n"/>
      <c r="X404" s="536" t="n"/>
      <c r="Y404" s="536" t="n"/>
      <c r="Z404" s="282" t="n"/>
      <c r="AA404" s="282" t="n"/>
      <c r="AB404" s="536" t="n"/>
      <c r="AC404" s="536" t="n"/>
      <c r="AD404" s="282" t="n"/>
      <c r="AE404" s="282" t="n"/>
      <c r="AF404" s="537" t="n"/>
      <c r="AG404" s="537" t="n"/>
      <c r="AH404" s="282" t="n"/>
      <c r="AI404" s="282" t="n"/>
      <c r="AJ404" s="537" t="n"/>
      <c r="AK404" s="537" t="n"/>
      <c r="AL404" s="282" t="n"/>
      <c r="AM404" s="282" t="n"/>
      <c r="AN404" s="282" t="n"/>
      <c r="AO404" s="282" t="n"/>
      <c r="AP404" s="282" t="n"/>
      <c r="AQ404" s="282" t="n"/>
      <c r="AR404" s="535" t="n"/>
      <c r="AS404" s="535" t="n"/>
      <c r="AT404" s="282" t="n"/>
      <c r="AU404" s="282" t="n"/>
    </row>
    <row customHeight="1" ht="15.75" r="405" s="452" spans="1:48">
      <c r="A405" s="44" t="n"/>
      <c r="D405" s="535" t="n"/>
      <c r="E405" s="535" t="n"/>
      <c r="F405" s="282" t="n"/>
      <c r="G405" s="282" t="n"/>
      <c r="H405" s="536" t="n"/>
      <c r="I405" s="535" t="n"/>
      <c r="J405" s="282" t="n"/>
      <c r="K405" s="282" t="n"/>
      <c r="L405" s="536" t="n"/>
      <c r="M405" s="535" t="n"/>
      <c r="N405" s="282" t="n"/>
      <c r="O405" s="282" t="n"/>
      <c r="P405" s="535" t="n"/>
      <c r="Q405" s="535" t="n"/>
      <c r="R405" s="282" t="n"/>
      <c r="S405" s="282" t="n"/>
      <c r="T405" s="535" t="n"/>
      <c r="U405" s="535" t="n"/>
      <c r="V405" s="282" t="n"/>
      <c r="W405" s="282" t="n"/>
      <c r="X405" s="536" t="n"/>
      <c r="Y405" s="536" t="n"/>
      <c r="Z405" s="282" t="n"/>
      <c r="AA405" s="282" t="n"/>
      <c r="AB405" s="536" t="n"/>
      <c r="AC405" s="536" t="n"/>
      <c r="AD405" s="282" t="n"/>
      <c r="AE405" s="282" t="n"/>
      <c r="AF405" s="537" t="n"/>
      <c r="AG405" s="537" t="n"/>
      <c r="AH405" s="282" t="n"/>
      <c r="AI405" s="282" t="n"/>
      <c r="AJ405" s="537" t="n"/>
      <c r="AK405" s="537" t="n"/>
      <c r="AL405" s="282" t="n"/>
      <c r="AM405" s="282" t="n"/>
      <c r="AN405" s="282" t="n"/>
      <c r="AO405" s="282" t="n"/>
      <c r="AP405" s="282" t="n"/>
      <c r="AQ405" s="282" t="n"/>
      <c r="AR405" s="535" t="n"/>
      <c r="AS405" s="535" t="n"/>
      <c r="AT405" s="282" t="n"/>
      <c r="AU405" s="282" t="n"/>
    </row>
    <row customHeight="1" ht="15.75" r="406" s="452" spans="1:48">
      <c r="A406" s="44" t="n"/>
      <c r="D406" s="535" t="n"/>
      <c r="E406" s="535" t="n"/>
      <c r="F406" s="282" t="n"/>
      <c r="G406" s="282" t="n"/>
      <c r="H406" s="536" t="n"/>
      <c r="I406" s="535" t="n"/>
      <c r="J406" s="282" t="n"/>
      <c r="K406" s="282" t="n"/>
      <c r="L406" s="536" t="n"/>
      <c r="M406" s="535" t="n"/>
      <c r="N406" s="282" t="n"/>
      <c r="O406" s="282" t="n"/>
      <c r="P406" s="535" t="n"/>
      <c r="Q406" s="535" t="n"/>
      <c r="R406" s="282" t="n"/>
      <c r="S406" s="282" t="n"/>
      <c r="T406" s="535" t="n"/>
      <c r="U406" s="535" t="n"/>
      <c r="V406" s="282" t="n"/>
      <c r="W406" s="282" t="n"/>
      <c r="X406" s="536" t="n"/>
      <c r="Y406" s="536" t="n"/>
      <c r="Z406" s="282" t="n"/>
      <c r="AA406" s="282" t="n"/>
      <c r="AB406" s="536" t="n"/>
      <c r="AC406" s="536" t="n"/>
      <c r="AD406" s="282" t="n"/>
      <c r="AE406" s="282" t="n"/>
      <c r="AF406" s="537" t="n"/>
      <c r="AG406" s="537" t="n"/>
      <c r="AH406" s="282" t="n"/>
      <c r="AI406" s="282" t="n"/>
      <c r="AJ406" s="537" t="n"/>
      <c r="AK406" s="537" t="n"/>
      <c r="AL406" s="282" t="n"/>
      <c r="AM406" s="282" t="n"/>
      <c r="AN406" s="282" t="n"/>
      <c r="AO406" s="282" t="n"/>
      <c r="AP406" s="282" t="n"/>
      <c r="AQ406" s="282" t="n"/>
      <c r="AR406" s="535" t="n"/>
      <c r="AS406" s="535" t="n"/>
      <c r="AT406" s="282" t="n"/>
      <c r="AU406" s="282" t="n"/>
    </row>
    <row customHeight="1" ht="15.75" r="407" s="452" spans="1:48">
      <c r="A407" s="44" t="n"/>
      <c r="D407" s="535" t="n"/>
      <c r="E407" s="535" t="n"/>
      <c r="F407" s="282" t="n"/>
      <c r="G407" s="282" t="n"/>
      <c r="H407" s="536" t="n"/>
      <c r="I407" s="535" t="n"/>
      <c r="J407" s="282" t="n"/>
      <c r="K407" s="282" t="n"/>
      <c r="L407" s="536" t="n"/>
      <c r="M407" s="535" t="n"/>
      <c r="N407" s="282" t="n"/>
      <c r="O407" s="282" t="n"/>
      <c r="P407" s="535" t="n"/>
      <c r="Q407" s="535" t="n"/>
      <c r="R407" s="282" t="n"/>
      <c r="S407" s="282" t="n"/>
      <c r="T407" s="535" t="n"/>
      <c r="U407" s="535" t="n"/>
      <c r="V407" s="282" t="n"/>
      <c r="W407" s="282" t="n"/>
      <c r="X407" s="536" t="n"/>
      <c r="Y407" s="536" t="n"/>
      <c r="Z407" s="282" t="n"/>
      <c r="AA407" s="282" t="n"/>
      <c r="AB407" s="536" t="n"/>
      <c r="AC407" s="536" t="n"/>
      <c r="AD407" s="282" t="n"/>
      <c r="AE407" s="282" t="n"/>
      <c r="AF407" s="537" t="n"/>
      <c r="AG407" s="537" t="n"/>
      <c r="AH407" s="282" t="n"/>
      <c r="AI407" s="282" t="n"/>
      <c r="AJ407" s="537" t="n"/>
      <c r="AK407" s="537" t="n"/>
      <c r="AL407" s="282" t="n"/>
      <c r="AM407" s="282" t="n"/>
      <c r="AN407" s="282" t="n"/>
      <c r="AO407" s="282" t="n"/>
      <c r="AP407" s="282" t="n"/>
      <c r="AQ407" s="282" t="n"/>
      <c r="AR407" s="535" t="n"/>
      <c r="AS407" s="535" t="n"/>
      <c r="AT407" s="282" t="n"/>
      <c r="AU407" s="282" t="n"/>
    </row>
    <row customHeight="1" ht="15.75" r="408" s="452" spans="1:48">
      <c r="A408" s="44" t="n"/>
      <c r="D408" s="535" t="n"/>
      <c r="E408" s="535" t="n"/>
      <c r="F408" s="282" t="n"/>
      <c r="G408" s="282" t="n"/>
      <c r="H408" s="536" t="n"/>
      <c r="I408" s="535" t="n"/>
      <c r="J408" s="282" t="n"/>
      <c r="K408" s="282" t="n"/>
      <c r="L408" s="536" t="n"/>
      <c r="M408" s="535" t="n"/>
      <c r="N408" s="282" t="n"/>
      <c r="O408" s="282" t="n"/>
      <c r="P408" s="535" t="n"/>
      <c r="Q408" s="535" t="n"/>
      <c r="R408" s="282" t="n"/>
      <c r="S408" s="282" t="n"/>
      <c r="T408" s="535" t="n"/>
      <c r="U408" s="535" t="n"/>
      <c r="V408" s="282" t="n"/>
      <c r="W408" s="282" t="n"/>
      <c r="X408" s="536" t="n"/>
      <c r="Y408" s="536" t="n"/>
      <c r="Z408" s="282" t="n"/>
      <c r="AA408" s="282" t="n"/>
      <c r="AB408" s="536" t="n"/>
      <c r="AC408" s="536" t="n"/>
      <c r="AD408" s="282" t="n"/>
      <c r="AE408" s="282" t="n"/>
      <c r="AF408" s="537" t="n"/>
      <c r="AG408" s="537" t="n"/>
      <c r="AH408" s="282" t="n"/>
      <c r="AI408" s="282" t="n"/>
      <c r="AJ408" s="537" t="n"/>
      <c r="AK408" s="537" t="n"/>
      <c r="AL408" s="282" t="n"/>
      <c r="AM408" s="282" t="n"/>
      <c r="AN408" s="282" t="n"/>
      <c r="AO408" s="282" t="n"/>
      <c r="AP408" s="282" t="n"/>
      <c r="AQ408" s="282" t="n"/>
      <c r="AR408" s="535" t="n"/>
      <c r="AS408" s="535" t="n"/>
      <c r="AT408" s="282" t="n"/>
      <c r="AU408" s="282" t="n"/>
    </row>
    <row customHeight="1" ht="15.75" r="409" s="452" spans="1:48">
      <c r="A409" s="44" t="n"/>
      <c r="D409" s="535" t="n"/>
      <c r="E409" s="535" t="n"/>
      <c r="F409" s="282" t="n"/>
      <c r="G409" s="282" t="n"/>
      <c r="H409" s="536" t="n"/>
      <c r="I409" s="535" t="n"/>
      <c r="J409" s="282" t="n"/>
      <c r="K409" s="282" t="n"/>
      <c r="L409" s="536" t="n"/>
      <c r="M409" s="535" t="n"/>
      <c r="N409" s="282" t="n"/>
      <c r="O409" s="282" t="n"/>
      <c r="P409" s="535" t="n"/>
      <c r="Q409" s="535" t="n"/>
      <c r="R409" s="282" t="n"/>
      <c r="S409" s="282" t="n"/>
      <c r="T409" s="535" t="n"/>
      <c r="U409" s="535" t="n"/>
      <c r="V409" s="282" t="n"/>
      <c r="W409" s="282" t="n"/>
      <c r="X409" s="536" t="n"/>
      <c r="Y409" s="536" t="n"/>
      <c r="Z409" s="282" t="n"/>
      <c r="AA409" s="282" t="n"/>
      <c r="AB409" s="536" t="n"/>
      <c r="AC409" s="536" t="n"/>
      <c r="AD409" s="282" t="n"/>
      <c r="AE409" s="282" t="n"/>
      <c r="AF409" s="537" t="n"/>
      <c r="AG409" s="537" t="n"/>
      <c r="AH409" s="282" t="n"/>
      <c r="AI409" s="282" t="n"/>
      <c r="AJ409" s="537" t="n"/>
      <c r="AK409" s="537" t="n"/>
      <c r="AL409" s="282" t="n"/>
      <c r="AM409" s="282" t="n"/>
      <c r="AN409" s="282" t="n"/>
      <c r="AO409" s="282" t="n"/>
      <c r="AP409" s="282" t="n"/>
      <c r="AQ409" s="282" t="n"/>
      <c r="AR409" s="535" t="n"/>
      <c r="AS409" s="535" t="n"/>
      <c r="AT409" s="282" t="n"/>
      <c r="AU409" s="282" t="n"/>
    </row>
    <row customHeight="1" ht="15.75" r="410" s="452" spans="1:48">
      <c r="A410" s="44" t="n"/>
      <c r="D410" s="535" t="n"/>
      <c r="E410" s="535" t="n"/>
      <c r="F410" s="282" t="n"/>
      <c r="G410" s="282" t="n"/>
      <c r="H410" s="536" t="n"/>
      <c r="I410" s="535" t="n"/>
      <c r="J410" s="282" t="n"/>
      <c r="K410" s="282" t="n"/>
      <c r="L410" s="536" t="n"/>
      <c r="M410" s="535" t="n"/>
      <c r="N410" s="282" t="n"/>
      <c r="O410" s="282" t="n"/>
      <c r="P410" s="535" t="n"/>
      <c r="Q410" s="535" t="n"/>
      <c r="R410" s="282" t="n"/>
      <c r="S410" s="282" t="n"/>
      <c r="T410" s="535" t="n"/>
      <c r="U410" s="535" t="n"/>
      <c r="V410" s="282" t="n"/>
      <c r="W410" s="282" t="n"/>
      <c r="X410" s="536" t="n"/>
      <c r="Y410" s="536" t="n"/>
      <c r="Z410" s="282" t="n"/>
      <c r="AA410" s="282" t="n"/>
      <c r="AB410" s="536" t="n"/>
      <c r="AC410" s="536" t="n"/>
      <c r="AD410" s="282" t="n"/>
      <c r="AE410" s="282" t="n"/>
      <c r="AF410" s="537" t="n"/>
      <c r="AG410" s="537" t="n"/>
      <c r="AH410" s="282" t="n"/>
      <c r="AI410" s="282" t="n"/>
      <c r="AJ410" s="537" t="n"/>
      <c r="AK410" s="537" t="n"/>
      <c r="AL410" s="282" t="n"/>
      <c r="AM410" s="282" t="n"/>
      <c r="AN410" s="282" t="n"/>
      <c r="AO410" s="282" t="n"/>
      <c r="AP410" s="282" t="n"/>
      <c r="AQ410" s="282" t="n"/>
      <c r="AR410" s="535" t="n"/>
      <c r="AS410" s="535" t="n"/>
      <c r="AT410" s="282" t="n"/>
      <c r="AU410" s="282" t="n"/>
    </row>
    <row customHeight="1" ht="15.75" r="411" s="452" spans="1:48">
      <c r="A411" s="44" t="n"/>
      <c r="D411" s="535" t="n"/>
      <c r="E411" s="535" t="n"/>
      <c r="F411" s="282" t="n"/>
      <c r="G411" s="282" t="n"/>
      <c r="H411" s="536" t="n"/>
      <c r="I411" s="535" t="n"/>
      <c r="J411" s="282" t="n"/>
      <c r="K411" s="282" t="n"/>
      <c r="L411" s="536" t="n"/>
      <c r="M411" s="535" t="n"/>
      <c r="N411" s="282" t="n"/>
      <c r="O411" s="282" t="n"/>
      <c r="P411" s="535" t="n"/>
      <c r="Q411" s="535" t="n"/>
      <c r="R411" s="282" t="n"/>
      <c r="S411" s="282" t="n"/>
      <c r="T411" s="535" t="n"/>
      <c r="U411" s="535" t="n"/>
      <c r="V411" s="282" t="n"/>
      <c r="W411" s="282" t="n"/>
      <c r="X411" s="536" t="n"/>
      <c r="Y411" s="536" t="n"/>
      <c r="Z411" s="282" t="n"/>
      <c r="AA411" s="282" t="n"/>
      <c r="AB411" s="536" t="n"/>
      <c r="AC411" s="536" t="n"/>
      <c r="AD411" s="282" t="n"/>
      <c r="AE411" s="282" t="n"/>
      <c r="AF411" s="537" t="n"/>
      <c r="AG411" s="537" t="n"/>
      <c r="AH411" s="282" t="n"/>
      <c r="AI411" s="282" t="n"/>
      <c r="AJ411" s="537" t="n"/>
      <c r="AK411" s="537" t="n"/>
      <c r="AL411" s="282" t="n"/>
      <c r="AM411" s="282" t="n"/>
      <c r="AN411" s="282" t="n"/>
      <c r="AO411" s="282" t="n"/>
      <c r="AP411" s="282" t="n"/>
      <c r="AQ411" s="282" t="n"/>
      <c r="AR411" s="535" t="n"/>
      <c r="AS411" s="535" t="n"/>
      <c r="AT411" s="282" t="n"/>
      <c r="AU411" s="282" t="n"/>
    </row>
    <row customHeight="1" ht="15.75" r="412" s="452" spans="1:48">
      <c r="A412" s="44" t="n"/>
      <c r="D412" s="535" t="n"/>
      <c r="E412" s="535" t="n"/>
      <c r="F412" s="282" t="n"/>
      <c r="G412" s="282" t="n"/>
      <c r="H412" s="536" t="n"/>
      <c r="I412" s="535" t="n"/>
      <c r="J412" s="282" t="n"/>
      <c r="K412" s="282" t="n"/>
      <c r="L412" s="536" t="n"/>
      <c r="M412" s="535" t="n"/>
      <c r="N412" s="282" t="n"/>
      <c r="O412" s="282" t="n"/>
      <c r="P412" s="535" t="n"/>
      <c r="Q412" s="535" t="n"/>
      <c r="R412" s="282" t="n"/>
      <c r="S412" s="282" t="n"/>
      <c r="T412" s="535" t="n"/>
      <c r="U412" s="535" t="n"/>
      <c r="V412" s="282" t="n"/>
      <c r="W412" s="282" t="n"/>
      <c r="X412" s="536" t="n"/>
      <c r="Y412" s="536" t="n"/>
      <c r="Z412" s="282" t="n"/>
      <c r="AA412" s="282" t="n"/>
      <c r="AB412" s="536" t="n"/>
      <c r="AC412" s="536" t="n"/>
      <c r="AD412" s="282" t="n"/>
      <c r="AE412" s="282" t="n"/>
      <c r="AF412" s="537" t="n"/>
      <c r="AG412" s="537" t="n"/>
      <c r="AH412" s="282" t="n"/>
      <c r="AI412" s="282" t="n"/>
      <c r="AJ412" s="537" t="n"/>
      <c r="AK412" s="537" t="n"/>
      <c r="AL412" s="282" t="n"/>
      <c r="AM412" s="282" t="n"/>
      <c r="AN412" s="282" t="n"/>
      <c r="AO412" s="282" t="n"/>
      <c r="AP412" s="282" t="n"/>
      <c r="AQ412" s="282" t="n"/>
      <c r="AR412" s="535" t="n"/>
      <c r="AS412" s="535" t="n"/>
      <c r="AT412" s="282" t="n"/>
      <c r="AU412" s="282" t="n"/>
    </row>
    <row customHeight="1" ht="15.75" r="413" s="452" spans="1:48">
      <c r="A413" s="44" t="n"/>
      <c r="D413" s="535" t="n"/>
      <c r="E413" s="535" t="n"/>
      <c r="F413" s="282" t="n"/>
      <c r="G413" s="282" t="n"/>
      <c r="H413" s="536" t="n"/>
      <c r="I413" s="535" t="n"/>
      <c r="J413" s="282" t="n"/>
      <c r="K413" s="282" t="n"/>
      <c r="L413" s="536" t="n"/>
      <c r="M413" s="535" t="n"/>
      <c r="N413" s="282" t="n"/>
      <c r="O413" s="282" t="n"/>
      <c r="P413" s="535" t="n"/>
      <c r="Q413" s="535" t="n"/>
      <c r="R413" s="282" t="n"/>
      <c r="S413" s="282" t="n"/>
      <c r="T413" s="535" t="n"/>
      <c r="U413" s="535" t="n"/>
      <c r="V413" s="282" t="n"/>
      <c r="W413" s="282" t="n"/>
      <c r="X413" s="536" t="n"/>
      <c r="Y413" s="536" t="n"/>
      <c r="Z413" s="282" t="n"/>
      <c r="AA413" s="282" t="n"/>
      <c r="AB413" s="536" t="n"/>
      <c r="AC413" s="536" t="n"/>
      <c r="AD413" s="282" t="n"/>
      <c r="AE413" s="282" t="n"/>
      <c r="AF413" s="537" t="n"/>
      <c r="AG413" s="537" t="n"/>
      <c r="AH413" s="282" t="n"/>
      <c r="AI413" s="282" t="n"/>
      <c r="AJ413" s="537" t="n"/>
      <c r="AK413" s="537" t="n"/>
      <c r="AL413" s="282" t="n"/>
      <c r="AM413" s="282" t="n"/>
      <c r="AN413" s="282" t="n"/>
      <c r="AO413" s="282" t="n"/>
      <c r="AP413" s="282" t="n"/>
      <c r="AQ413" s="282" t="n"/>
      <c r="AR413" s="535" t="n"/>
      <c r="AS413" s="535" t="n"/>
      <c r="AT413" s="282" t="n"/>
      <c r="AU413" s="282" t="n"/>
    </row>
    <row customHeight="1" ht="15.75" r="414" s="452" spans="1:48">
      <c r="A414" s="44" t="n"/>
      <c r="D414" s="535" t="n"/>
      <c r="E414" s="535" t="n"/>
      <c r="F414" s="282" t="n"/>
      <c r="G414" s="282" t="n"/>
      <c r="H414" s="536" t="n"/>
      <c r="I414" s="535" t="n"/>
      <c r="J414" s="282" t="n"/>
      <c r="K414" s="282" t="n"/>
      <c r="L414" s="536" t="n"/>
      <c r="M414" s="535" t="n"/>
      <c r="N414" s="282" t="n"/>
      <c r="O414" s="282" t="n"/>
      <c r="P414" s="535" t="n"/>
      <c r="Q414" s="535" t="n"/>
      <c r="R414" s="282" t="n"/>
      <c r="S414" s="282" t="n"/>
      <c r="T414" s="535" t="n"/>
      <c r="U414" s="535" t="n"/>
      <c r="V414" s="282" t="n"/>
      <c r="W414" s="282" t="n"/>
      <c r="X414" s="536" t="n"/>
      <c r="Y414" s="536" t="n"/>
      <c r="Z414" s="282" t="n"/>
      <c r="AA414" s="282" t="n"/>
      <c r="AB414" s="536" t="n"/>
      <c r="AC414" s="536" t="n"/>
      <c r="AD414" s="282" t="n"/>
      <c r="AE414" s="282" t="n"/>
      <c r="AF414" s="537" t="n"/>
      <c r="AG414" s="537" t="n"/>
      <c r="AH414" s="282" t="n"/>
      <c r="AI414" s="282" t="n"/>
      <c r="AJ414" s="537" t="n"/>
      <c r="AK414" s="537" t="n"/>
      <c r="AL414" s="282" t="n"/>
      <c r="AM414" s="282" t="n"/>
      <c r="AN414" s="282" t="n"/>
      <c r="AO414" s="282" t="n"/>
      <c r="AP414" s="282" t="n"/>
      <c r="AQ414" s="282" t="n"/>
      <c r="AR414" s="535" t="n"/>
      <c r="AS414" s="535" t="n"/>
      <c r="AT414" s="282" t="n"/>
      <c r="AU414" s="282" t="n"/>
    </row>
    <row customHeight="1" ht="15.75" r="415" s="452" spans="1:48">
      <c r="A415" s="44" t="n"/>
      <c r="D415" s="535" t="n"/>
      <c r="E415" s="535" t="n"/>
      <c r="F415" s="282" t="n"/>
      <c r="G415" s="282" t="n"/>
      <c r="H415" s="536" t="n"/>
      <c r="I415" s="535" t="n"/>
      <c r="J415" s="282" t="n"/>
      <c r="K415" s="282" t="n"/>
      <c r="L415" s="536" t="n"/>
      <c r="M415" s="535" t="n"/>
      <c r="N415" s="282" t="n"/>
      <c r="O415" s="282" t="n"/>
      <c r="P415" s="535" t="n"/>
      <c r="Q415" s="535" t="n"/>
      <c r="R415" s="282" t="n"/>
      <c r="S415" s="282" t="n"/>
      <c r="T415" s="535" t="n"/>
      <c r="U415" s="535" t="n"/>
      <c r="V415" s="282" t="n"/>
      <c r="W415" s="282" t="n"/>
      <c r="X415" s="536" t="n"/>
      <c r="Y415" s="536" t="n"/>
      <c r="Z415" s="282" t="n"/>
      <c r="AA415" s="282" t="n"/>
      <c r="AB415" s="536" t="n"/>
      <c r="AC415" s="536" t="n"/>
      <c r="AD415" s="282" t="n"/>
      <c r="AE415" s="282" t="n"/>
      <c r="AF415" s="537" t="n"/>
      <c r="AG415" s="537" t="n"/>
      <c r="AH415" s="282" t="n"/>
      <c r="AI415" s="282" t="n"/>
      <c r="AJ415" s="537" t="n"/>
      <c r="AK415" s="537" t="n"/>
      <c r="AL415" s="282" t="n"/>
      <c r="AM415" s="282" t="n"/>
      <c r="AN415" s="282" t="n"/>
      <c r="AO415" s="282" t="n"/>
      <c r="AP415" s="282" t="n"/>
      <c r="AQ415" s="282" t="n"/>
      <c r="AR415" s="535" t="n"/>
      <c r="AS415" s="535" t="n"/>
      <c r="AT415" s="282" t="n"/>
      <c r="AU415" s="282" t="n"/>
    </row>
    <row customHeight="1" ht="15.75" r="416" s="452" spans="1:48">
      <c r="A416" s="44" t="n"/>
      <c r="D416" s="535" t="n"/>
      <c r="E416" s="535" t="n"/>
      <c r="F416" s="282" t="n"/>
      <c r="G416" s="282" t="n"/>
      <c r="H416" s="536" t="n"/>
      <c r="I416" s="535" t="n"/>
      <c r="J416" s="282" t="n"/>
      <c r="K416" s="282" t="n"/>
      <c r="L416" s="536" t="n"/>
      <c r="M416" s="535" t="n"/>
      <c r="N416" s="282" t="n"/>
      <c r="O416" s="282" t="n"/>
      <c r="P416" s="535" t="n"/>
      <c r="Q416" s="535" t="n"/>
      <c r="R416" s="282" t="n"/>
      <c r="S416" s="282" t="n"/>
      <c r="T416" s="535" t="n"/>
      <c r="U416" s="535" t="n"/>
      <c r="V416" s="282" t="n"/>
      <c r="W416" s="282" t="n"/>
      <c r="X416" s="536" t="n"/>
      <c r="Y416" s="536" t="n"/>
      <c r="Z416" s="282" t="n"/>
      <c r="AA416" s="282" t="n"/>
      <c r="AB416" s="536" t="n"/>
      <c r="AC416" s="536" t="n"/>
      <c r="AD416" s="282" t="n"/>
      <c r="AE416" s="282" t="n"/>
      <c r="AF416" s="537" t="n"/>
      <c r="AG416" s="537" t="n"/>
      <c r="AH416" s="282" t="n"/>
      <c r="AI416" s="282" t="n"/>
      <c r="AJ416" s="537" t="n"/>
      <c r="AK416" s="537" t="n"/>
      <c r="AL416" s="282" t="n"/>
      <c r="AM416" s="282" t="n"/>
      <c r="AN416" s="282" t="n"/>
      <c r="AO416" s="282" t="n"/>
      <c r="AP416" s="282" t="n"/>
      <c r="AQ416" s="282" t="n"/>
      <c r="AR416" s="535" t="n"/>
      <c r="AS416" s="535" t="n"/>
      <c r="AT416" s="282" t="n"/>
      <c r="AU416" s="282" t="n"/>
    </row>
    <row customHeight="1" ht="15.75" r="417" s="452" spans="1:48">
      <c r="A417" s="44" t="n"/>
      <c r="D417" s="535" t="n"/>
      <c r="E417" s="535" t="n"/>
      <c r="F417" s="282" t="n"/>
      <c r="G417" s="282" t="n"/>
      <c r="H417" s="536" t="n"/>
      <c r="I417" s="535" t="n"/>
      <c r="J417" s="282" t="n"/>
      <c r="K417" s="282" t="n"/>
      <c r="L417" s="536" t="n"/>
      <c r="M417" s="535" t="n"/>
      <c r="N417" s="282" t="n"/>
      <c r="O417" s="282" t="n"/>
      <c r="P417" s="535" t="n"/>
      <c r="Q417" s="535" t="n"/>
      <c r="R417" s="282" t="n"/>
      <c r="S417" s="282" t="n"/>
      <c r="T417" s="535" t="n"/>
      <c r="U417" s="535" t="n"/>
      <c r="V417" s="282" t="n"/>
      <c r="W417" s="282" t="n"/>
      <c r="X417" s="536" t="n"/>
      <c r="Y417" s="536" t="n"/>
      <c r="Z417" s="282" t="n"/>
      <c r="AA417" s="282" t="n"/>
      <c r="AB417" s="536" t="n"/>
      <c r="AC417" s="536" t="n"/>
      <c r="AD417" s="282" t="n"/>
      <c r="AE417" s="282" t="n"/>
      <c r="AF417" s="537" t="n"/>
      <c r="AG417" s="537" t="n"/>
      <c r="AH417" s="282" t="n"/>
      <c r="AI417" s="282" t="n"/>
      <c r="AJ417" s="537" t="n"/>
      <c r="AK417" s="537" t="n"/>
      <c r="AL417" s="282" t="n"/>
      <c r="AM417" s="282" t="n"/>
      <c r="AN417" s="282" t="n"/>
      <c r="AO417" s="282" t="n"/>
      <c r="AP417" s="282" t="n"/>
      <c r="AQ417" s="282" t="n"/>
      <c r="AR417" s="535" t="n"/>
      <c r="AS417" s="535" t="n"/>
      <c r="AT417" s="282" t="n"/>
      <c r="AU417" s="282" t="n"/>
    </row>
    <row customHeight="1" ht="15.75" r="418" s="452" spans="1:48">
      <c r="A418" s="44" t="n"/>
      <c r="D418" s="535" t="n"/>
      <c r="E418" s="535" t="n"/>
      <c r="F418" s="282" t="n"/>
      <c r="G418" s="282" t="n"/>
      <c r="H418" s="536" t="n"/>
      <c r="I418" s="535" t="n"/>
      <c r="J418" s="282" t="n"/>
      <c r="K418" s="282" t="n"/>
      <c r="L418" s="536" t="n"/>
      <c r="M418" s="535" t="n"/>
      <c r="N418" s="282" t="n"/>
      <c r="O418" s="282" t="n"/>
      <c r="P418" s="535" t="n"/>
      <c r="Q418" s="535" t="n"/>
      <c r="R418" s="282" t="n"/>
      <c r="S418" s="282" t="n"/>
      <c r="T418" s="535" t="n"/>
      <c r="U418" s="535" t="n"/>
      <c r="V418" s="282" t="n"/>
      <c r="W418" s="282" t="n"/>
      <c r="X418" s="536" t="n"/>
      <c r="Y418" s="536" t="n"/>
      <c r="Z418" s="282" t="n"/>
      <c r="AA418" s="282" t="n"/>
      <c r="AB418" s="536" t="n"/>
      <c r="AC418" s="536" t="n"/>
      <c r="AD418" s="282" t="n"/>
      <c r="AE418" s="282" t="n"/>
      <c r="AF418" s="537" t="n"/>
      <c r="AG418" s="537" t="n"/>
      <c r="AH418" s="282" t="n"/>
      <c r="AI418" s="282" t="n"/>
      <c r="AJ418" s="537" t="n"/>
      <c r="AK418" s="537" t="n"/>
      <c r="AL418" s="282" t="n"/>
      <c r="AM418" s="282" t="n"/>
      <c r="AN418" s="282" t="n"/>
      <c r="AO418" s="282" t="n"/>
      <c r="AP418" s="282" t="n"/>
      <c r="AQ418" s="282" t="n"/>
      <c r="AR418" s="535" t="n"/>
      <c r="AS418" s="535" t="n"/>
      <c r="AT418" s="282" t="n"/>
      <c r="AU418" s="282" t="n"/>
    </row>
    <row customHeight="1" ht="15.75" r="419" s="452" spans="1:48">
      <c r="A419" s="44" t="n"/>
      <c r="D419" s="535" t="n"/>
      <c r="E419" s="535" t="n"/>
      <c r="F419" s="282" t="n"/>
      <c r="G419" s="282" t="n"/>
      <c r="H419" s="536" t="n"/>
      <c r="I419" s="535" t="n"/>
      <c r="J419" s="282" t="n"/>
      <c r="K419" s="282" t="n"/>
      <c r="L419" s="536" t="n"/>
      <c r="M419" s="535" t="n"/>
      <c r="N419" s="282" t="n"/>
      <c r="O419" s="282" t="n"/>
      <c r="P419" s="535" t="n"/>
      <c r="Q419" s="535" t="n"/>
      <c r="R419" s="282" t="n"/>
      <c r="S419" s="282" t="n"/>
      <c r="T419" s="535" t="n"/>
      <c r="U419" s="535" t="n"/>
      <c r="V419" s="282" t="n"/>
      <c r="W419" s="282" t="n"/>
      <c r="X419" s="536" t="n"/>
      <c r="Y419" s="536" t="n"/>
      <c r="Z419" s="282" t="n"/>
      <c r="AA419" s="282" t="n"/>
      <c r="AB419" s="536" t="n"/>
      <c r="AC419" s="536" t="n"/>
      <c r="AD419" s="282" t="n"/>
      <c r="AE419" s="282" t="n"/>
      <c r="AF419" s="537" t="n"/>
      <c r="AG419" s="537" t="n"/>
      <c r="AH419" s="282" t="n"/>
      <c r="AI419" s="282" t="n"/>
      <c r="AJ419" s="537" t="n"/>
      <c r="AK419" s="537" t="n"/>
      <c r="AL419" s="282" t="n"/>
      <c r="AM419" s="282" t="n"/>
      <c r="AN419" s="282" t="n"/>
      <c r="AO419" s="282" t="n"/>
      <c r="AP419" s="282" t="n"/>
      <c r="AQ419" s="282" t="n"/>
      <c r="AR419" s="535" t="n"/>
      <c r="AS419" s="535" t="n"/>
      <c r="AT419" s="282" t="n"/>
      <c r="AU419" s="282" t="n"/>
    </row>
    <row customHeight="1" ht="15.75" r="420" s="452" spans="1:48">
      <c r="A420" s="44" t="n"/>
      <c r="D420" s="535" t="n"/>
      <c r="E420" s="535" t="n"/>
      <c r="F420" s="282" t="n"/>
      <c r="G420" s="282" t="n"/>
      <c r="H420" s="536" t="n"/>
      <c r="I420" s="535" t="n"/>
      <c r="J420" s="282" t="n"/>
      <c r="K420" s="282" t="n"/>
      <c r="L420" s="536" t="n"/>
      <c r="M420" s="535" t="n"/>
      <c r="N420" s="282" t="n"/>
      <c r="O420" s="282" t="n"/>
      <c r="P420" s="535" t="n"/>
      <c r="Q420" s="535" t="n"/>
      <c r="R420" s="282" t="n"/>
      <c r="S420" s="282" t="n"/>
      <c r="T420" s="535" t="n"/>
      <c r="U420" s="535" t="n"/>
      <c r="V420" s="282" t="n"/>
      <c r="W420" s="282" t="n"/>
      <c r="X420" s="536" t="n"/>
      <c r="Y420" s="536" t="n"/>
      <c r="Z420" s="282" t="n"/>
      <c r="AA420" s="282" t="n"/>
      <c r="AB420" s="536" t="n"/>
      <c r="AC420" s="536" t="n"/>
      <c r="AD420" s="282" t="n"/>
      <c r="AE420" s="282" t="n"/>
      <c r="AF420" s="537" t="n"/>
      <c r="AG420" s="537" t="n"/>
      <c r="AH420" s="282" t="n"/>
      <c r="AI420" s="282" t="n"/>
      <c r="AJ420" s="537" t="n"/>
      <c r="AK420" s="537" t="n"/>
      <c r="AL420" s="282" t="n"/>
      <c r="AM420" s="282" t="n"/>
      <c r="AN420" s="282" t="n"/>
      <c r="AO420" s="282" t="n"/>
      <c r="AP420" s="282" t="n"/>
      <c r="AQ420" s="282" t="n"/>
      <c r="AR420" s="535" t="n"/>
      <c r="AS420" s="535" t="n"/>
      <c r="AT420" s="282" t="n"/>
      <c r="AU420" s="282" t="n"/>
    </row>
    <row customHeight="1" ht="15.75" r="421" s="452" spans="1:48">
      <c r="A421" s="44" t="n"/>
      <c r="D421" s="535" t="n"/>
      <c r="E421" s="535" t="n"/>
      <c r="F421" s="282" t="n"/>
      <c r="G421" s="282" t="n"/>
      <c r="H421" s="536" t="n"/>
      <c r="I421" s="535" t="n"/>
      <c r="J421" s="282" t="n"/>
      <c r="K421" s="282" t="n"/>
      <c r="L421" s="536" t="n"/>
      <c r="M421" s="535" t="n"/>
      <c r="N421" s="282" t="n"/>
      <c r="O421" s="282" t="n"/>
      <c r="P421" s="535" t="n"/>
      <c r="Q421" s="535" t="n"/>
      <c r="R421" s="282" t="n"/>
      <c r="S421" s="282" t="n"/>
      <c r="T421" s="535" t="n"/>
      <c r="U421" s="535" t="n"/>
      <c r="V421" s="282" t="n"/>
      <c r="W421" s="282" t="n"/>
      <c r="X421" s="536" t="n"/>
      <c r="Y421" s="536" t="n"/>
      <c r="Z421" s="282" t="n"/>
      <c r="AA421" s="282" t="n"/>
      <c r="AB421" s="536" t="n"/>
      <c r="AC421" s="536" t="n"/>
      <c r="AD421" s="282" t="n"/>
      <c r="AE421" s="282" t="n"/>
      <c r="AF421" s="537" t="n"/>
      <c r="AG421" s="537" t="n"/>
      <c r="AH421" s="282" t="n"/>
      <c r="AI421" s="282" t="n"/>
      <c r="AJ421" s="537" t="n"/>
      <c r="AK421" s="537" t="n"/>
      <c r="AL421" s="282" t="n"/>
      <c r="AM421" s="282" t="n"/>
      <c r="AN421" s="282" t="n"/>
      <c r="AO421" s="282" t="n"/>
      <c r="AP421" s="282" t="n"/>
      <c r="AQ421" s="282" t="n"/>
      <c r="AR421" s="535" t="n"/>
      <c r="AS421" s="535" t="n"/>
      <c r="AT421" s="282" t="n"/>
      <c r="AU421" s="282" t="n"/>
    </row>
    <row customHeight="1" ht="15.75" r="422" s="452" spans="1:48">
      <c r="A422" s="44" t="n"/>
      <c r="D422" s="535" t="n"/>
      <c r="E422" s="535" t="n"/>
      <c r="F422" s="282" t="n"/>
      <c r="G422" s="282" t="n"/>
      <c r="H422" s="536" t="n"/>
      <c r="I422" s="535" t="n"/>
      <c r="J422" s="282" t="n"/>
      <c r="K422" s="282" t="n"/>
      <c r="L422" s="536" t="n"/>
      <c r="M422" s="535" t="n"/>
      <c r="N422" s="282" t="n"/>
      <c r="O422" s="282" t="n"/>
      <c r="P422" s="535" t="n"/>
      <c r="Q422" s="535" t="n"/>
      <c r="R422" s="282" t="n"/>
      <c r="S422" s="282" t="n"/>
      <c r="T422" s="535" t="n"/>
      <c r="U422" s="535" t="n"/>
      <c r="V422" s="282" t="n"/>
      <c r="W422" s="282" t="n"/>
      <c r="X422" s="536" t="n"/>
      <c r="Y422" s="536" t="n"/>
      <c r="Z422" s="282" t="n"/>
      <c r="AA422" s="282" t="n"/>
      <c r="AB422" s="536" t="n"/>
      <c r="AC422" s="536" t="n"/>
      <c r="AD422" s="282" t="n"/>
      <c r="AE422" s="282" t="n"/>
      <c r="AF422" s="537" t="n"/>
      <c r="AG422" s="537" t="n"/>
      <c r="AH422" s="282" t="n"/>
      <c r="AI422" s="282" t="n"/>
      <c r="AJ422" s="537" t="n"/>
      <c r="AK422" s="537" t="n"/>
      <c r="AL422" s="282" t="n"/>
      <c r="AM422" s="282" t="n"/>
      <c r="AN422" s="282" t="n"/>
      <c r="AO422" s="282" t="n"/>
      <c r="AP422" s="282" t="n"/>
      <c r="AQ422" s="282" t="n"/>
      <c r="AR422" s="535" t="n"/>
      <c r="AS422" s="535" t="n"/>
      <c r="AT422" s="282" t="n"/>
      <c r="AU422" s="282" t="n"/>
    </row>
    <row customHeight="1" ht="15.75" r="423" s="452" spans="1:48">
      <c r="A423" s="44" t="n"/>
      <c r="D423" s="535" t="n"/>
      <c r="E423" s="535" t="n"/>
      <c r="F423" s="282" t="n"/>
      <c r="G423" s="282" t="n"/>
      <c r="H423" s="536" t="n"/>
      <c r="I423" s="535" t="n"/>
      <c r="J423" s="282" t="n"/>
      <c r="K423" s="282" t="n"/>
      <c r="L423" s="536" t="n"/>
      <c r="M423" s="535" t="n"/>
      <c r="N423" s="282" t="n"/>
      <c r="O423" s="282" t="n"/>
      <c r="P423" s="535" t="n"/>
      <c r="Q423" s="535" t="n"/>
      <c r="R423" s="282" t="n"/>
      <c r="S423" s="282" t="n"/>
      <c r="T423" s="535" t="n"/>
      <c r="U423" s="535" t="n"/>
      <c r="V423" s="282" t="n"/>
      <c r="W423" s="282" t="n"/>
      <c r="X423" s="536" t="n"/>
      <c r="Y423" s="536" t="n"/>
      <c r="Z423" s="282" t="n"/>
      <c r="AA423" s="282" t="n"/>
      <c r="AB423" s="536" t="n"/>
      <c r="AC423" s="536" t="n"/>
      <c r="AD423" s="282" t="n"/>
      <c r="AE423" s="282" t="n"/>
      <c r="AF423" s="537" t="n"/>
      <c r="AG423" s="537" t="n"/>
      <c r="AH423" s="282" t="n"/>
      <c r="AI423" s="282" t="n"/>
      <c r="AJ423" s="537" t="n"/>
      <c r="AK423" s="537" t="n"/>
      <c r="AL423" s="282" t="n"/>
      <c r="AM423" s="282" t="n"/>
      <c r="AN423" s="282" t="n"/>
      <c r="AO423" s="282" t="n"/>
      <c r="AP423" s="282" t="n"/>
      <c r="AQ423" s="282" t="n"/>
      <c r="AR423" s="535" t="n"/>
      <c r="AS423" s="535" t="n"/>
      <c r="AT423" s="282" t="n"/>
      <c r="AU423" s="282" t="n"/>
    </row>
    <row customHeight="1" ht="15.75" r="424" s="452" spans="1:48">
      <c r="A424" s="44" t="n"/>
      <c r="D424" s="535" t="n"/>
      <c r="E424" s="535" t="n"/>
      <c r="F424" s="282" t="n"/>
      <c r="G424" s="282" t="n"/>
      <c r="H424" s="536" t="n"/>
      <c r="I424" s="535" t="n"/>
      <c r="J424" s="282" t="n"/>
      <c r="K424" s="282" t="n"/>
      <c r="L424" s="536" t="n"/>
      <c r="M424" s="535" t="n"/>
      <c r="N424" s="282" t="n"/>
      <c r="O424" s="282" t="n"/>
      <c r="P424" s="535" t="n"/>
      <c r="Q424" s="535" t="n"/>
      <c r="R424" s="282" t="n"/>
      <c r="S424" s="282" t="n"/>
      <c r="T424" s="535" t="n"/>
      <c r="U424" s="535" t="n"/>
      <c r="V424" s="282" t="n"/>
      <c r="W424" s="282" t="n"/>
      <c r="X424" s="536" t="n"/>
      <c r="Y424" s="536" t="n"/>
      <c r="Z424" s="282" t="n"/>
      <c r="AA424" s="282" t="n"/>
      <c r="AB424" s="536" t="n"/>
      <c r="AC424" s="536" t="n"/>
      <c r="AD424" s="282" t="n"/>
      <c r="AE424" s="282" t="n"/>
      <c r="AF424" s="537" t="n"/>
      <c r="AG424" s="537" t="n"/>
      <c r="AH424" s="282" t="n"/>
      <c r="AI424" s="282" t="n"/>
      <c r="AJ424" s="537" t="n"/>
      <c r="AK424" s="537" t="n"/>
      <c r="AL424" s="282" t="n"/>
      <c r="AM424" s="282" t="n"/>
      <c r="AN424" s="282" t="n"/>
      <c r="AO424" s="282" t="n"/>
      <c r="AP424" s="282" t="n"/>
      <c r="AQ424" s="282" t="n"/>
      <c r="AR424" s="535" t="n"/>
      <c r="AS424" s="535" t="n"/>
      <c r="AT424" s="282" t="n"/>
      <c r="AU424" s="282" t="n"/>
    </row>
    <row customHeight="1" ht="15.75" r="425" s="452" spans="1:48">
      <c r="A425" s="44" t="n"/>
      <c r="D425" s="535" t="n"/>
      <c r="E425" s="535" t="n"/>
      <c r="F425" s="282" t="n"/>
      <c r="G425" s="282" t="n"/>
      <c r="H425" s="536" t="n"/>
      <c r="I425" s="535" t="n"/>
      <c r="J425" s="282" t="n"/>
      <c r="K425" s="282" t="n"/>
      <c r="L425" s="536" t="n"/>
      <c r="M425" s="535" t="n"/>
      <c r="N425" s="282" t="n"/>
      <c r="O425" s="282" t="n"/>
      <c r="P425" s="535" t="n"/>
      <c r="Q425" s="535" t="n"/>
      <c r="R425" s="282" t="n"/>
      <c r="S425" s="282" t="n"/>
      <c r="T425" s="535" t="n"/>
      <c r="U425" s="535" t="n"/>
      <c r="V425" s="282" t="n"/>
      <c r="W425" s="282" t="n"/>
      <c r="X425" s="536" t="n"/>
      <c r="Y425" s="536" t="n"/>
      <c r="Z425" s="282" t="n"/>
      <c r="AA425" s="282" t="n"/>
      <c r="AB425" s="536" t="n"/>
      <c r="AC425" s="536" t="n"/>
      <c r="AD425" s="282" t="n"/>
      <c r="AE425" s="282" t="n"/>
      <c r="AF425" s="537" t="n"/>
      <c r="AG425" s="537" t="n"/>
      <c r="AH425" s="282" t="n"/>
      <c r="AI425" s="282" t="n"/>
      <c r="AJ425" s="537" t="n"/>
      <c r="AK425" s="537" t="n"/>
      <c r="AL425" s="282" t="n"/>
      <c r="AM425" s="282" t="n"/>
      <c r="AN425" s="282" t="n"/>
      <c r="AO425" s="282" t="n"/>
      <c r="AP425" s="282" t="n"/>
      <c r="AQ425" s="282" t="n"/>
      <c r="AR425" s="535" t="n"/>
      <c r="AS425" s="535" t="n"/>
      <c r="AT425" s="282" t="n"/>
      <c r="AU425" s="282" t="n"/>
    </row>
    <row customHeight="1" ht="15.75" r="426" s="452" spans="1:48">
      <c r="A426" s="44" t="n"/>
      <c r="D426" s="535" t="n"/>
      <c r="E426" s="535" t="n"/>
      <c r="F426" s="282" t="n"/>
      <c r="G426" s="282" t="n"/>
      <c r="H426" s="536" t="n"/>
      <c r="I426" s="535" t="n"/>
      <c r="J426" s="282" t="n"/>
      <c r="K426" s="282" t="n"/>
      <c r="L426" s="536" t="n"/>
      <c r="M426" s="535" t="n"/>
      <c r="N426" s="282" t="n"/>
      <c r="O426" s="282" t="n"/>
      <c r="P426" s="535" t="n"/>
      <c r="Q426" s="535" t="n"/>
      <c r="R426" s="282" t="n"/>
      <c r="S426" s="282" t="n"/>
      <c r="T426" s="535" t="n"/>
      <c r="U426" s="535" t="n"/>
      <c r="V426" s="282" t="n"/>
      <c r="W426" s="282" t="n"/>
      <c r="X426" s="536" t="n"/>
      <c r="Y426" s="536" t="n"/>
      <c r="Z426" s="282" t="n"/>
      <c r="AA426" s="282" t="n"/>
      <c r="AB426" s="536" t="n"/>
      <c r="AC426" s="536" t="n"/>
      <c r="AD426" s="282" t="n"/>
      <c r="AE426" s="282" t="n"/>
      <c r="AF426" s="537" t="n"/>
      <c r="AG426" s="537" t="n"/>
      <c r="AH426" s="282" t="n"/>
      <c r="AI426" s="282" t="n"/>
      <c r="AJ426" s="537" t="n"/>
      <c r="AK426" s="537" t="n"/>
      <c r="AL426" s="282" t="n"/>
      <c r="AM426" s="282" t="n"/>
      <c r="AN426" s="282" t="n"/>
      <c r="AO426" s="282" t="n"/>
      <c r="AP426" s="282" t="n"/>
      <c r="AQ426" s="282" t="n"/>
      <c r="AR426" s="535" t="n"/>
      <c r="AS426" s="535" t="n"/>
      <c r="AT426" s="282" t="n"/>
      <c r="AU426" s="282" t="n"/>
    </row>
    <row customHeight="1" ht="15.75" r="427" s="452" spans="1:48">
      <c r="A427" s="44" t="n"/>
      <c r="D427" s="535" t="n"/>
      <c r="E427" s="535" t="n"/>
      <c r="F427" s="282" t="n"/>
      <c r="G427" s="282" t="n"/>
      <c r="H427" s="536" t="n"/>
      <c r="I427" s="535" t="n"/>
      <c r="J427" s="282" t="n"/>
      <c r="K427" s="282" t="n"/>
      <c r="L427" s="536" t="n"/>
      <c r="M427" s="535" t="n"/>
      <c r="N427" s="282" t="n"/>
      <c r="O427" s="282" t="n"/>
      <c r="P427" s="535" t="n"/>
      <c r="Q427" s="535" t="n"/>
      <c r="R427" s="282" t="n"/>
      <c r="S427" s="282" t="n"/>
      <c r="T427" s="535" t="n"/>
      <c r="U427" s="535" t="n"/>
      <c r="V427" s="282" t="n"/>
      <c r="W427" s="282" t="n"/>
      <c r="X427" s="536" t="n"/>
      <c r="Y427" s="536" t="n"/>
      <c r="Z427" s="282" t="n"/>
      <c r="AA427" s="282" t="n"/>
      <c r="AB427" s="536" t="n"/>
      <c r="AC427" s="536" t="n"/>
      <c r="AD427" s="282" t="n"/>
      <c r="AE427" s="282" t="n"/>
      <c r="AF427" s="537" t="n"/>
      <c r="AG427" s="537" t="n"/>
      <c r="AH427" s="282" t="n"/>
      <c r="AI427" s="282" t="n"/>
      <c r="AJ427" s="537" t="n"/>
      <c r="AK427" s="537" t="n"/>
      <c r="AL427" s="282" t="n"/>
      <c r="AM427" s="282" t="n"/>
      <c r="AN427" s="282" t="n"/>
      <c r="AO427" s="282" t="n"/>
      <c r="AP427" s="282" t="n"/>
      <c r="AQ427" s="282" t="n"/>
      <c r="AR427" s="535" t="n"/>
      <c r="AS427" s="535" t="n"/>
      <c r="AT427" s="282" t="n"/>
      <c r="AU427" s="282" t="n"/>
    </row>
    <row customHeight="1" ht="15.75" r="428" s="452" spans="1:48">
      <c r="A428" s="44" t="n"/>
      <c r="D428" s="535" t="n"/>
      <c r="E428" s="535" t="n"/>
      <c r="F428" s="282" t="n"/>
      <c r="G428" s="282" t="n"/>
      <c r="H428" s="536" t="n"/>
      <c r="I428" s="535" t="n"/>
      <c r="J428" s="282" t="n"/>
      <c r="K428" s="282" t="n"/>
      <c r="L428" s="536" t="n"/>
      <c r="M428" s="535" t="n"/>
      <c r="N428" s="282" t="n"/>
      <c r="O428" s="282" t="n"/>
      <c r="P428" s="535" t="n"/>
      <c r="Q428" s="535" t="n"/>
      <c r="R428" s="282" t="n"/>
      <c r="S428" s="282" t="n"/>
      <c r="T428" s="535" t="n"/>
      <c r="U428" s="535" t="n"/>
      <c r="V428" s="282" t="n"/>
      <c r="W428" s="282" t="n"/>
      <c r="X428" s="536" t="n"/>
      <c r="Y428" s="536" t="n"/>
      <c r="Z428" s="282" t="n"/>
      <c r="AA428" s="282" t="n"/>
      <c r="AB428" s="536" t="n"/>
      <c r="AC428" s="536" t="n"/>
      <c r="AD428" s="282" t="n"/>
      <c r="AE428" s="282" t="n"/>
      <c r="AF428" s="537" t="n"/>
      <c r="AG428" s="537" t="n"/>
      <c r="AH428" s="282" t="n"/>
      <c r="AI428" s="282" t="n"/>
      <c r="AJ428" s="537" t="n"/>
      <c r="AK428" s="537" t="n"/>
      <c r="AL428" s="282" t="n"/>
      <c r="AM428" s="282" t="n"/>
      <c r="AN428" s="282" t="n"/>
      <c r="AO428" s="282" t="n"/>
      <c r="AP428" s="282" t="n"/>
      <c r="AQ428" s="282" t="n"/>
      <c r="AR428" s="535" t="n"/>
      <c r="AS428" s="535" t="n"/>
      <c r="AT428" s="282" t="n"/>
      <c r="AU428" s="282" t="n"/>
    </row>
    <row customHeight="1" ht="15.75" r="429" s="452" spans="1:48">
      <c r="A429" s="44" t="n"/>
      <c r="D429" s="535" t="n"/>
      <c r="E429" s="535" t="n"/>
      <c r="F429" s="282" t="n"/>
      <c r="G429" s="282" t="n"/>
      <c r="H429" s="536" t="n"/>
      <c r="I429" s="535" t="n"/>
      <c r="J429" s="282" t="n"/>
      <c r="K429" s="282" t="n"/>
      <c r="L429" s="536" t="n"/>
      <c r="M429" s="535" t="n"/>
      <c r="N429" s="282" t="n"/>
      <c r="O429" s="282" t="n"/>
      <c r="P429" s="535" t="n"/>
      <c r="Q429" s="535" t="n"/>
      <c r="R429" s="282" t="n"/>
      <c r="S429" s="282" t="n"/>
      <c r="T429" s="535" t="n"/>
      <c r="U429" s="535" t="n"/>
      <c r="V429" s="282" t="n"/>
      <c r="W429" s="282" t="n"/>
      <c r="X429" s="536" t="n"/>
      <c r="Y429" s="536" t="n"/>
      <c r="Z429" s="282" t="n"/>
      <c r="AA429" s="282" t="n"/>
      <c r="AB429" s="536" t="n"/>
      <c r="AC429" s="536" t="n"/>
      <c r="AD429" s="282" t="n"/>
      <c r="AE429" s="282" t="n"/>
      <c r="AF429" s="537" t="n"/>
      <c r="AG429" s="537" t="n"/>
      <c r="AH429" s="282" t="n"/>
      <c r="AI429" s="282" t="n"/>
      <c r="AJ429" s="537" t="n"/>
      <c r="AK429" s="537" t="n"/>
      <c r="AL429" s="282" t="n"/>
      <c r="AM429" s="282" t="n"/>
      <c r="AN429" s="282" t="n"/>
      <c r="AO429" s="282" t="n"/>
      <c r="AP429" s="282" t="n"/>
      <c r="AQ429" s="282" t="n"/>
      <c r="AR429" s="535" t="n"/>
      <c r="AS429" s="535" t="n"/>
      <c r="AT429" s="282" t="n"/>
      <c r="AU429" s="282" t="n"/>
    </row>
    <row customHeight="1" ht="15.75" r="430" s="452" spans="1:48">
      <c r="A430" s="44" t="n"/>
      <c r="D430" s="535" t="n"/>
      <c r="E430" s="535" t="n"/>
      <c r="F430" s="282" t="n"/>
      <c r="G430" s="282" t="n"/>
      <c r="H430" s="536" t="n"/>
      <c r="I430" s="535" t="n"/>
      <c r="J430" s="282" t="n"/>
      <c r="K430" s="282" t="n"/>
      <c r="L430" s="536" t="n"/>
      <c r="M430" s="535" t="n"/>
      <c r="N430" s="282" t="n"/>
      <c r="O430" s="282" t="n"/>
      <c r="P430" s="535" t="n"/>
      <c r="Q430" s="535" t="n"/>
      <c r="R430" s="282" t="n"/>
      <c r="S430" s="282" t="n"/>
      <c r="T430" s="535" t="n"/>
      <c r="U430" s="535" t="n"/>
      <c r="V430" s="282" t="n"/>
      <c r="W430" s="282" t="n"/>
      <c r="X430" s="536" t="n"/>
      <c r="Y430" s="536" t="n"/>
      <c r="Z430" s="282" t="n"/>
      <c r="AA430" s="282" t="n"/>
      <c r="AB430" s="536" t="n"/>
      <c r="AC430" s="536" t="n"/>
      <c r="AD430" s="282" t="n"/>
      <c r="AE430" s="282" t="n"/>
      <c r="AF430" s="537" t="n"/>
      <c r="AG430" s="537" t="n"/>
      <c r="AH430" s="282" t="n"/>
      <c r="AI430" s="282" t="n"/>
      <c r="AJ430" s="537" t="n"/>
      <c r="AK430" s="537" t="n"/>
      <c r="AL430" s="282" t="n"/>
      <c r="AM430" s="282" t="n"/>
      <c r="AN430" s="282" t="n"/>
      <c r="AO430" s="282" t="n"/>
      <c r="AP430" s="282" t="n"/>
      <c r="AQ430" s="282" t="n"/>
      <c r="AR430" s="535" t="n"/>
      <c r="AS430" s="535" t="n"/>
      <c r="AT430" s="282" t="n"/>
      <c r="AU430" s="282" t="n"/>
    </row>
    <row customHeight="1" ht="15.75" r="431" s="452" spans="1:48">
      <c r="A431" s="44" t="n"/>
      <c r="D431" s="535" t="n"/>
      <c r="E431" s="535" t="n"/>
      <c r="F431" s="282" t="n"/>
      <c r="G431" s="282" t="n"/>
      <c r="H431" s="536" t="n"/>
      <c r="I431" s="535" t="n"/>
      <c r="J431" s="282" t="n"/>
      <c r="K431" s="282" t="n"/>
      <c r="L431" s="536" t="n"/>
      <c r="M431" s="535" t="n"/>
      <c r="N431" s="282" t="n"/>
      <c r="O431" s="282" t="n"/>
      <c r="P431" s="535" t="n"/>
      <c r="Q431" s="535" t="n"/>
      <c r="R431" s="282" t="n"/>
      <c r="S431" s="282" t="n"/>
      <c r="T431" s="535" t="n"/>
      <c r="U431" s="535" t="n"/>
      <c r="V431" s="282" t="n"/>
      <c r="W431" s="282" t="n"/>
      <c r="X431" s="536" t="n"/>
      <c r="Y431" s="536" t="n"/>
      <c r="Z431" s="282" t="n"/>
      <c r="AA431" s="282" t="n"/>
      <c r="AB431" s="536" t="n"/>
      <c r="AC431" s="536" t="n"/>
      <c r="AD431" s="282" t="n"/>
      <c r="AE431" s="282" t="n"/>
      <c r="AF431" s="537" t="n"/>
      <c r="AG431" s="537" t="n"/>
      <c r="AH431" s="282" t="n"/>
      <c r="AI431" s="282" t="n"/>
      <c r="AJ431" s="537" t="n"/>
      <c r="AK431" s="537" t="n"/>
      <c r="AL431" s="282" t="n"/>
      <c r="AM431" s="282" t="n"/>
      <c r="AN431" s="282" t="n"/>
      <c r="AO431" s="282" t="n"/>
      <c r="AP431" s="282" t="n"/>
      <c r="AQ431" s="282" t="n"/>
      <c r="AR431" s="535" t="n"/>
      <c r="AS431" s="535" t="n"/>
      <c r="AT431" s="282" t="n"/>
      <c r="AU431" s="282" t="n"/>
    </row>
    <row customHeight="1" ht="15.75" r="432" s="452" spans="1:48">
      <c r="A432" s="44" t="n"/>
      <c r="D432" s="535" t="n"/>
      <c r="E432" s="535" t="n"/>
      <c r="F432" s="282" t="n"/>
      <c r="G432" s="282" t="n"/>
      <c r="H432" s="536" t="n"/>
      <c r="I432" s="535" t="n"/>
      <c r="J432" s="282" t="n"/>
      <c r="K432" s="282" t="n"/>
      <c r="L432" s="536" t="n"/>
      <c r="M432" s="535" t="n"/>
      <c r="N432" s="282" t="n"/>
      <c r="O432" s="282" t="n"/>
      <c r="P432" s="535" t="n"/>
      <c r="Q432" s="535" t="n"/>
      <c r="R432" s="282" t="n"/>
      <c r="S432" s="282" t="n"/>
      <c r="T432" s="535" t="n"/>
      <c r="U432" s="535" t="n"/>
      <c r="V432" s="282" t="n"/>
      <c r="W432" s="282" t="n"/>
      <c r="X432" s="536" t="n"/>
      <c r="Y432" s="536" t="n"/>
      <c r="Z432" s="282" t="n"/>
      <c r="AA432" s="282" t="n"/>
      <c r="AB432" s="536" t="n"/>
      <c r="AC432" s="536" t="n"/>
      <c r="AD432" s="282" t="n"/>
      <c r="AE432" s="282" t="n"/>
      <c r="AF432" s="537" t="n"/>
      <c r="AG432" s="537" t="n"/>
      <c r="AH432" s="282" t="n"/>
      <c r="AI432" s="282" t="n"/>
      <c r="AJ432" s="537" t="n"/>
      <c r="AK432" s="537" t="n"/>
      <c r="AL432" s="282" t="n"/>
      <c r="AM432" s="282" t="n"/>
      <c r="AN432" s="282" t="n"/>
      <c r="AO432" s="282" t="n"/>
      <c r="AP432" s="282" t="n"/>
      <c r="AQ432" s="282" t="n"/>
      <c r="AR432" s="535" t="n"/>
      <c r="AS432" s="535" t="n"/>
      <c r="AT432" s="282" t="n"/>
      <c r="AU432" s="282" t="n"/>
    </row>
    <row customHeight="1" ht="15.75" r="433" s="452" spans="1:48">
      <c r="A433" s="44" t="n"/>
      <c r="D433" s="535" t="n"/>
      <c r="E433" s="535" t="n"/>
      <c r="F433" s="282" t="n"/>
      <c r="G433" s="282" t="n"/>
      <c r="H433" s="536" t="n"/>
      <c r="I433" s="535" t="n"/>
      <c r="J433" s="282" t="n"/>
      <c r="K433" s="282" t="n"/>
      <c r="L433" s="536" t="n"/>
      <c r="M433" s="535" t="n"/>
      <c r="N433" s="282" t="n"/>
      <c r="O433" s="282" t="n"/>
      <c r="P433" s="535" t="n"/>
      <c r="Q433" s="535" t="n"/>
      <c r="R433" s="282" t="n"/>
      <c r="S433" s="282" t="n"/>
      <c r="T433" s="535" t="n"/>
      <c r="U433" s="535" t="n"/>
      <c r="V433" s="282" t="n"/>
      <c r="W433" s="282" t="n"/>
      <c r="X433" s="536" t="n"/>
      <c r="Y433" s="536" t="n"/>
      <c r="Z433" s="282" t="n"/>
      <c r="AA433" s="282" t="n"/>
      <c r="AB433" s="536" t="n"/>
      <c r="AC433" s="536" t="n"/>
      <c r="AD433" s="282" t="n"/>
      <c r="AE433" s="282" t="n"/>
      <c r="AF433" s="537" t="n"/>
      <c r="AG433" s="537" t="n"/>
      <c r="AH433" s="282" t="n"/>
      <c r="AI433" s="282" t="n"/>
      <c r="AJ433" s="537" t="n"/>
      <c r="AK433" s="537" t="n"/>
      <c r="AL433" s="282" t="n"/>
      <c r="AM433" s="282" t="n"/>
      <c r="AN433" s="282" t="n"/>
      <c r="AO433" s="282" t="n"/>
      <c r="AP433" s="282" t="n"/>
      <c r="AQ433" s="282" t="n"/>
      <c r="AR433" s="535" t="n"/>
      <c r="AS433" s="535" t="n"/>
      <c r="AT433" s="282" t="n"/>
      <c r="AU433" s="282" t="n"/>
    </row>
    <row customHeight="1" ht="15.75" r="434" s="452" spans="1:48">
      <c r="A434" s="44" t="n"/>
      <c r="D434" s="535" t="n"/>
      <c r="E434" s="535" t="n"/>
      <c r="F434" s="282" t="n"/>
      <c r="G434" s="282" t="n"/>
      <c r="H434" s="536" t="n"/>
      <c r="I434" s="535" t="n"/>
      <c r="J434" s="282" t="n"/>
      <c r="K434" s="282" t="n"/>
      <c r="L434" s="536" t="n"/>
      <c r="M434" s="535" t="n"/>
      <c r="N434" s="282" t="n"/>
      <c r="O434" s="282" t="n"/>
      <c r="P434" s="535" t="n"/>
      <c r="Q434" s="535" t="n"/>
      <c r="R434" s="282" t="n"/>
      <c r="S434" s="282" t="n"/>
      <c r="T434" s="535" t="n"/>
      <c r="U434" s="535" t="n"/>
      <c r="V434" s="282" t="n"/>
      <c r="W434" s="282" t="n"/>
      <c r="X434" s="536" t="n"/>
      <c r="Y434" s="536" t="n"/>
      <c r="Z434" s="282" t="n"/>
      <c r="AA434" s="282" t="n"/>
      <c r="AB434" s="536" t="n"/>
      <c r="AC434" s="536" t="n"/>
      <c r="AD434" s="282" t="n"/>
      <c r="AE434" s="282" t="n"/>
      <c r="AF434" s="537" t="n"/>
      <c r="AG434" s="537" t="n"/>
      <c r="AH434" s="282" t="n"/>
      <c r="AI434" s="282" t="n"/>
      <c r="AJ434" s="537" t="n"/>
      <c r="AK434" s="537" t="n"/>
      <c r="AL434" s="282" t="n"/>
      <c r="AM434" s="282" t="n"/>
      <c r="AN434" s="282" t="n"/>
      <c r="AO434" s="282" t="n"/>
      <c r="AP434" s="282" t="n"/>
      <c r="AQ434" s="282" t="n"/>
      <c r="AR434" s="535" t="n"/>
      <c r="AS434" s="535" t="n"/>
      <c r="AT434" s="282" t="n"/>
      <c r="AU434" s="282" t="n"/>
    </row>
    <row customHeight="1" ht="15.75" r="435" s="452" spans="1:48">
      <c r="A435" s="44" t="n"/>
      <c r="D435" s="535" t="n"/>
      <c r="E435" s="535" t="n"/>
      <c r="F435" s="282" t="n"/>
      <c r="G435" s="282" t="n"/>
      <c r="H435" s="536" t="n"/>
      <c r="I435" s="535" t="n"/>
      <c r="J435" s="282" t="n"/>
      <c r="K435" s="282" t="n"/>
      <c r="L435" s="536" t="n"/>
      <c r="M435" s="535" t="n"/>
      <c r="N435" s="282" t="n"/>
      <c r="O435" s="282" t="n"/>
      <c r="P435" s="535" t="n"/>
      <c r="Q435" s="535" t="n"/>
      <c r="R435" s="282" t="n"/>
      <c r="S435" s="282" t="n"/>
      <c r="T435" s="535" t="n"/>
      <c r="U435" s="535" t="n"/>
      <c r="V435" s="282" t="n"/>
      <c r="W435" s="282" t="n"/>
      <c r="X435" s="536" t="n"/>
      <c r="Y435" s="536" t="n"/>
      <c r="Z435" s="282" t="n"/>
      <c r="AA435" s="282" t="n"/>
      <c r="AB435" s="536" t="n"/>
      <c r="AC435" s="536" t="n"/>
      <c r="AD435" s="282" t="n"/>
      <c r="AE435" s="282" t="n"/>
      <c r="AF435" s="537" t="n"/>
      <c r="AG435" s="537" t="n"/>
      <c r="AH435" s="282" t="n"/>
      <c r="AI435" s="282" t="n"/>
      <c r="AJ435" s="537" t="n"/>
      <c r="AK435" s="537" t="n"/>
      <c r="AL435" s="282" t="n"/>
      <c r="AM435" s="282" t="n"/>
      <c r="AN435" s="282" t="n"/>
      <c r="AO435" s="282" t="n"/>
      <c r="AP435" s="282" t="n"/>
      <c r="AQ435" s="282" t="n"/>
      <c r="AR435" s="535" t="n"/>
      <c r="AS435" s="535" t="n"/>
      <c r="AT435" s="282" t="n"/>
      <c r="AU435" s="282" t="n"/>
    </row>
    <row customHeight="1" ht="15.75" r="436" s="452" spans="1:48">
      <c r="A436" s="44" t="n"/>
      <c r="D436" s="535" t="n"/>
      <c r="E436" s="535" t="n"/>
      <c r="F436" s="282" t="n"/>
      <c r="G436" s="282" t="n"/>
      <c r="H436" s="536" t="n"/>
      <c r="I436" s="535" t="n"/>
      <c r="J436" s="282" t="n"/>
      <c r="K436" s="282" t="n"/>
      <c r="L436" s="536" t="n"/>
      <c r="M436" s="535" t="n"/>
      <c r="N436" s="282" t="n"/>
      <c r="O436" s="282" t="n"/>
      <c r="P436" s="535" t="n"/>
      <c r="Q436" s="535" t="n"/>
      <c r="R436" s="282" t="n"/>
      <c r="S436" s="282" t="n"/>
      <c r="T436" s="535" t="n"/>
      <c r="U436" s="535" t="n"/>
      <c r="V436" s="282" t="n"/>
      <c r="W436" s="282" t="n"/>
      <c r="X436" s="536" t="n"/>
      <c r="Y436" s="536" t="n"/>
      <c r="Z436" s="282" t="n"/>
      <c r="AA436" s="282" t="n"/>
      <c r="AB436" s="536" t="n"/>
      <c r="AC436" s="536" t="n"/>
      <c r="AD436" s="282" t="n"/>
      <c r="AE436" s="282" t="n"/>
      <c r="AF436" s="537" t="n"/>
      <c r="AG436" s="537" t="n"/>
      <c r="AH436" s="282" t="n"/>
      <c r="AI436" s="282" t="n"/>
      <c r="AJ436" s="537" t="n"/>
      <c r="AK436" s="537" t="n"/>
      <c r="AL436" s="282" t="n"/>
      <c r="AM436" s="282" t="n"/>
      <c r="AN436" s="282" t="n"/>
      <c r="AO436" s="282" t="n"/>
      <c r="AP436" s="282" t="n"/>
      <c r="AQ436" s="282" t="n"/>
      <c r="AR436" s="535" t="n"/>
      <c r="AS436" s="535" t="n"/>
      <c r="AT436" s="282" t="n"/>
      <c r="AU436" s="282" t="n"/>
    </row>
    <row customHeight="1" ht="15.75" r="437" s="452" spans="1:48">
      <c r="A437" s="44" t="n"/>
      <c r="D437" s="535" t="n"/>
      <c r="E437" s="535" t="n"/>
      <c r="F437" s="282" t="n"/>
      <c r="G437" s="282" t="n"/>
      <c r="H437" s="536" t="n"/>
      <c r="I437" s="535" t="n"/>
      <c r="J437" s="282" t="n"/>
      <c r="K437" s="282" t="n"/>
      <c r="L437" s="536" t="n"/>
      <c r="M437" s="535" t="n"/>
      <c r="N437" s="282" t="n"/>
      <c r="O437" s="282" t="n"/>
      <c r="P437" s="535" t="n"/>
      <c r="Q437" s="535" t="n"/>
      <c r="R437" s="282" t="n"/>
      <c r="S437" s="282" t="n"/>
      <c r="T437" s="535" t="n"/>
      <c r="U437" s="535" t="n"/>
      <c r="V437" s="282" t="n"/>
      <c r="W437" s="282" t="n"/>
      <c r="X437" s="536" t="n"/>
      <c r="Y437" s="536" t="n"/>
      <c r="Z437" s="282" t="n"/>
      <c r="AA437" s="282" t="n"/>
      <c r="AB437" s="536" t="n"/>
      <c r="AC437" s="536" t="n"/>
      <c r="AD437" s="282" t="n"/>
      <c r="AE437" s="282" t="n"/>
      <c r="AF437" s="537" t="n"/>
      <c r="AG437" s="537" t="n"/>
      <c r="AH437" s="282" t="n"/>
      <c r="AI437" s="282" t="n"/>
      <c r="AJ437" s="537" t="n"/>
      <c r="AK437" s="537" t="n"/>
      <c r="AL437" s="282" t="n"/>
      <c r="AM437" s="282" t="n"/>
      <c r="AN437" s="282" t="n"/>
      <c r="AO437" s="282" t="n"/>
      <c r="AP437" s="282" t="n"/>
      <c r="AQ437" s="282" t="n"/>
      <c r="AR437" s="535" t="n"/>
      <c r="AS437" s="535" t="n"/>
      <c r="AT437" s="282" t="n"/>
      <c r="AU437" s="282" t="n"/>
    </row>
    <row customHeight="1" ht="15.75" r="438" s="452" spans="1:48">
      <c r="A438" s="44" t="n"/>
      <c r="D438" s="535" t="n"/>
      <c r="E438" s="535" t="n"/>
      <c r="F438" s="282" t="n"/>
      <c r="G438" s="282" t="n"/>
      <c r="H438" s="536" t="n"/>
      <c r="I438" s="535" t="n"/>
      <c r="J438" s="282" t="n"/>
      <c r="K438" s="282" t="n"/>
      <c r="L438" s="536" t="n"/>
      <c r="M438" s="535" t="n"/>
      <c r="N438" s="282" t="n"/>
      <c r="O438" s="282" t="n"/>
      <c r="P438" s="535" t="n"/>
      <c r="Q438" s="535" t="n"/>
      <c r="R438" s="282" t="n"/>
      <c r="S438" s="282" t="n"/>
      <c r="T438" s="535" t="n"/>
      <c r="U438" s="535" t="n"/>
      <c r="V438" s="282" t="n"/>
      <c r="W438" s="282" t="n"/>
      <c r="X438" s="536" t="n"/>
      <c r="Y438" s="536" t="n"/>
      <c r="Z438" s="282" t="n"/>
      <c r="AA438" s="282" t="n"/>
      <c r="AB438" s="536" t="n"/>
      <c r="AC438" s="536" t="n"/>
      <c r="AD438" s="282" t="n"/>
      <c r="AE438" s="282" t="n"/>
      <c r="AF438" s="537" t="n"/>
      <c r="AG438" s="537" t="n"/>
      <c r="AH438" s="282" t="n"/>
      <c r="AI438" s="282" t="n"/>
      <c r="AJ438" s="537" t="n"/>
      <c r="AK438" s="537" t="n"/>
      <c r="AL438" s="282" t="n"/>
      <c r="AM438" s="282" t="n"/>
      <c r="AN438" s="282" t="n"/>
      <c r="AO438" s="282" t="n"/>
      <c r="AP438" s="282" t="n"/>
      <c r="AQ438" s="282" t="n"/>
      <c r="AR438" s="535" t="n"/>
      <c r="AS438" s="535" t="n"/>
      <c r="AT438" s="282" t="n"/>
      <c r="AU438" s="282" t="n"/>
    </row>
    <row customHeight="1" ht="15.75" r="439" s="452" spans="1:48">
      <c r="A439" s="44" t="n"/>
      <c r="D439" s="535" t="n"/>
      <c r="E439" s="535" t="n"/>
      <c r="F439" s="282" t="n"/>
      <c r="G439" s="282" t="n"/>
      <c r="H439" s="536" t="n"/>
      <c r="I439" s="535" t="n"/>
      <c r="J439" s="282" t="n"/>
      <c r="K439" s="282" t="n"/>
      <c r="L439" s="536" t="n"/>
      <c r="M439" s="535" t="n"/>
      <c r="N439" s="282" t="n"/>
      <c r="O439" s="282" t="n"/>
      <c r="P439" s="535" t="n"/>
      <c r="Q439" s="535" t="n"/>
      <c r="R439" s="282" t="n"/>
      <c r="S439" s="282" t="n"/>
      <c r="T439" s="535" t="n"/>
      <c r="U439" s="535" t="n"/>
      <c r="V439" s="282" t="n"/>
      <c r="W439" s="282" t="n"/>
      <c r="X439" s="536" t="n"/>
      <c r="Y439" s="536" t="n"/>
      <c r="Z439" s="282" t="n"/>
      <c r="AA439" s="282" t="n"/>
      <c r="AB439" s="536" t="n"/>
      <c r="AC439" s="536" t="n"/>
      <c r="AD439" s="282" t="n"/>
      <c r="AE439" s="282" t="n"/>
      <c r="AF439" s="537" t="n"/>
      <c r="AG439" s="537" t="n"/>
      <c r="AH439" s="282" t="n"/>
      <c r="AI439" s="282" t="n"/>
      <c r="AJ439" s="537" t="n"/>
      <c r="AK439" s="537" t="n"/>
      <c r="AL439" s="282" t="n"/>
      <c r="AM439" s="282" t="n"/>
      <c r="AN439" s="282" t="n"/>
      <c r="AO439" s="282" t="n"/>
      <c r="AP439" s="282" t="n"/>
      <c r="AQ439" s="282" t="n"/>
      <c r="AR439" s="535" t="n"/>
      <c r="AS439" s="535" t="n"/>
      <c r="AT439" s="282" t="n"/>
      <c r="AU439" s="282" t="n"/>
    </row>
    <row customHeight="1" ht="15.75" r="440" s="452" spans="1:48">
      <c r="A440" s="44" t="n"/>
      <c r="D440" s="535" t="n"/>
      <c r="E440" s="535" t="n"/>
      <c r="F440" s="282" t="n"/>
      <c r="G440" s="282" t="n"/>
      <c r="H440" s="536" t="n"/>
      <c r="I440" s="535" t="n"/>
      <c r="J440" s="282" t="n"/>
      <c r="K440" s="282" t="n"/>
      <c r="L440" s="536" t="n"/>
      <c r="M440" s="535" t="n"/>
      <c r="N440" s="282" t="n"/>
      <c r="O440" s="282" t="n"/>
      <c r="P440" s="535" t="n"/>
      <c r="Q440" s="535" t="n"/>
      <c r="R440" s="282" t="n"/>
      <c r="S440" s="282" t="n"/>
      <c r="T440" s="535" t="n"/>
      <c r="U440" s="535" t="n"/>
      <c r="V440" s="282" t="n"/>
      <c r="W440" s="282" t="n"/>
      <c r="X440" s="536" t="n"/>
      <c r="Y440" s="536" t="n"/>
      <c r="Z440" s="282" t="n"/>
      <c r="AA440" s="282" t="n"/>
      <c r="AB440" s="536" t="n"/>
      <c r="AC440" s="536" t="n"/>
      <c r="AD440" s="282" t="n"/>
      <c r="AE440" s="282" t="n"/>
      <c r="AF440" s="537" t="n"/>
      <c r="AG440" s="537" t="n"/>
      <c r="AH440" s="282" t="n"/>
      <c r="AI440" s="282" t="n"/>
      <c r="AJ440" s="537" t="n"/>
      <c r="AK440" s="537" t="n"/>
      <c r="AL440" s="282" t="n"/>
      <c r="AM440" s="282" t="n"/>
      <c r="AN440" s="282" t="n"/>
      <c r="AO440" s="282" t="n"/>
      <c r="AP440" s="282" t="n"/>
      <c r="AQ440" s="282" t="n"/>
      <c r="AR440" s="535" t="n"/>
      <c r="AS440" s="535" t="n"/>
      <c r="AT440" s="282" t="n"/>
      <c r="AU440" s="282" t="n"/>
    </row>
    <row customHeight="1" ht="15.75" r="441" s="452" spans="1:48">
      <c r="A441" s="44" t="n"/>
      <c r="D441" s="535" t="n"/>
      <c r="E441" s="535" t="n"/>
      <c r="F441" s="282" t="n"/>
      <c r="G441" s="282" t="n"/>
      <c r="H441" s="536" t="n"/>
      <c r="I441" s="535" t="n"/>
      <c r="J441" s="282" t="n"/>
      <c r="K441" s="282" t="n"/>
      <c r="L441" s="536" t="n"/>
      <c r="M441" s="535" t="n"/>
      <c r="N441" s="282" t="n"/>
      <c r="O441" s="282" t="n"/>
      <c r="P441" s="535" t="n"/>
      <c r="Q441" s="535" t="n"/>
      <c r="R441" s="282" t="n"/>
      <c r="S441" s="282" t="n"/>
      <c r="T441" s="535" t="n"/>
      <c r="U441" s="535" t="n"/>
      <c r="V441" s="282" t="n"/>
      <c r="W441" s="282" t="n"/>
      <c r="X441" s="536" t="n"/>
      <c r="Y441" s="536" t="n"/>
      <c r="Z441" s="282" t="n"/>
      <c r="AA441" s="282" t="n"/>
      <c r="AB441" s="536" t="n"/>
      <c r="AC441" s="536" t="n"/>
      <c r="AD441" s="282" t="n"/>
      <c r="AE441" s="282" t="n"/>
      <c r="AF441" s="537" t="n"/>
      <c r="AG441" s="537" t="n"/>
      <c r="AH441" s="282" t="n"/>
      <c r="AI441" s="282" t="n"/>
      <c r="AJ441" s="537" t="n"/>
      <c r="AK441" s="537" t="n"/>
      <c r="AL441" s="282" t="n"/>
      <c r="AM441" s="282" t="n"/>
      <c r="AN441" s="282" t="n"/>
      <c r="AO441" s="282" t="n"/>
      <c r="AP441" s="282" t="n"/>
      <c r="AQ441" s="282" t="n"/>
      <c r="AR441" s="535" t="n"/>
      <c r="AS441" s="535" t="n"/>
      <c r="AT441" s="282" t="n"/>
      <c r="AU441" s="282" t="n"/>
    </row>
    <row customHeight="1" ht="15.75" r="442" s="452" spans="1:48">
      <c r="A442" s="44" t="n"/>
      <c r="D442" s="535" t="n"/>
      <c r="E442" s="535" t="n"/>
      <c r="F442" s="282" t="n"/>
      <c r="G442" s="282" t="n"/>
      <c r="H442" s="536" t="n"/>
      <c r="I442" s="535" t="n"/>
      <c r="J442" s="282" t="n"/>
      <c r="K442" s="282" t="n"/>
      <c r="L442" s="536" t="n"/>
      <c r="M442" s="535" t="n"/>
      <c r="N442" s="282" t="n"/>
      <c r="O442" s="282" t="n"/>
      <c r="P442" s="535" t="n"/>
      <c r="Q442" s="535" t="n"/>
      <c r="R442" s="282" t="n"/>
      <c r="S442" s="282" t="n"/>
      <c r="T442" s="535" t="n"/>
      <c r="U442" s="535" t="n"/>
      <c r="V442" s="282" t="n"/>
      <c r="W442" s="282" t="n"/>
      <c r="X442" s="536" t="n"/>
      <c r="Y442" s="536" t="n"/>
      <c r="Z442" s="282" t="n"/>
      <c r="AA442" s="282" t="n"/>
      <c r="AB442" s="536" t="n"/>
      <c r="AC442" s="536" t="n"/>
      <c r="AD442" s="282" t="n"/>
      <c r="AE442" s="282" t="n"/>
      <c r="AF442" s="537" t="n"/>
      <c r="AG442" s="537" t="n"/>
      <c r="AH442" s="282" t="n"/>
      <c r="AI442" s="282" t="n"/>
      <c r="AJ442" s="537" t="n"/>
      <c r="AK442" s="537" t="n"/>
      <c r="AL442" s="282" t="n"/>
      <c r="AM442" s="282" t="n"/>
      <c r="AN442" s="282" t="n"/>
      <c r="AO442" s="282" t="n"/>
      <c r="AP442" s="282" t="n"/>
      <c r="AQ442" s="282" t="n"/>
      <c r="AR442" s="535" t="n"/>
      <c r="AS442" s="535" t="n"/>
      <c r="AT442" s="282" t="n"/>
      <c r="AU442" s="282" t="n"/>
    </row>
    <row customHeight="1" ht="15.75" r="443" s="452" spans="1:48">
      <c r="A443" s="44" t="n"/>
      <c r="D443" s="535" t="n"/>
      <c r="E443" s="535" t="n"/>
      <c r="F443" s="282" t="n"/>
      <c r="G443" s="282" t="n"/>
      <c r="H443" s="536" t="n"/>
      <c r="I443" s="535" t="n"/>
      <c r="J443" s="282" t="n"/>
      <c r="K443" s="282" t="n"/>
      <c r="L443" s="536" t="n"/>
      <c r="M443" s="535" t="n"/>
      <c r="N443" s="282" t="n"/>
      <c r="O443" s="282" t="n"/>
      <c r="P443" s="535" t="n"/>
      <c r="Q443" s="535" t="n"/>
      <c r="R443" s="282" t="n"/>
      <c r="S443" s="282" t="n"/>
      <c r="T443" s="535" t="n"/>
      <c r="U443" s="535" t="n"/>
      <c r="V443" s="282" t="n"/>
      <c r="W443" s="282" t="n"/>
      <c r="X443" s="536" t="n"/>
      <c r="Y443" s="536" t="n"/>
      <c r="Z443" s="282" t="n"/>
      <c r="AA443" s="282" t="n"/>
      <c r="AB443" s="536" t="n"/>
      <c r="AC443" s="536" t="n"/>
      <c r="AD443" s="282" t="n"/>
      <c r="AE443" s="282" t="n"/>
      <c r="AF443" s="537" t="n"/>
      <c r="AG443" s="537" t="n"/>
      <c r="AH443" s="282" t="n"/>
      <c r="AI443" s="282" t="n"/>
      <c r="AJ443" s="537" t="n"/>
      <c r="AK443" s="537" t="n"/>
      <c r="AL443" s="282" t="n"/>
      <c r="AM443" s="282" t="n"/>
      <c r="AN443" s="282" t="n"/>
      <c r="AO443" s="282" t="n"/>
      <c r="AP443" s="282" t="n"/>
      <c r="AQ443" s="282" t="n"/>
      <c r="AR443" s="535" t="n"/>
      <c r="AS443" s="535" t="n"/>
      <c r="AT443" s="282" t="n"/>
      <c r="AU443" s="282" t="n"/>
    </row>
    <row customHeight="1" ht="15.75" r="444" s="452" spans="1:48">
      <c r="A444" s="44" t="n"/>
      <c r="D444" s="535" t="n"/>
      <c r="E444" s="535" t="n"/>
      <c r="F444" s="282" t="n"/>
      <c r="G444" s="282" t="n"/>
      <c r="H444" s="536" t="n"/>
      <c r="I444" s="535" t="n"/>
      <c r="J444" s="282" t="n"/>
      <c r="K444" s="282" t="n"/>
      <c r="L444" s="536" t="n"/>
      <c r="M444" s="535" t="n"/>
      <c r="N444" s="282" t="n"/>
      <c r="O444" s="282" t="n"/>
      <c r="P444" s="535" t="n"/>
      <c r="Q444" s="535" t="n"/>
      <c r="R444" s="282" t="n"/>
      <c r="S444" s="282" t="n"/>
      <c r="T444" s="535" t="n"/>
      <c r="U444" s="535" t="n"/>
      <c r="V444" s="282" t="n"/>
      <c r="W444" s="282" t="n"/>
      <c r="X444" s="536" t="n"/>
      <c r="Y444" s="536" t="n"/>
      <c r="Z444" s="282" t="n"/>
      <c r="AA444" s="282" t="n"/>
      <c r="AB444" s="536" t="n"/>
      <c r="AC444" s="536" t="n"/>
      <c r="AD444" s="282" t="n"/>
      <c r="AE444" s="282" t="n"/>
      <c r="AF444" s="537" t="n"/>
      <c r="AG444" s="537" t="n"/>
      <c r="AH444" s="282" t="n"/>
      <c r="AI444" s="282" t="n"/>
      <c r="AJ444" s="537" t="n"/>
      <c r="AK444" s="537" t="n"/>
      <c r="AL444" s="282" t="n"/>
      <c r="AM444" s="282" t="n"/>
      <c r="AN444" s="282" t="n"/>
      <c r="AO444" s="282" t="n"/>
      <c r="AP444" s="282" t="n"/>
      <c r="AQ444" s="282" t="n"/>
      <c r="AR444" s="535" t="n"/>
      <c r="AS444" s="535" t="n"/>
      <c r="AT444" s="282" t="n"/>
      <c r="AU444" s="282" t="n"/>
    </row>
    <row customHeight="1" ht="15.75" r="445" s="452" spans="1:48">
      <c r="A445" s="44" t="n"/>
      <c r="D445" s="535" t="n"/>
      <c r="E445" s="535" t="n"/>
      <c r="F445" s="282" t="n"/>
      <c r="G445" s="282" t="n"/>
      <c r="H445" s="536" t="n"/>
      <c r="I445" s="535" t="n"/>
      <c r="J445" s="282" t="n"/>
      <c r="K445" s="282" t="n"/>
      <c r="L445" s="536" t="n"/>
      <c r="M445" s="535" t="n"/>
      <c r="N445" s="282" t="n"/>
      <c r="O445" s="282" t="n"/>
      <c r="P445" s="535" t="n"/>
      <c r="Q445" s="535" t="n"/>
      <c r="R445" s="282" t="n"/>
      <c r="S445" s="282" t="n"/>
      <c r="T445" s="535" t="n"/>
      <c r="U445" s="535" t="n"/>
      <c r="V445" s="282" t="n"/>
      <c r="W445" s="282" t="n"/>
      <c r="X445" s="536" t="n"/>
      <c r="Y445" s="536" t="n"/>
      <c r="Z445" s="282" t="n"/>
      <c r="AA445" s="282" t="n"/>
      <c r="AB445" s="536" t="n"/>
      <c r="AC445" s="536" t="n"/>
      <c r="AD445" s="282" t="n"/>
      <c r="AE445" s="282" t="n"/>
      <c r="AF445" s="537" t="n"/>
      <c r="AG445" s="537" t="n"/>
      <c r="AH445" s="282" t="n"/>
      <c r="AI445" s="282" t="n"/>
      <c r="AJ445" s="537" t="n"/>
      <c r="AK445" s="537" t="n"/>
      <c r="AL445" s="282" t="n"/>
      <c r="AM445" s="282" t="n"/>
      <c r="AN445" s="282" t="n"/>
      <c r="AO445" s="282" t="n"/>
      <c r="AP445" s="282" t="n"/>
      <c r="AQ445" s="282" t="n"/>
      <c r="AR445" s="535" t="n"/>
      <c r="AS445" s="535" t="n"/>
      <c r="AT445" s="282" t="n"/>
      <c r="AU445" s="282" t="n"/>
    </row>
    <row customHeight="1" ht="15.75" r="446" s="452" spans="1:48">
      <c r="A446" s="44" t="n"/>
      <c r="D446" s="535" t="n"/>
      <c r="E446" s="535" t="n"/>
      <c r="F446" s="282" t="n"/>
      <c r="G446" s="282" t="n"/>
      <c r="H446" s="536" t="n"/>
      <c r="I446" s="535" t="n"/>
      <c r="J446" s="282" t="n"/>
      <c r="K446" s="282" t="n"/>
      <c r="L446" s="536" t="n"/>
      <c r="M446" s="535" t="n"/>
      <c r="N446" s="282" t="n"/>
      <c r="O446" s="282" t="n"/>
      <c r="P446" s="535" t="n"/>
      <c r="Q446" s="535" t="n"/>
      <c r="R446" s="282" t="n"/>
      <c r="S446" s="282" t="n"/>
      <c r="T446" s="535" t="n"/>
      <c r="U446" s="535" t="n"/>
      <c r="V446" s="282" t="n"/>
      <c r="W446" s="282" t="n"/>
      <c r="X446" s="536" t="n"/>
      <c r="Y446" s="536" t="n"/>
      <c r="Z446" s="282" t="n"/>
      <c r="AA446" s="282" t="n"/>
      <c r="AB446" s="536" t="n"/>
      <c r="AC446" s="536" t="n"/>
      <c r="AD446" s="282" t="n"/>
      <c r="AE446" s="282" t="n"/>
      <c r="AF446" s="537" t="n"/>
      <c r="AG446" s="537" t="n"/>
      <c r="AH446" s="282" t="n"/>
      <c r="AI446" s="282" t="n"/>
      <c r="AJ446" s="537" t="n"/>
      <c r="AK446" s="537" t="n"/>
      <c r="AL446" s="282" t="n"/>
      <c r="AM446" s="282" t="n"/>
      <c r="AN446" s="282" t="n"/>
      <c r="AO446" s="282" t="n"/>
      <c r="AP446" s="282" t="n"/>
      <c r="AQ446" s="282" t="n"/>
      <c r="AR446" s="535" t="n"/>
      <c r="AS446" s="535" t="n"/>
      <c r="AT446" s="282" t="n"/>
      <c r="AU446" s="282" t="n"/>
    </row>
    <row customHeight="1" ht="15.75" r="447" s="452" spans="1:48">
      <c r="A447" s="44" t="n"/>
      <c r="D447" s="535" t="n"/>
      <c r="E447" s="535" t="n"/>
      <c r="F447" s="282" t="n"/>
      <c r="G447" s="282" t="n"/>
      <c r="H447" s="536" t="n"/>
      <c r="I447" s="535" t="n"/>
      <c r="J447" s="282" t="n"/>
      <c r="K447" s="282" t="n"/>
      <c r="L447" s="536" t="n"/>
      <c r="M447" s="535" t="n"/>
      <c r="N447" s="282" t="n"/>
      <c r="O447" s="282" t="n"/>
      <c r="P447" s="535" t="n"/>
      <c r="Q447" s="535" t="n"/>
      <c r="R447" s="282" t="n"/>
      <c r="S447" s="282" t="n"/>
      <c r="T447" s="535" t="n"/>
      <c r="U447" s="535" t="n"/>
      <c r="V447" s="282" t="n"/>
      <c r="W447" s="282" t="n"/>
      <c r="X447" s="536" t="n"/>
      <c r="Y447" s="536" t="n"/>
      <c r="Z447" s="282" t="n"/>
      <c r="AA447" s="282" t="n"/>
      <c r="AB447" s="536" t="n"/>
      <c r="AC447" s="536" t="n"/>
      <c r="AD447" s="282" t="n"/>
      <c r="AE447" s="282" t="n"/>
      <c r="AF447" s="537" t="n"/>
      <c r="AG447" s="537" t="n"/>
      <c r="AH447" s="282" t="n"/>
      <c r="AI447" s="282" t="n"/>
      <c r="AJ447" s="537" t="n"/>
      <c r="AK447" s="537" t="n"/>
      <c r="AL447" s="282" t="n"/>
      <c r="AM447" s="282" t="n"/>
      <c r="AN447" s="282" t="n"/>
      <c r="AO447" s="282" t="n"/>
      <c r="AP447" s="282" t="n"/>
      <c r="AQ447" s="282" t="n"/>
      <c r="AR447" s="535" t="n"/>
      <c r="AS447" s="535" t="n"/>
      <c r="AT447" s="282" t="n"/>
      <c r="AU447" s="282" t="n"/>
    </row>
    <row customHeight="1" ht="15.75" r="448" s="452" spans="1:48">
      <c r="A448" s="44" t="n"/>
      <c r="D448" s="535" t="n"/>
      <c r="E448" s="535" t="n"/>
      <c r="F448" s="282" t="n"/>
      <c r="G448" s="282" t="n"/>
      <c r="H448" s="536" t="n"/>
      <c r="I448" s="535" t="n"/>
      <c r="J448" s="282" t="n"/>
      <c r="K448" s="282" t="n"/>
      <c r="L448" s="536" t="n"/>
      <c r="M448" s="535" t="n"/>
      <c r="N448" s="282" t="n"/>
      <c r="O448" s="282" t="n"/>
      <c r="P448" s="535" t="n"/>
      <c r="Q448" s="535" t="n"/>
      <c r="R448" s="282" t="n"/>
      <c r="S448" s="282" t="n"/>
      <c r="T448" s="535" t="n"/>
      <c r="U448" s="535" t="n"/>
      <c r="V448" s="282" t="n"/>
      <c r="W448" s="282" t="n"/>
      <c r="X448" s="536" t="n"/>
      <c r="Y448" s="536" t="n"/>
      <c r="Z448" s="282" t="n"/>
      <c r="AA448" s="282" t="n"/>
      <c r="AB448" s="536" t="n"/>
      <c r="AC448" s="536" t="n"/>
      <c r="AD448" s="282" t="n"/>
      <c r="AE448" s="282" t="n"/>
      <c r="AF448" s="537" t="n"/>
      <c r="AG448" s="537" t="n"/>
      <c r="AH448" s="282" t="n"/>
      <c r="AI448" s="282" t="n"/>
      <c r="AJ448" s="537" t="n"/>
      <c r="AK448" s="537" t="n"/>
      <c r="AL448" s="282" t="n"/>
      <c r="AM448" s="282" t="n"/>
      <c r="AN448" s="282" t="n"/>
      <c r="AO448" s="282" t="n"/>
      <c r="AP448" s="282" t="n"/>
      <c r="AQ448" s="282" t="n"/>
      <c r="AR448" s="535" t="n"/>
      <c r="AS448" s="535" t="n"/>
      <c r="AT448" s="282" t="n"/>
      <c r="AU448" s="282" t="n"/>
    </row>
    <row customHeight="1" ht="15.75" r="449" s="452" spans="1:48">
      <c r="A449" s="44" t="n"/>
      <c r="D449" s="535" t="n"/>
      <c r="E449" s="535" t="n"/>
      <c r="F449" s="282" t="n"/>
      <c r="G449" s="282" t="n"/>
      <c r="H449" s="536" t="n"/>
      <c r="I449" s="535" t="n"/>
      <c r="J449" s="282" t="n"/>
      <c r="K449" s="282" t="n"/>
      <c r="L449" s="536" t="n"/>
      <c r="M449" s="535" t="n"/>
      <c r="N449" s="282" t="n"/>
      <c r="O449" s="282" t="n"/>
      <c r="P449" s="535" t="n"/>
      <c r="Q449" s="535" t="n"/>
      <c r="R449" s="282" t="n"/>
      <c r="S449" s="282" t="n"/>
      <c r="T449" s="535" t="n"/>
      <c r="U449" s="535" t="n"/>
      <c r="V449" s="282" t="n"/>
      <c r="W449" s="282" t="n"/>
      <c r="X449" s="536" t="n"/>
      <c r="Y449" s="536" t="n"/>
      <c r="Z449" s="282" t="n"/>
      <c r="AA449" s="282" t="n"/>
      <c r="AB449" s="536" t="n"/>
      <c r="AC449" s="536" t="n"/>
      <c r="AD449" s="282" t="n"/>
      <c r="AE449" s="282" t="n"/>
      <c r="AF449" s="537" t="n"/>
      <c r="AG449" s="537" t="n"/>
      <c r="AH449" s="282" t="n"/>
      <c r="AI449" s="282" t="n"/>
      <c r="AJ449" s="537" t="n"/>
      <c r="AK449" s="537" t="n"/>
      <c r="AL449" s="282" t="n"/>
      <c r="AM449" s="282" t="n"/>
      <c r="AN449" s="282" t="n"/>
      <c r="AO449" s="282" t="n"/>
      <c r="AP449" s="282" t="n"/>
      <c r="AQ449" s="282" t="n"/>
      <c r="AR449" s="535" t="n"/>
      <c r="AS449" s="535" t="n"/>
      <c r="AT449" s="282" t="n"/>
      <c r="AU449" s="282" t="n"/>
    </row>
    <row customHeight="1" ht="15.75" r="450" s="452" spans="1:48">
      <c r="A450" s="44" t="n"/>
      <c r="D450" s="535" t="n"/>
      <c r="E450" s="535" t="n"/>
      <c r="F450" s="282" t="n"/>
      <c r="G450" s="282" t="n"/>
      <c r="H450" s="536" t="n"/>
      <c r="I450" s="535" t="n"/>
      <c r="J450" s="282" t="n"/>
      <c r="K450" s="282" t="n"/>
      <c r="L450" s="536" t="n"/>
      <c r="M450" s="535" t="n"/>
      <c r="N450" s="282" t="n"/>
      <c r="O450" s="282" t="n"/>
      <c r="P450" s="535" t="n"/>
      <c r="Q450" s="535" t="n"/>
      <c r="R450" s="282" t="n"/>
      <c r="S450" s="282" t="n"/>
      <c r="T450" s="535" t="n"/>
      <c r="U450" s="535" t="n"/>
      <c r="V450" s="282" t="n"/>
      <c r="W450" s="282" t="n"/>
      <c r="X450" s="536" t="n"/>
      <c r="Y450" s="536" t="n"/>
      <c r="Z450" s="282" t="n"/>
      <c r="AA450" s="282" t="n"/>
      <c r="AB450" s="536" t="n"/>
      <c r="AC450" s="536" t="n"/>
      <c r="AD450" s="282" t="n"/>
      <c r="AE450" s="282" t="n"/>
      <c r="AF450" s="537" t="n"/>
      <c r="AG450" s="537" t="n"/>
      <c r="AH450" s="282" t="n"/>
      <c r="AI450" s="282" t="n"/>
      <c r="AJ450" s="537" t="n"/>
      <c r="AK450" s="537" t="n"/>
      <c r="AL450" s="282" t="n"/>
      <c r="AM450" s="282" t="n"/>
      <c r="AN450" s="282" t="n"/>
      <c r="AO450" s="282" t="n"/>
      <c r="AP450" s="282" t="n"/>
      <c r="AQ450" s="282" t="n"/>
      <c r="AR450" s="535" t="n"/>
      <c r="AS450" s="535" t="n"/>
      <c r="AT450" s="282" t="n"/>
      <c r="AU450" s="282" t="n"/>
    </row>
    <row customHeight="1" ht="15.75" r="451" s="452" spans="1:48">
      <c r="A451" s="44" t="n"/>
      <c r="D451" s="535" t="n"/>
      <c r="E451" s="535" t="n"/>
      <c r="F451" s="282" t="n"/>
      <c r="G451" s="282" t="n"/>
      <c r="H451" s="536" t="n"/>
      <c r="I451" s="535" t="n"/>
      <c r="J451" s="282" t="n"/>
      <c r="K451" s="282" t="n"/>
      <c r="L451" s="536" t="n"/>
      <c r="M451" s="535" t="n"/>
      <c r="N451" s="282" t="n"/>
      <c r="O451" s="282" t="n"/>
      <c r="P451" s="535" t="n"/>
      <c r="Q451" s="535" t="n"/>
      <c r="R451" s="282" t="n"/>
      <c r="S451" s="282" t="n"/>
      <c r="T451" s="535" t="n"/>
      <c r="U451" s="535" t="n"/>
      <c r="V451" s="282" t="n"/>
      <c r="W451" s="282" t="n"/>
      <c r="X451" s="536" t="n"/>
      <c r="Y451" s="536" t="n"/>
      <c r="Z451" s="282" t="n"/>
      <c r="AA451" s="282" t="n"/>
      <c r="AB451" s="536" t="n"/>
      <c r="AC451" s="536" t="n"/>
      <c r="AD451" s="282" t="n"/>
      <c r="AE451" s="282" t="n"/>
      <c r="AF451" s="537" t="n"/>
      <c r="AG451" s="537" t="n"/>
      <c r="AH451" s="282" t="n"/>
      <c r="AI451" s="282" t="n"/>
      <c r="AJ451" s="537" t="n"/>
      <c r="AK451" s="537" t="n"/>
      <c r="AL451" s="282" t="n"/>
      <c r="AM451" s="282" t="n"/>
      <c r="AN451" s="282" t="n"/>
      <c r="AO451" s="282" t="n"/>
      <c r="AP451" s="282" t="n"/>
      <c r="AQ451" s="282" t="n"/>
      <c r="AR451" s="535" t="n"/>
      <c r="AS451" s="535" t="n"/>
      <c r="AT451" s="282" t="n"/>
      <c r="AU451" s="282" t="n"/>
    </row>
    <row customHeight="1" ht="15.75" r="452" s="452" spans="1:48">
      <c r="A452" s="44" t="n"/>
      <c r="D452" s="535" t="n"/>
      <c r="E452" s="535" t="n"/>
      <c r="F452" s="282" t="n"/>
      <c r="G452" s="282" t="n"/>
      <c r="H452" s="536" t="n"/>
      <c r="I452" s="535" t="n"/>
      <c r="J452" s="282" t="n"/>
      <c r="K452" s="282" t="n"/>
      <c r="L452" s="536" t="n"/>
      <c r="M452" s="535" t="n"/>
      <c r="N452" s="282" t="n"/>
      <c r="O452" s="282" t="n"/>
      <c r="P452" s="535" t="n"/>
      <c r="Q452" s="535" t="n"/>
      <c r="R452" s="282" t="n"/>
      <c r="S452" s="282" t="n"/>
      <c r="T452" s="535" t="n"/>
      <c r="U452" s="535" t="n"/>
      <c r="V452" s="282" t="n"/>
      <c r="W452" s="282" t="n"/>
      <c r="X452" s="536" t="n"/>
      <c r="Y452" s="536" t="n"/>
      <c r="Z452" s="282" t="n"/>
      <c r="AA452" s="282" t="n"/>
      <c r="AB452" s="536" t="n"/>
      <c r="AC452" s="536" t="n"/>
      <c r="AD452" s="282" t="n"/>
      <c r="AE452" s="282" t="n"/>
      <c r="AF452" s="537" t="n"/>
      <c r="AG452" s="537" t="n"/>
      <c r="AH452" s="282" t="n"/>
      <c r="AI452" s="282" t="n"/>
      <c r="AJ452" s="537" t="n"/>
      <c r="AK452" s="537" t="n"/>
      <c r="AL452" s="282" t="n"/>
      <c r="AM452" s="282" t="n"/>
      <c r="AN452" s="282" t="n"/>
      <c r="AO452" s="282" t="n"/>
      <c r="AP452" s="282" t="n"/>
      <c r="AQ452" s="282" t="n"/>
      <c r="AR452" s="535" t="n"/>
      <c r="AS452" s="535" t="n"/>
      <c r="AT452" s="282" t="n"/>
      <c r="AU452" s="282" t="n"/>
    </row>
    <row customHeight="1" ht="15.75" r="453" s="452" spans="1:48">
      <c r="A453" s="44" t="n"/>
      <c r="D453" s="535" t="n"/>
      <c r="E453" s="535" t="n"/>
      <c r="F453" s="282" t="n"/>
      <c r="G453" s="282" t="n"/>
      <c r="H453" s="536" t="n"/>
      <c r="I453" s="535" t="n"/>
      <c r="J453" s="282" t="n"/>
      <c r="K453" s="282" t="n"/>
      <c r="L453" s="536" t="n"/>
      <c r="M453" s="535" t="n"/>
      <c r="N453" s="282" t="n"/>
      <c r="O453" s="282" t="n"/>
      <c r="P453" s="535" t="n"/>
      <c r="Q453" s="535" t="n"/>
      <c r="R453" s="282" t="n"/>
      <c r="S453" s="282" t="n"/>
      <c r="T453" s="535" t="n"/>
      <c r="U453" s="535" t="n"/>
      <c r="V453" s="282" t="n"/>
      <c r="W453" s="282" t="n"/>
      <c r="X453" s="536" t="n"/>
      <c r="Y453" s="536" t="n"/>
      <c r="Z453" s="282" t="n"/>
      <c r="AA453" s="282" t="n"/>
      <c r="AB453" s="536" t="n"/>
      <c r="AC453" s="536" t="n"/>
      <c r="AD453" s="282" t="n"/>
      <c r="AE453" s="282" t="n"/>
      <c r="AF453" s="537" t="n"/>
      <c r="AG453" s="537" t="n"/>
      <c r="AH453" s="282" t="n"/>
      <c r="AI453" s="282" t="n"/>
      <c r="AJ453" s="537" t="n"/>
      <c r="AK453" s="537" t="n"/>
      <c r="AL453" s="282" t="n"/>
      <c r="AM453" s="282" t="n"/>
      <c r="AN453" s="282" t="n"/>
      <c r="AO453" s="282" t="n"/>
      <c r="AP453" s="282" t="n"/>
      <c r="AQ453" s="282" t="n"/>
      <c r="AR453" s="535" t="n"/>
      <c r="AS453" s="535" t="n"/>
      <c r="AT453" s="282" t="n"/>
      <c r="AU453" s="282" t="n"/>
    </row>
    <row customHeight="1" ht="15.75" r="454" s="452" spans="1:48">
      <c r="A454" s="44" t="n"/>
      <c r="D454" s="535" t="n"/>
      <c r="E454" s="535" t="n"/>
      <c r="F454" s="282" t="n"/>
      <c r="G454" s="282" t="n"/>
      <c r="H454" s="536" t="n"/>
      <c r="I454" s="535" t="n"/>
      <c r="J454" s="282" t="n"/>
      <c r="K454" s="282" t="n"/>
      <c r="L454" s="536" t="n"/>
      <c r="M454" s="535" t="n"/>
      <c r="N454" s="282" t="n"/>
      <c r="O454" s="282" t="n"/>
      <c r="P454" s="535" t="n"/>
      <c r="Q454" s="535" t="n"/>
      <c r="R454" s="282" t="n"/>
      <c r="S454" s="282" t="n"/>
      <c r="T454" s="535" t="n"/>
      <c r="U454" s="535" t="n"/>
      <c r="V454" s="282" t="n"/>
      <c r="W454" s="282" t="n"/>
      <c r="X454" s="536" t="n"/>
      <c r="Y454" s="536" t="n"/>
      <c r="Z454" s="282" t="n"/>
      <c r="AA454" s="282" t="n"/>
      <c r="AB454" s="536" t="n"/>
      <c r="AC454" s="536" t="n"/>
      <c r="AD454" s="282" t="n"/>
      <c r="AE454" s="282" t="n"/>
      <c r="AF454" s="537" t="n"/>
      <c r="AG454" s="537" t="n"/>
      <c r="AH454" s="282" t="n"/>
      <c r="AI454" s="282" t="n"/>
      <c r="AJ454" s="537" t="n"/>
      <c r="AK454" s="537" t="n"/>
      <c r="AL454" s="282" t="n"/>
      <c r="AM454" s="282" t="n"/>
      <c r="AN454" s="282" t="n"/>
      <c r="AO454" s="282" t="n"/>
      <c r="AP454" s="282" t="n"/>
      <c r="AQ454" s="282" t="n"/>
      <c r="AR454" s="535" t="n"/>
      <c r="AS454" s="535" t="n"/>
      <c r="AT454" s="282" t="n"/>
      <c r="AU454" s="282" t="n"/>
    </row>
    <row customHeight="1" ht="15.75" r="455" s="452" spans="1:48">
      <c r="A455" s="44" t="n"/>
      <c r="D455" s="535" t="n"/>
      <c r="E455" s="535" t="n"/>
      <c r="F455" s="282" t="n"/>
      <c r="G455" s="282" t="n"/>
      <c r="H455" s="536" t="n"/>
      <c r="I455" s="535" t="n"/>
      <c r="J455" s="282" t="n"/>
      <c r="K455" s="282" t="n"/>
      <c r="L455" s="536" t="n"/>
      <c r="M455" s="535" t="n"/>
      <c r="N455" s="282" t="n"/>
      <c r="O455" s="282" t="n"/>
      <c r="P455" s="535" t="n"/>
      <c r="Q455" s="535" t="n"/>
      <c r="R455" s="282" t="n"/>
      <c r="S455" s="282" t="n"/>
      <c r="T455" s="535" t="n"/>
      <c r="U455" s="535" t="n"/>
      <c r="V455" s="282" t="n"/>
      <c r="W455" s="282" t="n"/>
      <c r="X455" s="536" t="n"/>
      <c r="Y455" s="536" t="n"/>
      <c r="Z455" s="282" t="n"/>
      <c r="AA455" s="282" t="n"/>
      <c r="AB455" s="536" t="n"/>
      <c r="AC455" s="536" t="n"/>
      <c r="AD455" s="282" t="n"/>
      <c r="AE455" s="282" t="n"/>
      <c r="AF455" s="537" t="n"/>
      <c r="AG455" s="537" t="n"/>
      <c r="AH455" s="282" t="n"/>
      <c r="AI455" s="282" t="n"/>
      <c r="AJ455" s="537" t="n"/>
      <c r="AK455" s="537" t="n"/>
      <c r="AL455" s="282" t="n"/>
      <c r="AM455" s="282" t="n"/>
      <c r="AN455" s="282" t="n"/>
      <c r="AO455" s="282" t="n"/>
      <c r="AP455" s="282" t="n"/>
      <c r="AQ455" s="282" t="n"/>
      <c r="AR455" s="535" t="n"/>
      <c r="AS455" s="535" t="n"/>
      <c r="AT455" s="282" t="n"/>
      <c r="AU455" s="282" t="n"/>
    </row>
    <row customHeight="1" ht="15.75" r="456" s="452" spans="1:48">
      <c r="A456" s="44" t="n"/>
      <c r="D456" s="535" t="n"/>
      <c r="E456" s="535" t="n"/>
      <c r="F456" s="282" t="n"/>
      <c r="G456" s="282" t="n"/>
      <c r="H456" s="536" t="n"/>
      <c r="I456" s="535" t="n"/>
      <c r="J456" s="282" t="n"/>
      <c r="K456" s="282" t="n"/>
      <c r="L456" s="536" t="n"/>
      <c r="M456" s="535" t="n"/>
      <c r="N456" s="282" t="n"/>
      <c r="O456" s="282" t="n"/>
      <c r="P456" s="535" t="n"/>
      <c r="Q456" s="535" t="n"/>
      <c r="R456" s="282" t="n"/>
      <c r="S456" s="282" t="n"/>
      <c r="T456" s="535" t="n"/>
      <c r="U456" s="535" t="n"/>
      <c r="V456" s="282" t="n"/>
      <c r="W456" s="282" t="n"/>
      <c r="X456" s="536" t="n"/>
      <c r="Y456" s="536" t="n"/>
      <c r="Z456" s="282" t="n"/>
      <c r="AA456" s="282" t="n"/>
      <c r="AB456" s="536" t="n"/>
      <c r="AC456" s="536" t="n"/>
      <c r="AD456" s="282" t="n"/>
      <c r="AE456" s="282" t="n"/>
      <c r="AF456" s="537" t="n"/>
      <c r="AG456" s="537" t="n"/>
      <c r="AH456" s="282" t="n"/>
      <c r="AI456" s="282" t="n"/>
      <c r="AJ456" s="537" t="n"/>
      <c r="AK456" s="537" t="n"/>
      <c r="AL456" s="282" t="n"/>
      <c r="AM456" s="282" t="n"/>
      <c r="AN456" s="282" t="n"/>
      <c r="AO456" s="282" t="n"/>
      <c r="AP456" s="282" t="n"/>
      <c r="AQ456" s="282" t="n"/>
      <c r="AR456" s="535" t="n"/>
      <c r="AS456" s="535" t="n"/>
      <c r="AT456" s="282" t="n"/>
      <c r="AU456" s="282" t="n"/>
    </row>
    <row customHeight="1" ht="15.75" r="457" s="452" spans="1:48">
      <c r="A457" s="44" t="n"/>
      <c r="D457" s="535" t="n"/>
      <c r="E457" s="535" t="n"/>
      <c r="F457" s="282" t="n"/>
      <c r="G457" s="282" t="n"/>
      <c r="H457" s="536" t="n"/>
      <c r="I457" s="535" t="n"/>
      <c r="J457" s="282" t="n"/>
      <c r="K457" s="282" t="n"/>
      <c r="L457" s="536" t="n"/>
      <c r="M457" s="535" t="n"/>
      <c r="N457" s="282" t="n"/>
      <c r="O457" s="282" t="n"/>
      <c r="P457" s="535" t="n"/>
      <c r="Q457" s="535" t="n"/>
      <c r="R457" s="282" t="n"/>
      <c r="S457" s="282" t="n"/>
      <c r="T457" s="535" t="n"/>
      <c r="U457" s="535" t="n"/>
      <c r="V457" s="282" t="n"/>
      <c r="W457" s="282" t="n"/>
      <c r="X457" s="536" t="n"/>
      <c r="Y457" s="536" t="n"/>
      <c r="Z457" s="282" t="n"/>
      <c r="AA457" s="282" t="n"/>
      <c r="AB457" s="536" t="n"/>
      <c r="AC457" s="536" t="n"/>
      <c r="AD457" s="282" t="n"/>
      <c r="AE457" s="282" t="n"/>
      <c r="AF457" s="537" t="n"/>
      <c r="AG457" s="537" t="n"/>
      <c r="AH457" s="282" t="n"/>
      <c r="AI457" s="282" t="n"/>
      <c r="AJ457" s="537" t="n"/>
      <c r="AK457" s="537" t="n"/>
      <c r="AL457" s="282" t="n"/>
      <c r="AM457" s="282" t="n"/>
      <c r="AN457" s="282" t="n"/>
      <c r="AO457" s="282" t="n"/>
      <c r="AP457" s="282" t="n"/>
      <c r="AQ457" s="282" t="n"/>
      <c r="AR457" s="535" t="n"/>
      <c r="AS457" s="535" t="n"/>
      <c r="AT457" s="282" t="n"/>
      <c r="AU457" s="282" t="n"/>
    </row>
    <row customHeight="1" ht="15.75" r="458" s="452" spans="1:48">
      <c r="A458" s="44" t="n"/>
      <c r="D458" s="535" t="n"/>
      <c r="E458" s="535" t="n"/>
      <c r="F458" s="282" t="n"/>
      <c r="G458" s="282" t="n"/>
      <c r="H458" s="536" t="n"/>
      <c r="I458" s="535" t="n"/>
      <c r="J458" s="282" t="n"/>
      <c r="K458" s="282" t="n"/>
      <c r="L458" s="536" t="n"/>
      <c r="M458" s="535" t="n"/>
      <c r="N458" s="282" t="n"/>
      <c r="O458" s="282" t="n"/>
      <c r="P458" s="535" t="n"/>
      <c r="Q458" s="535" t="n"/>
      <c r="R458" s="282" t="n"/>
      <c r="S458" s="282" t="n"/>
      <c r="T458" s="535" t="n"/>
      <c r="U458" s="535" t="n"/>
      <c r="V458" s="282" t="n"/>
      <c r="W458" s="282" t="n"/>
      <c r="X458" s="536" t="n"/>
      <c r="Y458" s="536" t="n"/>
      <c r="Z458" s="282" t="n"/>
      <c r="AA458" s="282" t="n"/>
      <c r="AB458" s="536" t="n"/>
      <c r="AC458" s="536" t="n"/>
      <c r="AD458" s="282" t="n"/>
      <c r="AE458" s="282" t="n"/>
      <c r="AF458" s="537" t="n"/>
      <c r="AG458" s="537" t="n"/>
      <c r="AH458" s="282" t="n"/>
      <c r="AI458" s="282" t="n"/>
      <c r="AJ458" s="537" t="n"/>
      <c r="AK458" s="537" t="n"/>
      <c r="AL458" s="282" t="n"/>
      <c r="AM458" s="282" t="n"/>
      <c r="AN458" s="282" t="n"/>
      <c r="AO458" s="282" t="n"/>
      <c r="AP458" s="282" t="n"/>
      <c r="AQ458" s="282" t="n"/>
      <c r="AR458" s="535" t="n"/>
      <c r="AS458" s="535" t="n"/>
      <c r="AT458" s="282" t="n"/>
      <c r="AU458" s="282" t="n"/>
    </row>
    <row customHeight="1" ht="15.75" r="459" s="452" spans="1:48">
      <c r="A459" s="44" t="n"/>
      <c r="D459" s="535" t="n"/>
      <c r="E459" s="535" t="n"/>
      <c r="F459" s="282" t="n"/>
      <c r="G459" s="282" t="n"/>
      <c r="H459" s="536" t="n"/>
      <c r="I459" s="535" t="n"/>
      <c r="J459" s="282" t="n"/>
      <c r="K459" s="282" t="n"/>
      <c r="L459" s="536" t="n"/>
      <c r="M459" s="535" t="n"/>
      <c r="N459" s="282" t="n"/>
      <c r="O459" s="282" t="n"/>
      <c r="P459" s="535" t="n"/>
      <c r="Q459" s="535" t="n"/>
      <c r="R459" s="282" t="n"/>
      <c r="S459" s="282" t="n"/>
      <c r="T459" s="535" t="n"/>
      <c r="U459" s="535" t="n"/>
      <c r="V459" s="282" t="n"/>
      <c r="W459" s="282" t="n"/>
      <c r="X459" s="536" t="n"/>
      <c r="Y459" s="536" t="n"/>
      <c r="Z459" s="282" t="n"/>
      <c r="AA459" s="282" t="n"/>
      <c r="AB459" s="536" t="n"/>
      <c r="AC459" s="536" t="n"/>
      <c r="AD459" s="282" t="n"/>
      <c r="AE459" s="282" t="n"/>
      <c r="AF459" s="537" t="n"/>
      <c r="AG459" s="537" t="n"/>
      <c r="AH459" s="282" t="n"/>
      <c r="AI459" s="282" t="n"/>
      <c r="AJ459" s="537" t="n"/>
      <c r="AK459" s="537" t="n"/>
      <c r="AL459" s="282" t="n"/>
      <c r="AM459" s="282" t="n"/>
      <c r="AN459" s="282" t="n"/>
      <c r="AO459" s="282" t="n"/>
      <c r="AP459" s="282" t="n"/>
      <c r="AQ459" s="282" t="n"/>
      <c r="AR459" s="535" t="n"/>
      <c r="AS459" s="535" t="n"/>
      <c r="AT459" s="282" t="n"/>
      <c r="AU459" s="282" t="n"/>
    </row>
    <row customHeight="1" ht="15.75" r="460" s="452" spans="1:48">
      <c r="A460" s="44" t="n"/>
      <c r="D460" s="535" t="n"/>
      <c r="E460" s="535" t="n"/>
      <c r="F460" s="282" t="n"/>
      <c r="G460" s="282" t="n"/>
      <c r="H460" s="536" t="n"/>
      <c r="I460" s="535" t="n"/>
      <c r="J460" s="282" t="n"/>
      <c r="K460" s="282" t="n"/>
      <c r="L460" s="536" t="n"/>
      <c r="M460" s="535" t="n"/>
      <c r="N460" s="282" t="n"/>
      <c r="O460" s="282" t="n"/>
      <c r="P460" s="535" t="n"/>
      <c r="Q460" s="535" t="n"/>
      <c r="R460" s="282" t="n"/>
      <c r="S460" s="282" t="n"/>
      <c r="T460" s="535" t="n"/>
      <c r="U460" s="535" t="n"/>
      <c r="V460" s="282" t="n"/>
      <c r="W460" s="282" t="n"/>
      <c r="X460" s="536" t="n"/>
      <c r="Y460" s="536" t="n"/>
      <c r="Z460" s="282" t="n"/>
      <c r="AA460" s="282" t="n"/>
      <c r="AB460" s="536" t="n"/>
      <c r="AC460" s="536" t="n"/>
      <c r="AD460" s="282" t="n"/>
      <c r="AE460" s="282" t="n"/>
      <c r="AF460" s="537" t="n"/>
      <c r="AG460" s="537" t="n"/>
      <c r="AH460" s="282" t="n"/>
      <c r="AI460" s="282" t="n"/>
      <c r="AJ460" s="537" t="n"/>
      <c r="AK460" s="537" t="n"/>
      <c r="AL460" s="282" t="n"/>
      <c r="AM460" s="282" t="n"/>
      <c r="AN460" s="282" t="n"/>
      <c r="AO460" s="282" t="n"/>
      <c r="AP460" s="282" t="n"/>
      <c r="AQ460" s="282" t="n"/>
      <c r="AR460" s="535" t="n"/>
      <c r="AS460" s="535" t="n"/>
      <c r="AT460" s="282" t="n"/>
      <c r="AU460" s="282" t="n"/>
    </row>
    <row customHeight="1" ht="15.75" r="461" s="452" spans="1:48">
      <c r="A461" s="44" t="n"/>
      <c r="D461" s="535" t="n"/>
      <c r="E461" s="535" t="n"/>
      <c r="F461" s="282" t="n"/>
      <c r="G461" s="282" t="n"/>
      <c r="H461" s="536" t="n"/>
      <c r="I461" s="535" t="n"/>
      <c r="J461" s="282" t="n"/>
      <c r="K461" s="282" t="n"/>
      <c r="L461" s="536" t="n"/>
      <c r="M461" s="535" t="n"/>
      <c r="N461" s="282" t="n"/>
      <c r="O461" s="282" t="n"/>
      <c r="P461" s="535" t="n"/>
      <c r="Q461" s="535" t="n"/>
      <c r="R461" s="282" t="n"/>
      <c r="S461" s="282" t="n"/>
      <c r="T461" s="535" t="n"/>
      <c r="U461" s="535" t="n"/>
      <c r="V461" s="282" t="n"/>
      <c r="W461" s="282" t="n"/>
      <c r="X461" s="536" t="n"/>
      <c r="Y461" s="536" t="n"/>
      <c r="Z461" s="282" t="n"/>
      <c r="AA461" s="282" t="n"/>
      <c r="AB461" s="536" t="n"/>
      <c r="AC461" s="536" t="n"/>
      <c r="AD461" s="282" t="n"/>
      <c r="AE461" s="282" t="n"/>
      <c r="AF461" s="537" t="n"/>
      <c r="AG461" s="537" t="n"/>
      <c r="AH461" s="282" t="n"/>
      <c r="AI461" s="282" t="n"/>
      <c r="AJ461" s="537" t="n"/>
      <c r="AK461" s="537" t="n"/>
      <c r="AL461" s="282" t="n"/>
      <c r="AM461" s="282" t="n"/>
      <c r="AN461" s="282" t="n"/>
      <c r="AO461" s="282" t="n"/>
      <c r="AP461" s="282" t="n"/>
      <c r="AQ461" s="282" t="n"/>
      <c r="AR461" s="535" t="n"/>
      <c r="AS461" s="535" t="n"/>
      <c r="AT461" s="282" t="n"/>
      <c r="AU461" s="282" t="n"/>
    </row>
    <row customHeight="1" ht="15.75" r="462" s="452" spans="1:48">
      <c r="A462" s="44" t="n"/>
      <c r="D462" s="535" t="n"/>
      <c r="E462" s="535" t="n"/>
      <c r="F462" s="282" t="n"/>
      <c r="G462" s="282" t="n"/>
      <c r="H462" s="536" t="n"/>
      <c r="I462" s="535" t="n"/>
      <c r="J462" s="282" t="n"/>
      <c r="K462" s="282" t="n"/>
      <c r="L462" s="536" t="n"/>
      <c r="M462" s="535" t="n"/>
      <c r="N462" s="282" t="n"/>
      <c r="O462" s="282" t="n"/>
      <c r="P462" s="535" t="n"/>
      <c r="Q462" s="535" t="n"/>
      <c r="R462" s="282" t="n"/>
      <c r="S462" s="282" t="n"/>
      <c r="T462" s="535" t="n"/>
      <c r="U462" s="535" t="n"/>
      <c r="V462" s="282" t="n"/>
      <c r="W462" s="282" t="n"/>
      <c r="X462" s="536" t="n"/>
      <c r="Y462" s="536" t="n"/>
      <c r="Z462" s="282" t="n"/>
      <c r="AA462" s="282" t="n"/>
      <c r="AB462" s="536" t="n"/>
      <c r="AC462" s="536" t="n"/>
      <c r="AD462" s="282" t="n"/>
      <c r="AE462" s="282" t="n"/>
      <c r="AF462" s="537" t="n"/>
      <c r="AG462" s="537" t="n"/>
      <c r="AH462" s="282" t="n"/>
      <c r="AI462" s="282" t="n"/>
      <c r="AJ462" s="537" t="n"/>
      <c r="AK462" s="537" t="n"/>
      <c r="AL462" s="282" t="n"/>
      <c r="AM462" s="282" t="n"/>
      <c r="AN462" s="282" t="n"/>
      <c r="AO462" s="282" t="n"/>
      <c r="AP462" s="282" t="n"/>
      <c r="AQ462" s="282" t="n"/>
      <c r="AR462" s="535" t="n"/>
      <c r="AS462" s="535" t="n"/>
      <c r="AT462" s="282" t="n"/>
      <c r="AU462" s="282" t="n"/>
    </row>
    <row customHeight="1" ht="15.75" r="463" s="452" spans="1:48">
      <c r="A463" s="44" t="n"/>
      <c r="D463" s="535" t="n"/>
      <c r="E463" s="535" t="n"/>
      <c r="F463" s="282" t="n"/>
      <c r="G463" s="282" t="n"/>
      <c r="H463" s="536" t="n"/>
      <c r="I463" s="535" t="n"/>
      <c r="J463" s="282" t="n"/>
      <c r="K463" s="282" t="n"/>
      <c r="L463" s="536" t="n"/>
      <c r="M463" s="535" t="n"/>
      <c r="N463" s="282" t="n"/>
      <c r="O463" s="282" t="n"/>
      <c r="P463" s="535" t="n"/>
      <c r="Q463" s="535" t="n"/>
      <c r="R463" s="282" t="n"/>
      <c r="S463" s="282" t="n"/>
      <c r="T463" s="535" t="n"/>
      <c r="U463" s="535" t="n"/>
      <c r="V463" s="282" t="n"/>
      <c r="W463" s="282" t="n"/>
      <c r="X463" s="536" t="n"/>
      <c r="Y463" s="536" t="n"/>
      <c r="Z463" s="282" t="n"/>
      <c r="AA463" s="282" t="n"/>
      <c r="AB463" s="536" t="n"/>
      <c r="AC463" s="536" t="n"/>
      <c r="AD463" s="282" t="n"/>
      <c r="AE463" s="282" t="n"/>
      <c r="AF463" s="537" t="n"/>
      <c r="AG463" s="537" t="n"/>
      <c r="AH463" s="282" t="n"/>
      <c r="AI463" s="282" t="n"/>
      <c r="AJ463" s="537" t="n"/>
      <c r="AK463" s="537" t="n"/>
      <c r="AL463" s="282" t="n"/>
      <c r="AM463" s="282" t="n"/>
      <c r="AN463" s="282" t="n"/>
      <c r="AO463" s="282" t="n"/>
      <c r="AP463" s="282" t="n"/>
      <c r="AQ463" s="282" t="n"/>
      <c r="AR463" s="535" t="n"/>
      <c r="AS463" s="535" t="n"/>
      <c r="AT463" s="282" t="n"/>
      <c r="AU463" s="282" t="n"/>
    </row>
    <row customHeight="1" ht="15.75" r="464" s="452" spans="1:48">
      <c r="A464" s="44" t="n"/>
      <c r="D464" s="535" t="n"/>
      <c r="E464" s="535" t="n"/>
      <c r="F464" s="282" t="n"/>
      <c r="G464" s="282" t="n"/>
      <c r="H464" s="536" t="n"/>
      <c r="I464" s="535" t="n"/>
      <c r="J464" s="282" t="n"/>
      <c r="K464" s="282" t="n"/>
      <c r="L464" s="536" t="n"/>
      <c r="M464" s="535" t="n"/>
      <c r="N464" s="282" t="n"/>
      <c r="O464" s="282" t="n"/>
      <c r="P464" s="535" t="n"/>
      <c r="Q464" s="535" t="n"/>
      <c r="R464" s="282" t="n"/>
      <c r="S464" s="282" t="n"/>
      <c r="T464" s="535" t="n"/>
      <c r="U464" s="535" t="n"/>
      <c r="V464" s="282" t="n"/>
      <c r="W464" s="282" t="n"/>
      <c r="X464" s="536" t="n"/>
      <c r="Y464" s="536" t="n"/>
      <c r="Z464" s="282" t="n"/>
      <c r="AA464" s="282" t="n"/>
      <c r="AB464" s="536" t="n"/>
      <c r="AC464" s="536" t="n"/>
      <c r="AD464" s="282" t="n"/>
      <c r="AE464" s="282" t="n"/>
      <c r="AF464" s="537" t="n"/>
      <c r="AG464" s="537" t="n"/>
      <c r="AH464" s="282" t="n"/>
      <c r="AI464" s="282" t="n"/>
      <c r="AJ464" s="537" t="n"/>
      <c r="AK464" s="537" t="n"/>
      <c r="AL464" s="282" t="n"/>
      <c r="AM464" s="282" t="n"/>
      <c r="AN464" s="282" t="n"/>
      <c r="AO464" s="282" t="n"/>
      <c r="AP464" s="282" t="n"/>
      <c r="AQ464" s="282" t="n"/>
      <c r="AR464" s="535" t="n"/>
      <c r="AS464" s="535" t="n"/>
      <c r="AT464" s="282" t="n"/>
      <c r="AU464" s="282" t="n"/>
    </row>
    <row customHeight="1" ht="15.75" r="465" s="452" spans="1:48">
      <c r="A465" s="44" t="n"/>
      <c r="D465" s="535" t="n"/>
      <c r="E465" s="535" t="n"/>
      <c r="F465" s="282" t="n"/>
      <c r="G465" s="282" t="n"/>
      <c r="H465" s="536" t="n"/>
      <c r="I465" s="535" t="n"/>
      <c r="J465" s="282" t="n"/>
      <c r="K465" s="282" t="n"/>
      <c r="L465" s="536" t="n"/>
      <c r="M465" s="535" t="n"/>
      <c r="N465" s="282" t="n"/>
      <c r="O465" s="282" t="n"/>
      <c r="P465" s="535" t="n"/>
      <c r="Q465" s="535" t="n"/>
      <c r="R465" s="282" t="n"/>
      <c r="S465" s="282" t="n"/>
      <c r="T465" s="535" t="n"/>
      <c r="U465" s="535" t="n"/>
      <c r="V465" s="282" t="n"/>
      <c r="W465" s="282" t="n"/>
      <c r="X465" s="536" t="n"/>
      <c r="Y465" s="536" t="n"/>
      <c r="Z465" s="282" t="n"/>
      <c r="AA465" s="282" t="n"/>
      <c r="AB465" s="536" t="n"/>
      <c r="AC465" s="536" t="n"/>
      <c r="AD465" s="282" t="n"/>
      <c r="AE465" s="282" t="n"/>
      <c r="AF465" s="537" t="n"/>
      <c r="AG465" s="537" t="n"/>
      <c r="AH465" s="282" t="n"/>
      <c r="AI465" s="282" t="n"/>
      <c r="AJ465" s="537" t="n"/>
      <c r="AK465" s="537" t="n"/>
      <c r="AL465" s="282" t="n"/>
      <c r="AM465" s="282" t="n"/>
      <c r="AN465" s="282" t="n"/>
      <c r="AO465" s="282" t="n"/>
      <c r="AP465" s="282" t="n"/>
      <c r="AQ465" s="282" t="n"/>
      <c r="AR465" s="535" t="n"/>
      <c r="AS465" s="535" t="n"/>
      <c r="AT465" s="282" t="n"/>
      <c r="AU465" s="282" t="n"/>
    </row>
    <row customHeight="1" ht="15.75" r="466" s="452" spans="1:48">
      <c r="A466" s="44" t="n"/>
      <c r="D466" s="535" t="n"/>
      <c r="E466" s="535" t="n"/>
      <c r="F466" s="282" t="n"/>
      <c r="G466" s="282" t="n"/>
      <c r="H466" s="536" t="n"/>
      <c r="I466" s="535" t="n"/>
      <c r="J466" s="282" t="n"/>
      <c r="K466" s="282" t="n"/>
      <c r="L466" s="536" t="n"/>
      <c r="M466" s="535" t="n"/>
      <c r="N466" s="282" t="n"/>
      <c r="O466" s="282" t="n"/>
      <c r="P466" s="535" t="n"/>
      <c r="Q466" s="535" t="n"/>
      <c r="R466" s="282" t="n"/>
      <c r="S466" s="282" t="n"/>
      <c r="T466" s="535" t="n"/>
      <c r="U466" s="535" t="n"/>
      <c r="V466" s="282" t="n"/>
      <c r="W466" s="282" t="n"/>
      <c r="X466" s="536" t="n"/>
      <c r="Y466" s="536" t="n"/>
      <c r="Z466" s="282" t="n"/>
      <c r="AA466" s="282" t="n"/>
      <c r="AB466" s="536" t="n"/>
      <c r="AC466" s="536" t="n"/>
      <c r="AD466" s="282" t="n"/>
      <c r="AE466" s="282" t="n"/>
      <c r="AF466" s="537" t="n"/>
      <c r="AG466" s="537" t="n"/>
      <c r="AH466" s="282" t="n"/>
      <c r="AI466" s="282" t="n"/>
      <c r="AJ466" s="537" t="n"/>
      <c r="AK466" s="537" t="n"/>
      <c r="AL466" s="282" t="n"/>
      <c r="AM466" s="282" t="n"/>
      <c r="AN466" s="282" t="n"/>
      <c r="AO466" s="282" t="n"/>
      <c r="AP466" s="282" t="n"/>
      <c r="AQ466" s="282" t="n"/>
      <c r="AR466" s="535" t="n"/>
      <c r="AS466" s="535" t="n"/>
      <c r="AT466" s="282" t="n"/>
      <c r="AU466" s="282" t="n"/>
    </row>
    <row customHeight="1" ht="15.75" r="467" s="452" spans="1:48">
      <c r="A467" s="44" t="n"/>
      <c r="D467" s="535" t="n"/>
      <c r="E467" s="535" t="n"/>
      <c r="F467" s="282" t="n"/>
      <c r="G467" s="282" t="n"/>
      <c r="H467" s="536" t="n"/>
      <c r="I467" s="535" t="n"/>
      <c r="J467" s="282" t="n"/>
      <c r="K467" s="282" t="n"/>
      <c r="L467" s="536" t="n"/>
      <c r="M467" s="535" t="n"/>
      <c r="N467" s="282" t="n"/>
      <c r="O467" s="282" t="n"/>
      <c r="P467" s="535" t="n"/>
      <c r="Q467" s="535" t="n"/>
      <c r="R467" s="282" t="n"/>
      <c r="S467" s="282" t="n"/>
      <c r="T467" s="535" t="n"/>
      <c r="U467" s="535" t="n"/>
      <c r="V467" s="282" t="n"/>
      <c r="W467" s="282" t="n"/>
      <c r="X467" s="536" t="n"/>
      <c r="Y467" s="536" t="n"/>
      <c r="Z467" s="282" t="n"/>
      <c r="AA467" s="282" t="n"/>
      <c r="AB467" s="536" t="n"/>
      <c r="AC467" s="536" t="n"/>
      <c r="AD467" s="282" t="n"/>
      <c r="AE467" s="282" t="n"/>
      <c r="AF467" s="537" t="n"/>
      <c r="AG467" s="537" t="n"/>
      <c r="AH467" s="282" t="n"/>
      <c r="AI467" s="282" t="n"/>
      <c r="AJ467" s="537" t="n"/>
      <c r="AK467" s="537" t="n"/>
      <c r="AL467" s="282" t="n"/>
      <c r="AM467" s="282" t="n"/>
      <c r="AN467" s="282" t="n"/>
      <c r="AO467" s="282" t="n"/>
      <c r="AP467" s="282" t="n"/>
      <c r="AQ467" s="282" t="n"/>
      <c r="AR467" s="535" t="n"/>
      <c r="AS467" s="535" t="n"/>
      <c r="AT467" s="282" t="n"/>
      <c r="AU467" s="282" t="n"/>
    </row>
    <row customHeight="1" ht="15.75" r="468" s="452" spans="1:48">
      <c r="A468" s="44" t="n"/>
      <c r="D468" s="535" t="n"/>
      <c r="E468" s="535" t="n"/>
      <c r="F468" s="282" t="n"/>
      <c r="G468" s="282" t="n"/>
      <c r="H468" s="536" t="n"/>
      <c r="I468" s="535" t="n"/>
      <c r="J468" s="282" t="n"/>
      <c r="K468" s="282" t="n"/>
      <c r="L468" s="536" t="n"/>
      <c r="M468" s="535" t="n"/>
      <c r="N468" s="282" t="n"/>
      <c r="O468" s="282" t="n"/>
      <c r="P468" s="535" t="n"/>
      <c r="Q468" s="535" t="n"/>
      <c r="R468" s="282" t="n"/>
      <c r="S468" s="282" t="n"/>
      <c r="T468" s="535" t="n"/>
      <c r="U468" s="535" t="n"/>
      <c r="V468" s="282" t="n"/>
      <c r="W468" s="282" t="n"/>
      <c r="X468" s="536" t="n"/>
      <c r="Y468" s="536" t="n"/>
      <c r="Z468" s="282" t="n"/>
      <c r="AA468" s="282" t="n"/>
      <c r="AB468" s="536" t="n"/>
      <c r="AC468" s="536" t="n"/>
      <c r="AD468" s="282" t="n"/>
      <c r="AE468" s="282" t="n"/>
      <c r="AF468" s="537" t="n"/>
      <c r="AG468" s="537" t="n"/>
      <c r="AH468" s="282" t="n"/>
      <c r="AI468" s="282" t="n"/>
      <c r="AJ468" s="537" t="n"/>
      <c r="AK468" s="537" t="n"/>
      <c r="AL468" s="282" t="n"/>
      <c r="AM468" s="282" t="n"/>
      <c r="AN468" s="282" t="n"/>
      <c r="AO468" s="282" t="n"/>
      <c r="AP468" s="282" t="n"/>
      <c r="AQ468" s="282" t="n"/>
      <c r="AR468" s="535" t="n"/>
      <c r="AS468" s="535" t="n"/>
      <c r="AT468" s="282" t="n"/>
      <c r="AU468" s="282" t="n"/>
    </row>
    <row customHeight="1" ht="15.75" r="469" s="452" spans="1:48">
      <c r="A469" s="44" t="n"/>
      <c r="D469" s="535" t="n"/>
      <c r="E469" s="535" t="n"/>
      <c r="F469" s="282" t="n"/>
      <c r="G469" s="282" t="n"/>
      <c r="H469" s="536" t="n"/>
      <c r="I469" s="535" t="n"/>
      <c r="J469" s="282" t="n"/>
      <c r="K469" s="282" t="n"/>
      <c r="L469" s="536" t="n"/>
      <c r="M469" s="535" t="n"/>
      <c r="N469" s="282" t="n"/>
      <c r="O469" s="282" t="n"/>
      <c r="P469" s="535" t="n"/>
      <c r="Q469" s="535" t="n"/>
      <c r="R469" s="282" t="n"/>
      <c r="S469" s="282" t="n"/>
      <c r="T469" s="535" t="n"/>
      <c r="U469" s="535" t="n"/>
      <c r="V469" s="282" t="n"/>
      <c r="W469" s="282" t="n"/>
      <c r="X469" s="536" t="n"/>
      <c r="Y469" s="536" t="n"/>
      <c r="Z469" s="282" t="n"/>
      <c r="AA469" s="282" t="n"/>
      <c r="AB469" s="536" t="n"/>
      <c r="AC469" s="536" t="n"/>
      <c r="AD469" s="282" t="n"/>
      <c r="AE469" s="282" t="n"/>
      <c r="AF469" s="537" t="n"/>
      <c r="AG469" s="537" t="n"/>
      <c r="AH469" s="282" t="n"/>
      <c r="AI469" s="282" t="n"/>
      <c r="AJ469" s="537" t="n"/>
      <c r="AK469" s="537" t="n"/>
      <c r="AL469" s="282" t="n"/>
      <c r="AM469" s="282" t="n"/>
      <c r="AN469" s="282" t="n"/>
      <c r="AO469" s="282" t="n"/>
      <c r="AP469" s="282" t="n"/>
      <c r="AQ469" s="282" t="n"/>
      <c r="AR469" s="535" t="n"/>
      <c r="AS469" s="535" t="n"/>
      <c r="AT469" s="282" t="n"/>
      <c r="AU469" s="282" t="n"/>
    </row>
    <row customHeight="1" ht="15.75" r="470" s="452" spans="1:48">
      <c r="A470" s="44" t="n"/>
      <c r="D470" s="535" t="n"/>
      <c r="E470" s="535" t="n"/>
      <c r="F470" s="282" t="n"/>
      <c r="G470" s="282" t="n"/>
      <c r="H470" s="536" t="n"/>
      <c r="I470" s="535" t="n"/>
      <c r="J470" s="282" t="n"/>
      <c r="K470" s="282" t="n"/>
      <c r="L470" s="536" t="n"/>
      <c r="M470" s="535" t="n"/>
      <c r="N470" s="282" t="n"/>
      <c r="O470" s="282" t="n"/>
      <c r="P470" s="535" t="n"/>
      <c r="Q470" s="535" t="n"/>
      <c r="R470" s="282" t="n"/>
      <c r="S470" s="282" t="n"/>
      <c r="T470" s="535" t="n"/>
      <c r="U470" s="535" t="n"/>
      <c r="V470" s="282" t="n"/>
      <c r="W470" s="282" t="n"/>
      <c r="X470" s="536" t="n"/>
      <c r="Y470" s="536" t="n"/>
      <c r="Z470" s="282" t="n"/>
      <c r="AA470" s="282" t="n"/>
      <c r="AB470" s="536" t="n"/>
      <c r="AC470" s="536" t="n"/>
      <c r="AD470" s="282" t="n"/>
      <c r="AE470" s="282" t="n"/>
      <c r="AF470" s="537" t="n"/>
      <c r="AG470" s="537" t="n"/>
      <c r="AH470" s="282" t="n"/>
      <c r="AI470" s="282" t="n"/>
      <c r="AJ470" s="537" t="n"/>
      <c r="AK470" s="537" t="n"/>
      <c r="AL470" s="282" t="n"/>
      <c r="AM470" s="282" t="n"/>
      <c r="AN470" s="282" t="n"/>
      <c r="AO470" s="282" t="n"/>
      <c r="AP470" s="282" t="n"/>
      <c r="AQ470" s="282" t="n"/>
      <c r="AR470" s="535" t="n"/>
      <c r="AS470" s="535" t="n"/>
      <c r="AT470" s="282" t="n"/>
      <c r="AU470" s="282" t="n"/>
    </row>
    <row customHeight="1" ht="15.75" r="471" s="452" spans="1:48">
      <c r="A471" s="44" t="n"/>
      <c r="D471" s="535" t="n"/>
      <c r="E471" s="535" t="n"/>
      <c r="F471" s="282" t="n"/>
      <c r="G471" s="282" t="n"/>
      <c r="H471" s="536" t="n"/>
      <c r="I471" s="535" t="n"/>
      <c r="J471" s="282" t="n"/>
      <c r="K471" s="282" t="n"/>
      <c r="L471" s="536" t="n"/>
      <c r="M471" s="535" t="n"/>
      <c r="N471" s="282" t="n"/>
      <c r="O471" s="282" t="n"/>
      <c r="P471" s="535" t="n"/>
      <c r="Q471" s="535" t="n"/>
      <c r="R471" s="282" t="n"/>
      <c r="S471" s="282" t="n"/>
      <c r="T471" s="535" t="n"/>
      <c r="U471" s="535" t="n"/>
      <c r="V471" s="282" t="n"/>
      <c r="W471" s="282" t="n"/>
      <c r="X471" s="536" t="n"/>
      <c r="Y471" s="536" t="n"/>
      <c r="Z471" s="282" t="n"/>
      <c r="AA471" s="282" t="n"/>
      <c r="AB471" s="536" t="n"/>
      <c r="AC471" s="536" t="n"/>
      <c r="AD471" s="282" t="n"/>
      <c r="AE471" s="282" t="n"/>
      <c r="AF471" s="537" t="n"/>
      <c r="AG471" s="537" t="n"/>
      <c r="AH471" s="282" t="n"/>
      <c r="AI471" s="282" t="n"/>
      <c r="AJ471" s="537" t="n"/>
      <c r="AK471" s="537" t="n"/>
      <c r="AL471" s="282" t="n"/>
      <c r="AM471" s="282" t="n"/>
      <c r="AN471" s="282" t="n"/>
      <c r="AO471" s="282" t="n"/>
      <c r="AP471" s="282" t="n"/>
      <c r="AQ471" s="282" t="n"/>
      <c r="AR471" s="535" t="n"/>
      <c r="AS471" s="535" t="n"/>
      <c r="AT471" s="282" t="n"/>
      <c r="AU471" s="282" t="n"/>
    </row>
    <row customHeight="1" ht="15.75" r="472" s="452" spans="1:48">
      <c r="A472" s="44" t="n"/>
      <c r="D472" s="535" t="n"/>
      <c r="E472" s="535" t="n"/>
      <c r="F472" s="282" t="n"/>
      <c r="G472" s="282" t="n"/>
      <c r="H472" s="536" t="n"/>
      <c r="I472" s="535" t="n"/>
      <c r="J472" s="282" t="n"/>
      <c r="K472" s="282" t="n"/>
      <c r="L472" s="536" t="n"/>
      <c r="M472" s="535" t="n"/>
      <c r="N472" s="282" t="n"/>
      <c r="O472" s="282" t="n"/>
      <c r="P472" s="535" t="n"/>
      <c r="Q472" s="535" t="n"/>
      <c r="R472" s="282" t="n"/>
      <c r="S472" s="282" t="n"/>
      <c r="T472" s="535" t="n"/>
      <c r="U472" s="535" t="n"/>
      <c r="V472" s="282" t="n"/>
      <c r="W472" s="282" t="n"/>
      <c r="X472" s="536" t="n"/>
      <c r="Y472" s="536" t="n"/>
      <c r="Z472" s="282" t="n"/>
      <c r="AA472" s="282" t="n"/>
      <c r="AB472" s="536" t="n"/>
      <c r="AC472" s="536" t="n"/>
      <c r="AD472" s="282" t="n"/>
      <c r="AE472" s="282" t="n"/>
      <c r="AF472" s="537" t="n"/>
      <c r="AG472" s="537" t="n"/>
      <c r="AH472" s="282" t="n"/>
      <c r="AI472" s="282" t="n"/>
      <c r="AJ472" s="537" t="n"/>
      <c r="AK472" s="537" t="n"/>
      <c r="AL472" s="282" t="n"/>
      <c r="AM472" s="282" t="n"/>
      <c r="AN472" s="282" t="n"/>
      <c r="AO472" s="282" t="n"/>
      <c r="AP472" s="282" t="n"/>
      <c r="AQ472" s="282" t="n"/>
      <c r="AR472" s="535" t="n"/>
      <c r="AS472" s="535" t="n"/>
      <c r="AT472" s="282" t="n"/>
      <c r="AU472" s="282" t="n"/>
    </row>
    <row customHeight="1" ht="15.75" r="473" s="452" spans="1:48">
      <c r="A473" s="44" t="n"/>
      <c r="D473" s="535" t="n"/>
      <c r="E473" s="535" t="n"/>
      <c r="F473" s="282" t="n"/>
      <c r="G473" s="282" t="n"/>
      <c r="H473" s="536" t="n"/>
      <c r="I473" s="535" t="n"/>
      <c r="J473" s="282" t="n"/>
      <c r="K473" s="282" t="n"/>
      <c r="L473" s="536" t="n"/>
      <c r="M473" s="535" t="n"/>
      <c r="N473" s="282" t="n"/>
      <c r="O473" s="282" t="n"/>
      <c r="P473" s="535" t="n"/>
      <c r="Q473" s="535" t="n"/>
      <c r="R473" s="282" t="n"/>
      <c r="S473" s="282" t="n"/>
      <c r="T473" s="535" t="n"/>
      <c r="U473" s="535" t="n"/>
      <c r="V473" s="282" t="n"/>
      <c r="W473" s="282" t="n"/>
      <c r="X473" s="536" t="n"/>
      <c r="Y473" s="536" t="n"/>
      <c r="Z473" s="282" t="n"/>
      <c r="AA473" s="282" t="n"/>
      <c r="AB473" s="536" t="n"/>
      <c r="AC473" s="536" t="n"/>
      <c r="AD473" s="282" t="n"/>
      <c r="AE473" s="282" t="n"/>
      <c r="AF473" s="537" t="n"/>
      <c r="AG473" s="537" t="n"/>
      <c r="AH473" s="282" t="n"/>
      <c r="AI473" s="282" t="n"/>
      <c r="AJ473" s="537" t="n"/>
      <c r="AK473" s="537" t="n"/>
      <c r="AL473" s="282" t="n"/>
      <c r="AM473" s="282" t="n"/>
      <c r="AN473" s="282" t="n"/>
      <c r="AO473" s="282" t="n"/>
      <c r="AP473" s="282" t="n"/>
      <c r="AQ473" s="282" t="n"/>
      <c r="AR473" s="535" t="n"/>
      <c r="AS473" s="535" t="n"/>
      <c r="AT473" s="282" t="n"/>
      <c r="AU473" s="282" t="n"/>
    </row>
    <row customHeight="1" ht="15.75" r="474" s="452" spans="1:48">
      <c r="A474" s="44" t="n"/>
      <c r="D474" s="535" t="n"/>
      <c r="E474" s="535" t="n"/>
      <c r="F474" s="282" t="n"/>
      <c r="G474" s="282" t="n"/>
      <c r="H474" s="536" t="n"/>
      <c r="I474" s="535" t="n"/>
      <c r="J474" s="282" t="n"/>
      <c r="K474" s="282" t="n"/>
      <c r="L474" s="536" t="n"/>
      <c r="M474" s="535" t="n"/>
      <c r="N474" s="282" t="n"/>
      <c r="O474" s="282" t="n"/>
      <c r="P474" s="535" t="n"/>
      <c r="Q474" s="535" t="n"/>
      <c r="R474" s="282" t="n"/>
      <c r="S474" s="282" t="n"/>
      <c r="T474" s="535" t="n"/>
      <c r="U474" s="535" t="n"/>
      <c r="V474" s="282" t="n"/>
      <c r="W474" s="282" t="n"/>
      <c r="X474" s="536" t="n"/>
      <c r="Y474" s="536" t="n"/>
      <c r="Z474" s="282" t="n"/>
      <c r="AA474" s="282" t="n"/>
      <c r="AB474" s="536" t="n"/>
      <c r="AC474" s="536" t="n"/>
      <c r="AD474" s="282" t="n"/>
      <c r="AE474" s="282" t="n"/>
      <c r="AF474" s="537" t="n"/>
      <c r="AG474" s="537" t="n"/>
      <c r="AH474" s="282" t="n"/>
      <c r="AI474" s="282" t="n"/>
      <c r="AJ474" s="537" t="n"/>
      <c r="AK474" s="537" t="n"/>
      <c r="AL474" s="282" t="n"/>
      <c r="AM474" s="282" t="n"/>
      <c r="AN474" s="282" t="n"/>
      <c r="AO474" s="282" t="n"/>
      <c r="AP474" s="282" t="n"/>
      <c r="AQ474" s="282" t="n"/>
      <c r="AR474" s="535" t="n"/>
      <c r="AS474" s="535" t="n"/>
      <c r="AT474" s="282" t="n"/>
      <c r="AU474" s="282" t="n"/>
    </row>
    <row customHeight="1" ht="15.75" r="475" s="452" spans="1:48">
      <c r="A475" s="44" t="n"/>
      <c r="D475" s="535" t="n"/>
      <c r="E475" s="535" t="n"/>
      <c r="F475" s="282" t="n"/>
      <c r="G475" s="282" t="n"/>
      <c r="H475" s="536" t="n"/>
      <c r="I475" s="535" t="n"/>
      <c r="J475" s="282" t="n"/>
      <c r="K475" s="282" t="n"/>
      <c r="L475" s="536" t="n"/>
      <c r="M475" s="535" t="n"/>
      <c r="N475" s="282" t="n"/>
      <c r="O475" s="282" t="n"/>
      <c r="P475" s="535" t="n"/>
      <c r="Q475" s="535" t="n"/>
      <c r="R475" s="282" t="n"/>
      <c r="S475" s="282" t="n"/>
      <c r="T475" s="535" t="n"/>
      <c r="U475" s="535" t="n"/>
      <c r="V475" s="282" t="n"/>
      <c r="W475" s="282" t="n"/>
      <c r="X475" s="536" t="n"/>
      <c r="Y475" s="536" t="n"/>
      <c r="Z475" s="282" t="n"/>
      <c r="AA475" s="282" t="n"/>
      <c r="AB475" s="536" t="n"/>
      <c r="AC475" s="536" t="n"/>
      <c r="AD475" s="282" t="n"/>
      <c r="AE475" s="282" t="n"/>
      <c r="AF475" s="537" t="n"/>
      <c r="AG475" s="537" t="n"/>
      <c r="AH475" s="282" t="n"/>
      <c r="AI475" s="282" t="n"/>
      <c r="AJ475" s="537" t="n"/>
      <c r="AK475" s="537" t="n"/>
      <c r="AL475" s="282" t="n"/>
      <c r="AM475" s="282" t="n"/>
      <c r="AN475" s="282" t="n"/>
      <c r="AO475" s="282" t="n"/>
      <c r="AP475" s="282" t="n"/>
      <c r="AQ475" s="282" t="n"/>
      <c r="AR475" s="535" t="n"/>
      <c r="AS475" s="535" t="n"/>
      <c r="AT475" s="282" t="n"/>
      <c r="AU475" s="282" t="n"/>
    </row>
    <row customHeight="1" ht="15.75" r="476" s="452" spans="1:48">
      <c r="A476" s="44" t="n"/>
      <c r="D476" s="535" t="n"/>
      <c r="E476" s="535" t="n"/>
      <c r="F476" s="282" t="n"/>
      <c r="G476" s="282" t="n"/>
      <c r="H476" s="536" t="n"/>
      <c r="I476" s="535" t="n"/>
      <c r="J476" s="282" t="n"/>
      <c r="K476" s="282" t="n"/>
      <c r="L476" s="536" t="n"/>
      <c r="M476" s="535" t="n"/>
      <c r="N476" s="282" t="n"/>
      <c r="O476" s="282" t="n"/>
      <c r="P476" s="535" t="n"/>
      <c r="Q476" s="535" t="n"/>
      <c r="R476" s="282" t="n"/>
      <c r="S476" s="282" t="n"/>
      <c r="T476" s="535" t="n"/>
      <c r="U476" s="535" t="n"/>
      <c r="V476" s="282" t="n"/>
      <c r="W476" s="282" t="n"/>
      <c r="X476" s="536" t="n"/>
      <c r="Y476" s="536" t="n"/>
      <c r="Z476" s="282" t="n"/>
      <c r="AA476" s="282" t="n"/>
      <c r="AB476" s="536" t="n"/>
      <c r="AC476" s="536" t="n"/>
      <c r="AD476" s="282" t="n"/>
      <c r="AE476" s="282" t="n"/>
      <c r="AF476" s="537" t="n"/>
      <c r="AG476" s="537" t="n"/>
      <c r="AH476" s="282" t="n"/>
      <c r="AI476" s="282" t="n"/>
      <c r="AJ476" s="537" t="n"/>
      <c r="AK476" s="537" t="n"/>
      <c r="AL476" s="282" t="n"/>
      <c r="AM476" s="282" t="n"/>
      <c r="AN476" s="282" t="n"/>
      <c r="AO476" s="282" t="n"/>
      <c r="AP476" s="282" t="n"/>
      <c r="AQ476" s="282" t="n"/>
      <c r="AR476" s="535" t="n"/>
      <c r="AS476" s="535" t="n"/>
      <c r="AT476" s="282" t="n"/>
      <c r="AU476" s="282" t="n"/>
    </row>
    <row customHeight="1" ht="15.75" r="477" s="452" spans="1:48">
      <c r="A477" s="44" t="n"/>
      <c r="D477" s="535" t="n"/>
      <c r="E477" s="535" t="n"/>
      <c r="F477" s="282" t="n"/>
      <c r="G477" s="282" t="n"/>
      <c r="H477" s="536" t="n"/>
      <c r="I477" s="535" t="n"/>
      <c r="J477" s="282" t="n"/>
      <c r="K477" s="282" t="n"/>
      <c r="L477" s="536" t="n"/>
      <c r="M477" s="535" t="n"/>
      <c r="N477" s="282" t="n"/>
      <c r="O477" s="282" t="n"/>
      <c r="P477" s="535" t="n"/>
      <c r="Q477" s="535" t="n"/>
      <c r="R477" s="282" t="n"/>
      <c r="S477" s="282" t="n"/>
      <c r="T477" s="535" t="n"/>
      <c r="U477" s="535" t="n"/>
      <c r="V477" s="282" t="n"/>
      <c r="W477" s="282" t="n"/>
      <c r="X477" s="536" t="n"/>
      <c r="Y477" s="536" t="n"/>
      <c r="Z477" s="282" t="n"/>
      <c r="AA477" s="282" t="n"/>
      <c r="AB477" s="536" t="n"/>
      <c r="AC477" s="536" t="n"/>
      <c r="AD477" s="282" t="n"/>
      <c r="AE477" s="282" t="n"/>
      <c r="AF477" s="537" t="n"/>
      <c r="AG477" s="537" t="n"/>
      <c r="AH477" s="282" t="n"/>
      <c r="AI477" s="282" t="n"/>
      <c r="AJ477" s="537" t="n"/>
      <c r="AK477" s="537" t="n"/>
      <c r="AL477" s="282" t="n"/>
      <c r="AM477" s="282" t="n"/>
      <c r="AN477" s="282" t="n"/>
      <c r="AO477" s="282" t="n"/>
      <c r="AP477" s="282" t="n"/>
      <c r="AQ477" s="282" t="n"/>
      <c r="AR477" s="535" t="n"/>
      <c r="AS477" s="535" t="n"/>
      <c r="AT477" s="282" t="n"/>
      <c r="AU477" s="282" t="n"/>
    </row>
    <row customHeight="1" ht="15.75" r="478" s="452" spans="1:48">
      <c r="A478" s="44" t="n"/>
      <c r="D478" s="535" t="n"/>
      <c r="E478" s="535" t="n"/>
      <c r="F478" s="282" t="n"/>
      <c r="G478" s="282" t="n"/>
      <c r="H478" s="536" t="n"/>
      <c r="I478" s="535" t="n"/>
      <c r="J478" s="282" t="n"/>
      <c r="K478" s="282" t="n"/>
      <c r="L478" s="536" t="n"/>
      <c r="M478" s="535" t="n"/>
      <c r="N478" s="282" t="n"/>
      <c r="O478" s="282" t="n"/>
      <c r="P478" s="535" t="n"/>
      <c r="Q478" s="535" t="n"/>
      <c r="R478" s="282" t="n"/>
      <c r="S478" s="282" t="n"/>
      <c r="T478" s="535" t="n"/>
      <c r="U478" s="535" t="n"/>
      <c r="V478" s="282" t="n"/>
      <c r="W478" s="282" t="n"/>
      <c r="X478" s="536" t="n"/>
      <c r="Y478" s="536" t="n"/>
      <c r="Z478" s="282" t="n"/>
      <c r="AA478" s="282" t="n"/>
      <c r="AB478" s="536" t="n"/>
      <c r="AC478" s="536" t="n"/>
      <c r="AD478" s="282" t="n"/>
      <c r="AE478" s="282" t="n"/>
      <c r="AF478" s="537" t="n"/>
      <c r="AG478" s="537" t="n"/>
      <c r="AH478" s="282" t="n"/>
      <c r="AI478" s="282" t="n"/>
      <c r="AJ478" s="537" t="n"/>
      <c r="AK478" s="537" t="n"/>
      <c r="AL478" s="282" t="n"/>
      <c r="AM478" s="282" t="n"/>
      <c r="AN478" s="282" t="n"/>
      <c r="AO478" s="282" t="n"/>
      <c r="AP478" s="282" t="n"/>
      <c r="AQ478" s="282" t="n"/>
      <c r="AR478" s="535" t="n"/>
      <c r="AS478" s="535" t="n"/>
      <c r="AT478" s="282" t="n"/>
      <c r="AU478" s="282" t="n"/>
    </row>
    <row customHeight="1" ht="15.75" r="479" s="452" spans="1:48">
      <c r="A479" s="44" t="n"/>
      <c r="D479" s="535" t="n"/>
      <c r="E479" s="535" t="n"/>
      <c r="F479" s="282" t="n"/>
      <c r="G479" s="282" t="n"/>
      <c r="H479" s="536" t="n"/>
      <c r="I479" s="535" t="n"/>
      <c r="J479" s="282" t="n"/>
      <c r="K479" s="282" t="n"/>
      <c r="L479" s="536" t="n"/>
      <c r="M479" s="535" t="n"/>
      <c r="N479" s="282" t="n"/>
      <c r="O479" s="282" t="n"/>
      <c r="P479" s="535" t="n"/>
      <c r="Q479" s="535" t="n"/>
      <c r="R479" s="282" t="n"/>
      <c r="S479" s="282" t="n"/>
      <c r="T479" s="535" t="n"/>
      <c r="U479" s="535" t="n"/>
      <c r="V479" s="282" t="n"/>
      <c r="W479" s="282" t="n"/>
      <c r="X479" s="536" t="n"/>
      <c r="Y479" s="536" t="n"/>
      <c r="Z479" s="282" t="n"/>
      <c r="AA479" s="282" t="n"/>
      <c r="AB479" s="536" t="n"/>
      <c r="AC479" s="536" t="n"/>
      <c r="AD479" s="282" t="n"/>
      <c r="AE479" s="282" t="n"/>
      <c r="AF479" s="537" t="n"/>
      <c r="AG479" s="537" t="n"/>
      <c r="AH479" s="282" t="n"/>
      <c r="AI479" s="282" t="n"/>
      <c r="AJ479" s="537" t="n"/>
      <c r="AK479" s="537" t="n"/>
      <c r="AL479" s="282" t="n"/>
      <c r="AM479" s="282" t="n"/>
      <c r="AN479" s="282" t="n"/>
      <c r="AO479" s="282" t="n"/>
      <c r="AP479" s="282" t="n"/>
      <c r="AQ479" s="282" t="n"/>
      <c r="AR479" s="535" t="n"/>
      <c r="AS479" s="535" t="n"/>
      <c r="AT479" s="282" t="n"/>
      <c r="AU479" s="282" t="n"/>
    </row>
    <row customHeight="1" ht="15.75" r="480" s="452" spans="1:48">
      <c r="A480" s="44" t="n"/>
      <c r="D480" s="535" t="n"/>
      <c r="E480" s="535" t="n"/>
      <c r="F480" s="282" t="n"/>
      <c r="G480" s="282" t="n"/>
      <c r="H480" s="536" t="n"/>
      <c r="I480" s="535" t="n"/>
      <c r="J480" s="282" t="n"/>
      <c r="K480" s="282" t="n"/>
      <c r="L480" s="536" t="n"/>
      <c r="M480" s="535" t="n"/>
      <c r="N480" s="282" t="n"/>
      <c r="O480" s="282" t="n"/>
      <c r="P480" s="535" t="n"/>
      <c r="Q480" s="535" t="n"/>
      <c r="R480" s="282" t="n"/>
      <c r="S480" s="282" t="n"/>
      <c r="T480" s="535" t="n"/>
      <c r="U480" s="535" t="n"/>
      <c r="V480" s="282" t="n"/>
      <c r="W480" s="282" t="n"/>
      <c r="X480" s="536" t="n"/>
      <c r="Y480" s="536" t="n"/>
      <c r="Z480" s="282" t="n"/>
      <c r="AA480" s="282" t="n"/>
      <c r="AB480" s="536" t="n"/>
      <c r="AC480" s="536" t="n"/>
      <c r="AD480" s="282" t="n"/>
      <c r="AE480" s="282" t="n"/>
      <c r="AF480" s="537" t="n"/>
      <c r="AG480" s="537" t="n"/>
      <c r="AH480" s="282" t="n"/>
      <c r="AI480" s="282" t="n"/>
      <c r="AJ480" s="537" t="n"/>
      <c r="AK480" s="537" t="n"/>
      <c r="AL480" s="282" t="n"/>
      <c r="AM480" s="282" t="n"/>
      <c r="AN480" s="282" t="n"/>
      <c r="AO480" s="282" t="n"/>
      <c r="AP480" s="282" t="n"/>
      <c r="AQ480" s="282" t="n"/>
      <c r="AR480" s="535" t="n"/>
      <c r="AS480" s="535" t="n"/>
      <c r="AT480" s="282" t="n"/>
      <c r="AU480" s="282" t="n"/>
    </row>
    <row customHeight="1" ht="15.75" r="481" s="452" spans="1:48">
      <c r="A481" s="44" t="n"/>
      <c r="D481" s="535" t="n"/>
      <c r="E481" s="535" t="n"/>
      <c r="F481" s="282" t="n"/>
      <c r="G481" s="282" t="n"/>
      <c r="H481" s="536" t="n"/>
      <c r="I481" s="535" t="n"/>
      <c r="J481" s="282" t="n"/>
      <c r="K481" s="282" t="n"/>
      <c r="L481" s="536" t="n"/>
      <c r="M481" s="535" t="n"/>
      <c r="N481" s="282" t="n"/>
      <c r="O481" s="282" t="n"/>
      <c r="P481" s="535" t="n"/>
      <c r="Q481" s="535" t="n"/>
      <c r="R481" s="282" t="n"/>
      <c r="S481" s="282" t="n"/>
      <c r="T481" s="535" t="n"/>
      <c r="U481" s="535" t="n"/>
      <c r="V481" s="282" t="n"/>
      <c r="W481" s="282" t="n"/>
      <c r="X481" s="536" t="n"/>
      <c r="Y481" s="536" t="n"/>
      <c r="Z481" s="282" t="n"/>
      <c r="AA481" s="282" t="n"/>
      <c r="AB481" s="536" t="n"/>
      <c r="AC481" s="536" t="n"/>
      <c r="AD481" s="282" t="n"/>
      <c r="AE481" s="282" t="n"/>
      <c r="AF481" s="537" t="n"/>
      <c r="AG481" s="537" t="n"/>
      <c r="AH481" s="282" t="n"/>
      <c r="AI481" s="282" t="n"/>
      <c r="AJ481" s="537" t="n"/>
      <c r="AK481" s="537" t="n"/>
      <c r="AL481" s="282" t="n"/>
      <c r="AM481" s="282" t="n"/>
      <c r="AN481" s="282" t="n"/>
      <c r="AO481" s="282" t="n"/>
      <c r="AP481" s="282" t="n"/>
      <c r="AQ481" s="282" t="n"/>
      <c r="AR481" s="535" t="n"/>
      <c r="AS481" s="535" t="n"/>
      <c r="AT481" s="282" t="n"/>
      <c r="AU481" s="282" t="n"/>
    </row>
    <row customHeight="1" ht="15.75" r="482" s="452" spans="1:48">
      <c r="A482" s="44" t="n"/>
      <c r="D482" s="535" t="n"/>
      <c r="E482" s="535" t="n"/>
      <c r="F482" s="282" t="n"/>
      <c r="G482" s="282" t="n"/>
      <c r="H482" s="536" t="n"/>
      <c r="I482" s="535" t="n"/>
      <c r="J482" s="282" t="n"/>
      <c r="K482" s="282" t="n"/>
      <c r="L482" s="536" t="n"/>
      <c r="M482" s="535" t="n"/>
      <c r="N482" s="282" t="n"/>
      <c r="O482" s="282" t="n"/>
      <c r="P482" s="535" t="n"/>
      <c r="Q482" s="535" t="n"/>
      <c r="R482" s="282" t="n"/>
      <c r="S482" s="282" t="n"/>
      <c r="T482" s="535" t="n"/>
      <c r="U482" s="535" t="n"/>
      <c r="V482" s="282" t="n"/>
      <c r="W482" s="282" t="n"/>
      <c r="X482" s="536" t="n"/>
      <c r="Y482" s="536" t="n"/>
      <c r="Z482" s="282" t="n"/>
      <c r="AA482" s="282" t="n"/>
      <c r="AB482" s="536" t="n"/>
      <c r="AC482" s="536" t="n"/>
      <c r="AD482" s="282" t="n"/>
      <c r="AE482" s="282" t="n"/>
      <c r="AF482" s="537" t="n"/>
      <c r="AG482" s="537" t="n"/>
      <c r="AH482" s="282" t="n"/>
      <c r="AI482" s="282" t="n"/>
      <c r="AJ482" s="537" t="n"/>
      <c r="AK482" s="537" t="n"/>
      <c r="AL482" s="282" t="n"/>
      <c r="AM482" s="282" t="n"/>
      <c r="AN482" s="282" t="n"/>
      <c r="AO482" s="282" t="n"/>
      <c r="AP482" s="282" t="n"/>
      <c r="AQ482" s="282" t="n"/>
      <c r="AR482" s="535" t="n"/>
      <c r="AS482" s="535" t="n"/>
      <c r="AT482" s="282" t="n"/>
      <c r="AU482" s="282" t="n"/>
    </row>
    <row customHeight="1" ht="15.75" r="483" s="452" spans="1:48">
      <c r="A483" s="44" t="n"/>
      <c r="D483" s="535" t="n"/>
      <c r="E483" s="535" t="n"/>
      <c r="F483" s="282" t="n"/>
      <c r="G483" s="282" t="n"/>
      <c r="H483" s="536" t="n"/>
      <c r="I483" s="535" t="n"/>
      <c r="J483" s="282" t="n"/>
      <c r="K483" s="282" t="n"/>
      <c r="L483" s="536" t="n"/>
      <c r="M483" s="535" t="n"/>
      <c r="N483" s="282" t="n"/>
      <c r="O483" s="282" t="n"/>
      <c r="P483" s="535" t="n"/>
      <c r="Q483" s="535" t="n"/>
      <c r="R483" s="282" t="n"/>
      <c r="S483" s="282" t="n"/>
      <c r="T483" s="535" t="n"/>
      <c r="U483" s="535" t="n"/>
      <c r="V483" s="282" t="n"/>
      <c r="W483" s="282" t="n"/>
      <c r="X483" s="536" t="n"/>
      <c r="Y483" s="536" t="n"/>
      <c r="Z483" s="282" t="n"/>
      <c r="AA483" s="282" t="n"/>
      <c r="AB483" s="536" t="n"/>
      <c r="AC483" s="536" t="n"/>
      <c r="AD483" s="282" t="n"/>
      <c r="AE483" s="282" t="n"/>
      <c r="AF483" s="537" t="n"/>
      <c r="AG483" s="537" t="n"/>
      <c r="AH483" s="282" t="n"/>
      <c r="AI483" s="282" t="n"/>
      <c r="AJ483" s="537" t="n"/>
      <c r="AK483" s="537" t="n"/>
      <c r="AL483" s="282" t="n"/>
      <c r="AM483" s="282" t="n"/>
      <c r="AN483" s="282" t="n"/>
      <c r="AO483" s="282" t="n"/>
      <c r="AP483" s="282" t="n"/>
      <c r="AQ483" s="282" t="n"/>
      <c r="AR483" s="535" t="n"/>
      <c r="AS483" s="535" t="n"/>
      <c r="AT483" s="282" t="n"/>
      <c r="AU483" s="282" t="n"/>
    </row>
    <row customHeight="1" ht="15.75" r="484" s="452" spans="1:48">
      <c r="A484" s="44" t="n"/>
      <c r="D484" s="535" t="n"/>
      <c r="E484" s="535" t="n"/>
      <c r="F484" s="282" t="n"/>
      <c r="G484" s="282" t="n"/>
      <c r="H484" s="536" t="n"/>
      <c r="I484" s="535" t="n"/>
      <c r="J484" s="282" t="n"/>
      <c r="K484" s="282" t="n"/>
      <c r="L484" s="536" t="n"/>
      <c r="M484" s="535" t="n"/>
      <c r="N484" s="282" t="n"/>
      <c r="O484" s="282" t="n"/>
      <c r="P484" s="535" t="n"/>
      <c r="Q484" s="535" t="n"/>
      <c r="R484" s="282" t="n"/>
      <c r="S484" s="282" t="n"/>
      <c r="T484" s="535" t="n"/>
      <c r="U484" s="535" t="n"/>
      <c r="V484" s="282" t="n"/>
      <c r="W484" s="282" t="n"/>
      <c r="X484" s="536" t="n"/>
      <c r="Y484" s="536" t="n"/>
      <c r="Z484" s="282" t="n"/>
      <c r="AA484" s="282" t="n"/>
      <c r="AB484" s="536" t="n"/>
      <c r="AC484" s="536" t="n"/>
      <c r="AD484" s="282" t="n"/>
      <c r="AE484" s="282" t="n"/>
      <c r="AF484" s="537" t="n"/>
      <c r="AG484" s="537" t="n"/>
      <c r="AH484" s="282" t="n"/>
      <c r="AI484" s="282" t="n"/>
      <c r="AJ484" s="537" t="n"/>
      <c r="AK484" s="537" t="n"/>
      <c r="AL484" s="282" t="n"/>
      <c r="AM484" s="282" t="n"/>
      <c r="AN484" s="282" t="n"/>
      <c r="AO484" s="282" t="n"/>
      <c r="AP484" s="282" t="n"/>
      <c r="AQ484" s="282" t="n"/>
      <c r="AR484" s="535" t="n"/>
      <c r="AS484" s="535" t="n"/>
      <c r="AT484" s="282" t="n"/>
      <c r="AU484" s="282" t="n"/>
    </row>
    <row customHeight="1" ht="15.75" r="485" s="452" spans="1:48">
      <c r="A485" s="44" t="n"/>
      <c r="D485" s="535" t="n"/>
      <c r="E485" s="535" t="n"/>
      <c r="F485" s="282" t="n"/>
      <c r="G485" s="282" t="n"/>
      <c r="H485" s="536" t="n"/>
      <c r="I485" s="535" t="n"/>
      <c r="J485" s="282" t="n"/>
      <c r="K485" s="282" t="n"/>
      <c r="L485" s="536" t="n"/>
      <c r="M485" s="535" t="n"/>
      <c r="N485" s="282" t="n"/>
      <c r="O485" s="282" t="n"/>
      <c r="P485" s="535" t="n"/>
      <c r="Q485" s="535" t="n"/>
      <c r="R485" s="282" t="n"/>
      <c r="S485" s="282" t="n"/>
      <c r="T485" s="535" t="n"/>
      <c r="U485" s="535" t="n"/>
      <c r="V485" s="282" t="n"/>
      <c r="W485" s="282" t="n"/>
      <c r="X485" s="536" t="n"/>
      <c r="Y485" s="536" t="n"/>
      <c r="Z485" s="282" t="n"/>
      <c r="AA485" s="282" t="n"/>
      <c r="AB485" s="536" t="n"/>
      <c r="AC485" s="536" t="n"/>
      <c r="AD485" s="282" t="n"/>
      <c r="AE485" s="282" t="n"/>
      <c r="AF485" s="537" t="n"/>
      <c r="AG485" s="537" t="n"/>
      <c r="AH485" s="282" t="n"/>
      <c r="AI485" s="282" t="n"/>
      <c r="AJ485" s="537" t="n"/>
      <c r="AK485" s="537" t="n"/>
      <c r="AL485" s="282" t="n"/>
      <c r="AM485" s="282" t="n"/>
      <c r="AN485" s="282" t="n"/>
      <c r="AO485" s="282" t="n"/>
      <c r="AP485" s="282" t="n"/>
      <c r="AQ485" s="282" t="n"/>
      <c r="AR485" s="535" t="n"/>
      <c r="AS485" s="535" t="n"/>
      <c r="AT485" s="282" t="n"/>
      <c r="AU485" s="282" t="n"/>
    </row>
    <row customHeight="1" ht="15.75" r="486" s="452" spans="1:48">
      <c r="A486" s="44" t="n"/>
      <c r="D486" s="535" t="n"/>
      <c r="E486" s="535" t="n"/>
      <c r="F486" s="282" t="n"/>
      <c r="G486" s="282" t="n"/>
      <c r="H486" s="536" t="n"/>
      <c r="I486" s="535" t="n"/>
      <c r="J486" s="282" t="n"/>
      <c r="K486" s="282" t="n"/>
      <c r="L486" s="536" t="n"/>
      <c r="M486" s="535" t="n"/>
      <c r="N486" s="282" t="n"/>
      <c r="O486" s="282" t="n"/>
      <c r="P486" s="535" t="n"/>
      <c r="Q486" s="535" t="n"/>
      <c r="R486" s="282" t="n"/>
      <c r="S486" s="282" t="n"/>
      <c r="T486" s="535" t="n"/>
      <c r="U486" s="535" t="n"/>
      <c r="V486" s="282" t="n"/>
      <c r="W486" s="282" t="n"/>
      <c r="X486" s="536" t="n"/>
      <c r="Y486" s="536" t="n"/>
      <c r="Z486" s="282" t="n"/>
      <c r="AA486" s="282" t="n"/>
      <c r="AB486" s="536" t="n"/>
      <c r="AC486" s="536" t="n"/>
      <c r="AD486" s="282" t="n"/>
      <c r="AE486" s="282" t="n"/>
      <c r="AF486" s="537" t="n"/>
      <c r="AG486" s="537" t="n"/>
      <c r="AH486" s="282" t="n"/>
      <c r="AI486" s="282" t="n"/>
      <c r="AJ486" s="537" t="n"/>
      <c r="AK486" s="537" t="n"/>
      <c r="AL486" s="282" t="n"/>
      <c r="AM486" s="282" t="n"/>
      <c r="AN486" s="282" t="n"/>
      <c r="AO486" s="282" t="n"/>
      <c r="AP486" s="282" t="n"/>
      <c r="AQ486" s="282" t="n"/>
      <c r="AR486" s="535" t="n"/>
      <c r="AS486" s="535" t="n"/>
      <c r="AT486" s="282" t="n"/>
      <c r="AU486" s="282" t="n"/>
    </row>
    <row customHeight="1" ht="15.75" r="487" s="452" spans="1:48">
      <c r="A487" s="44" t="n"/>
      <c r="D487" s="535" t="n"/>
      <c r="E487" s="535" t="n"/>
      <c r="F487" s="282" t="n"/>
      <c r="G487" s="282" t="n"/>
      <c r="H487" s="536" t="n"/>
      <c r="I487" s="535" t="n"/>
      <c r="J487" s="282" t="n"/>
      <c r="K487" s="282" t="n"/>
      <c r="L487" s="536" t="n"/>
      <c r="M487" s="535" t="n"/>
      <c r="N487" s="282" t="n"/>
      <c r="O487" s="282" t="n"/>
      <c r="P487" s="535" t="n"/>
      <c r="Q487" s="535" t="n"/>
      <c r="R487" s="282" t="n"/>
      <c r="S487" s="282" t="n"/>
      <c r="T487" s="535" t="n"/>
      <c r="U487" s="535" t="n"/>
      <c r="V487" s="282" t="n"/>
      <c r="W487" s="282" t="n"/>
      <c r="X487" s="536" t="n"/>
      <c r="Y487" s="536" t="n"/>
      <c r="Z487" s="282" t="n"/>
      <c r="AA487" s="282" t="n"/>
      <c r="AB487" s="536" t="n"/>
      <c r="AC487" s="536" t="n"/>
      <c r="AD487" s="282" t="n"/>
      <c r="AE487" s="282" t="n"/>
      <c r="AF487" s="537" t="n"/>
      <c r="AG487" s="537" t="n"/>
      <c r="AH487" s="282" t="n"/>
      <c r="AI487" s="282" t="n"/>
      <c r="AJ487" s="537" t="n"/>
      <c r="AK487" s="537" t="n"/>
      <c r="AL487" s="282" t="n"/>
      <c r="AM487" s="282" t="n"/>
      <c r="AN487" s="282" t="n"/>
      <c r="AO487" s="282" t="n"/>
      <c r="AP487" s="282" t="n"/>
      <c r="AQ487" s="282" t="n"/>
      <c r="AR487" s="535" t="n"/>
      <c r="AS487" s="535" t="n"/>
      <c r="AT487" s="282" t="n"/>
      <c r="AU487" s="282" t="n"/>
    </row>
    <row customHeight="1" ht="15.75" r="488" s="452" spans="1:48">
      <c r="A488" s="44" t="n"/>
      <c r="D488" s="535" t="n"/>
      <c r="E488" s="535" t="n"/>
      <c r="F488" s="282" t="n"/>
      <c r="G488" s="282" t="n"/>
      <c r="H488" s="536" t="n"/>
      <c r="I488" s="535" t="n"/>
      <c r="J488" s="282" t="n"/>
      <c r="K488" s="282" t="n"/>
      <c r="L488" s="536" t="n"/>
      <c r="M488" s="535" t="n"/>
      <c r="N488" s="282" t="n"/>
      <c r="O488" s="282" t="n"/>
      <c r="P488" s="535" t="n"/>
      <c r="Q488" s="535" t="n"/>
      <c r="R488" s="282" t="n"/>
      <c r="S488" s="282" t="n"/>
      <c r="T488" s="535" t="n"/>
      <c r="U488" s="535" t="n"/>
      <c r="V488" s="282" t="n"/>
      <c r="W488" s="282" t="n"/>
      <c r="X488" s="536" t="n"/>
      <c r="Y488" s="536" t="n"/>
      <c r="Z488" s="282" t="n"/>
      <c r="AA488" s="282" t="n"/>
      <c r="AB488" s="536" t="n"/>
      <c r="AC488" s="536" t="n"/>
      <c r="AD488" s="282" t="n"/>
      <c r="AE488" s="282" t="n"/>
      <c r="AF488" s="537" t="n"/>
      <c r="AG488" s="537" t="n"/>
      <c r="AH488" s="282" t="n"/>
      <c r="AI488" s="282" t="n"/>
      <c r="AJ488" s="537" t="n"/>
      <c r="AK488" s="537" t="n"/>
      <c r="AL488" s="282" t="n"/>
      <c r="AM488" s="282" t="n"/>
      <c r="AN488" s="282" t="n"/>
      <c r="AO488" s="282" t="n"/>
      <c r="AP488" s="282" t="n"/>
      <c r="AQ488" s="282" t="n"/>
      <c r="AR488" s="535" t="n"/>
      <c r="AS488" s="535" t="n"/>
      <c r="AT488" s="282" t="n"/>
      <c r="AU488" s="282" t="n"/>
    </row>
    <row customHeight="1" ht="15.75" r="489" s="452" spans="1:48">
      <c r="A489" s="44" t="n"/>
      <c r="D489" s="535" t="n"/>
      <c r="E489" s="535" t="n"/>
      <c r="F489" s="282" t="n"/>
      <c r="G489" s="282" t="n"/>
      <c r="H489" s="536" t="n"/>
      <c r="I489" s="535" t="n"/>
      <c r="J489" s="282" t="n"/>
      <c r="K489" s="282" t="n"/>
      <c r="L489" s="536" t="n"/>
      <c r="M489" s="535" t="n"/>
      <c r="N489" s="282" t="n"/>
      <c r="O489" s="282" t="n"/>
      <c r="P489" s="535" t="n"/>
      <c r="Q489" s="535" t="n"/>
      <c r="R489" s="282" t="n"/>
      <c r="S489" s="282" t="n"/>
      <c r="T489" s="535" t="n"/>
      <c r="U489" s="535" t="n"/>
      <c r="V489" s="282" t="n"/>
      <c r="W489" s="282" t="n"/>
      <c r="X489" s="536" t="n"/>
      <c r="Y489" s="536" t="n"/>
      <c r="Z489" s="282" t="n"/>
      <c r="AA489" s="282" t="n"/>
      <c r="AB489" s="536" t="n"/>
      <c r="AC489" s="536" t="n"/>
      <c r="AD489" s="282" t="n"/>
      <c r="AE489" s="282" t="n"/>
      <c r="AF489" s="537" t="n"/>
      <c r="AG489" s="537" t="n"/>
      <c r="AH489" s="282" t="n"/>
      <c r="AI489" s="282" t="n"/>
      <c r="AJ489" s="537" t="n"/>
      <c r="AK489" s="537" t="n"/>
      <c r="AL489" s="282" t="n"/>
      <c r="AM489" s="282" t="n"/>
      <c r="AN489" s="282" t="n"/>
      <c r="AO489" s="282" t="n"/>
      <c r="AP489" s="282" t="n"/>
      <c r="AQ489" s="282" t="n"/>
      <c r="AR489" s="535" t="n"/>
      <c r="AS489" s="535" t="n"/>
      <c r="AT489" s="282" t="n"/>
      <c r="AU489" s="282" t="n"/>
    </row>
    <row customHeight="1" ht="15.75" r="490" s="452" spans="1:48">
      <c r="A490" s="44" t="n"/>
      <c r="D490" s="535" t="n"/>
      <c r="E490" s="535" t="n"/>
      <c r="F490" s="282" t="n"/>
      <c r="G490" s="282" t="n"/>
      <c r="H490" s="536" t="n"/>
      <c r="I490" s="535" t="n"/>
      <c r="J490" s="282" t="n"/>
      <c r="K490" s="282" t="n"/>
      <c r="L490" s="536" t="n"/>
      <c r="M490" s="535" t="n"/>
      <c r="N490" s="282" t="n"/>
      <c r="O490" s="282" t="n"/>
      <c r="P490" s="535" t="n"/>
      <c r="Q490" s="535" t="n"/>
      <c r="R490" s="282" t="n"/>
      <c r="S490" s="282" t="n"/>
      <c r="T490" s="535" t="n"/>
      <c r="U490" s="535" t="n"/>
      <c r="V490" s="282" t="n"/>
      <c r="W490" s="282" t="n"/>
      <c r="X490" s="536" t="n"/>
      <c r="Y490" s="536" t="n"/>
      <c r="Z490" s="282" t="n"/>
      <c r="AA490" s="282" t="n"/>
      <c r="AB490" s="536" t="n"/>
      <c r="AC490" s="536" t="n"/>
      <c r="AD490" s="282" t="n"/>
      <c r="AE490" s="282" t="n"/>
      <c r="AF490" s="537" t="n"/>
      <c r="AG490" s="537" t="n"/>
      <c r="AH490" s="282" t="n"/>
      <c r="AI490" s="282" t="n"/>
      <c r="AJ490" s="537" t="n"/>
      <c r="AK490" s="537" t="n"/>
      <c r="AL490" s="282" t="n"/>
      <c r="AM490" s="282" t="n"/>
      <c r="AN490" s="282" t="n"/>
      <c r="AO490" s="282" t="n"/>
      <c r="AP490" s="282" t="n"/>
      <c r="AQ490" s="282" t="n"/>
      <c r="AR490" s="535" t="n"/>
      <c r="AS490" s="535" t="n"/>
      <c r="AT490" s="282" t="n"/>
      <c r="AU490" s="282" t="n"/>
    </row>
    <row customHeight="1" ht="15.75" r="491" s="452" spans="1:48">
      <c r="A491" s="44" t="n"/>
      <c r="D491" s="535" t="n"/>
      <c r="E491" s="535" t="n"/>
      <c r="F491" s="282" t="n"/>
      <c r="G491" s="282" t="n"/>
      <c r="H491" s="536" t="n"/>
      <c r="I491" s="535" t="n"/>
      <c r="J491" s="282" t="n"/>
      <c r="K491" s="282" t="n"/>
      <c r="L491" s="536" t="n"/>
      <c r="M491" s="535" t="n"/>
      <c r="N491" s="282" t="n"/>
      <c r="O491" s="282" t="n"/>
      <c r="P491" s="535" t="n"/>
      <c r="Q491" s="535" t="n"/>
      <c r="R491" s="282" t="n"/>
      <c r="S491" s="282" t="n"/>
      <c r="T491" s="535" t="n"/>
      <c r="U491" s="535" t="n"/>
      <c r="V491" s="282" t="n"/>
      <c r="W491" s="282" t="n"/>
      <c r="X491" s="536" t="n"/>
      <c r="Y491" s="536" t="n"/>
      <c r="Z491" s="282" t="n"/>
      <c r="AA491" s="282" t="n"/>
      <c r="AB491" s="536" t="n"/>
      <c r="AC491" s="536" t="n"/>
      <c r="AD491" s="282" t="n"/>
      <c r="AE491" s="282" t="n"/>
      <c r="AF491" s="537" t="n"/>
      <c r="AG491" s="537" t="n"/>
      <c r="AH491" s="282" t="n"/>
      <c r="AI491" s="282" t="n"/>
      <c r="AJ491" s="537" t="n"/>
      <c r="AK491" s="537" t="n"/>
      <c r="AL491" s="282" t="n"/>
      <c r="AM491" s="282" t="n"/>
      <c r="AN491" s="282" t="n"/>
      <c r="AO491" s="282" t="n"/>
      <c r="AP491" s="282" t="n"/>
      <c r="AQ491" s="282" t="n"/>
      <c r="AR491" s="535" t="n"/>
      <c r="AS491" s="535" t="n"/>
      <c r="AT491" s="282" t="n"/>
      <c r="AU491" s="282" t="n"/>
    </row>
    <row customHeight="1" ht="15.75" r="492" s="452" spans="1:48">
      <c r="A492" s="44" t="n"/>
      <c r="D492" s="535" t="n"/>
      <c r="E492" s="535" t="n"/>
      <c r="F492" s="282" t="n"/>
      <c r="G492" s="282" t="n"/>
      <c r="H492" s="536" t="n"/>
      <c r="I492" s="535" t="n"/>
      <c r="J492" s="282" t="n"/>
      <c r="K492" s="282" t="n"/>
      <c r="L492" s="536" t="n"/>
      <c r="M492" s="535" t="n"/>
      <c r="N492" s="282" t="n"/>
      <c r="O492" s="282" t="n"/>
      <c r="P492" s="535" t="n"/>
      <c r="Q492" s="535" t="n"/>
      <c r="R492" s="282" t="n"/>
      <c r="S492" s="282" t="n"/>
      <c r="T492" s="535" t="n"/>
      <c r="U492" s="535" t="n"/>
      <c r="V492" s="282" t="n"/>
      <c r="W492" s="282" t="n"/>
      <c r="X492" s="536" t="n"/>
      <c r="Y492" s="536" t="n"/>
      <c r="Z492" s="282" t="n"/>
      <c r="AA492" s="282" t="n"/>
      <c r="AB492" s="536" t="n"/>
      <c r="AC492" s="536" t="n"/>
      <c r="AD492" s="282" t="n"/>
      <c r="AE492" s="282" t="n"/>
      <c r="AF492" s="537" t="n"/>
      <c r="AG492" s="537" t="n"/>
      <c r="AH492" s="282" t="n"/>
      <c r="AI492" s="282" t="n"/>
      <c r="AJ492" s="537" t="n"/>
      <c r="AK492" s="537" t="n"/>
      <c r="AL492" s="282" t="n"/>
      <c r="AM492" s="282" t="n"/>
      <c r="AN492" s="282" t="n"/>
      <c r="AO492" s="282" t="n"/>
      <c r="AP492" s="282" t="n"/>
      <c r="AQ492" s="282" t="n"/>
      <c r="AR492" s="535" t="n"/>
      <c r="AS492" s="535" t="n"/>
      <c r="AT492" s="282" t="n"/>
      <c r="AU492" s="282" t="n"/>
    </row>
    <row customHeight="1" ht="15.75" r="493" s="452" spans="1:48">
      <c r="A493" s="44" t="n"/>
      <c r="D493" s="535" t="n"/>
      <c r="E493" s="535" t="n"/>
      <c r="F493" s="282" t="n"/>
      <c r="G493" s="282" t="n"/>
      <c r="H493" s="536" t="n"/>
      <c r="I493" s="535" t="n"/>
      <c r="J493" s="282" t="n"/>
      <c r="K493" s="282" t="n"/>
      <c r="L493" s="536" t="n"/>
      <c r="M493" s="535" t="n"/>
      <c r="N493" s="282" t="n"/>
      <c r="O493" s="282" t="n"/>
      <c r="P493" s="535" t="n"/>
      <c r="Q493" s="535" t="n"/>
      <c r="R493" s="282" t="n"/>
      <c r="S493" s="282" t="n"/>
      <c r="T493" s="535" t="n"/>
      <c r="U493" s="535" t="n"/>
      <c r="V493" s="282" t="n"/>
      <c r="W493" s="282" t="n"/>
      <c r="X493" s="536" t="n"/>
      <c r="Y493" s="536" t="n"/>
      <c r="Z493" s="282" t="n"/>
      <c r="AA493" s="282" t="n"/>
      <c r="AB493" s="536" t="n"/>
      <c r="AC493" s="536" t="n"/>
      <c r="AD493" s="282" t="n"/>
      <c r="AE493" s="282" t="n"/>
      <c r="AF493" s="537" t="n"/>
      <c r="AG493" s="537" t="n"/>
      <c r="AH493" s="282" t="n"/>
      <c r="AI493" s="282" t="n"/>
      <c r="AJ493" s="537" t="n"/>
      <c r="AK493" s="537" t="n"/>
      <c r="AL493" s="282" t="n"/>
      <c r="AM493" s="282" t="n"/>
      <c r="AN493" s="282" t="n"/>
      <c r="AO493" s="282" t="n"/>
      <c r="AP493" s="282" t="n"/>
      <c r="AQ493" s="282" t="n"/>
      <c r="AR493" s="535" t="n"/>
      <c r="AS493" s="535" t="n"/>
      <c r="AT493" s="282" t="n"/>
      <c r="AU493" s="282" t="n"/>
    </row>
    <row customHeight="1" ht="15.75" r="494" s="452" spans="1:48">
      <c r="A494" s="44" t="n"/>
      <c r="D494" s="535" t="n"/>
      <c r="E494" s="535" t="n"/>
      <c r="F494" s="282" t="n"/>
      <c r="G494" s="282" t="n"/>
      <c r="H494" s="536" t="n"/>
      <c r="I494" s="535" t="n"/>
      <c r="J494" s="282" t="n"/>
      <c r="K494" s="282" t="n"/>
      <c r="L494" s="536" t="n"/>
      <c r="M494" s="535" t="n"/>
      <c r="N494" s="282" t="n"/>
      <c r="O494" s="282" t="n"/>
      <c r="P494" s="535" t="n"/>
      <c r="Q494" s="535" t="n"/>
      <c r="R494" s="282" t="n"/>
      <c r="S494" s="282" t="n"/>
      <c r="T494" s="535" t="n"/>
      <c r="U494" s="535" t="n"/>
      <c r="V494" s="282" t="n"/>
      <c r="W494" s="282" t="n"/>
      <c r="X494" s="536" t="n"/>
      <c r="Y494" s="536" t="n"/>
      <c r="Z494" s="282" t="n"/>
      <c r="AA494" s="282" t="n"/>
      <c r="AB494" s="536" t="n"/>
      <c r="AC494" s="536" t="n"/>
      <c r="AD494" s="282" t="n"/>
      <c r="AE494" s="282" t="n"/>
      <c r="AF494" s="537" t="n"/>
      <c r="AG494" s="537" t="n"/>
      <c r="AH494" s="282" t="n"/>
      <c r="AI494" s="282" t="n"/>
      <c r="AJ494" s="537" t="n"/>
      <c r="AK494" s="537" t="n"/>
      <c r="AL494" s="282" t="n"/>
      <c r="AM494" s="282" t="n"/>
      <c r="AN494" s="282" t="n"/>
      <c r="AO494" s="282" t="n"/>
      <c r="AP494" s="282" t="n"/>
      <c r="AQ494" s="282" t="n"/>
      <c r="AR494" s="535" t="n"/>
      <c r="AS494" s="535" t="n"/>
      <c r="AT494" s="282" t="n"/>
      <c r="AU494" s="282" t="n"/>
    </row>
    <row customHeight="1" ht="15.75" r="495" s="452" spans="1:48">
      <c r="A495" s="44" t="n"/>
      <c r="D495" s="535" t="n"/>
      <c r="E495" s="535" t="n"/>
      <c r="F495" s="282" t="n"/>
      <c r="G495" s="282" t="n"/>
      <c r="H495" s="536" t="n"/>
      <c r="I495" s="535" t="n"/>
      <c r="J495" s="282" t="n"/>
      <c r="K495" s="282" t="n"/>
      <c r="L495" s="536" t="n"/>
      <c r="M495" s="535" t="n"/>
      <c r="N495" s="282" t="n"/>
      <c r="O495" s="282" t="n"/>
      <c r="P495" s="535" t="n"/>
      <c r="Q495" s="535" t="n"/>
      <c r="R495" s="282" t="n"/>
      <c r="S495" s="282" t="n"/>
      <c r="T495" s="535" t="n"/>
      <c r="U495" s="535" t="n"/>
      <c r="V495" s="282" t="n"/>
      <c r="W495" s="282" t="n"/>
      <c r="X495" s="536" t="n"/>
      <c r="Y495" s="536" t="n"/>
      <c r="Z495" s="282" t="n"/>
      <c r="AA495" s="282" t="n"/>
      <c r="AB495" s="536" t="n"/>
      <c r="AC495" s="536" t="n"/>
      <c r="AD495" s="282" t="n"/>
      <c r="AE495" s="282" t="n"/>
      <c r="AF495" s="537" t="n"/>
      <c r="AG495" s="537" t="n"/>
      <c r="AH495" s="282" t="n"/>
      <c r="AI495" s="282" t="n"/>
      <c r="AJ495" s="537" t="n"/>
      <c r="AK495" s="537" t="n"/>
      <c r="AL495" s="282" t="n"/>
      <c r="AM495" s="282" t="n"/>
      <c r="AN495" s="282" t="n"/>
      <c r="AO495" s="282" t="n"/>
      <c r="AP495" s="282" t="n"/>
      <c r="AQ495" s="282" t="n"/>
      <c r="AR495" s="535" t="n"/>
      <c r="AS495" s="535" t="n"/>
      <c r="AT495" s="282" t="n"/>
      <c r="AU495" s="282" t="n"/>
    </row>
    <row customHeight="1" ht="15.75" r="496" s="452" spans="1:48">
      <c r="A496" s="44" t="n"/>
      <c r="D496" s="535" t="n"/>
      <c r="E496" s="535" t="n"/>
      <c r="F496" s="282" t="n"/>
      <c r="G496" s="282" t="n"/>
      <c r="H496" s="536" t="n"/>
      <c r="I496" s="535" t="n"/>
      <c r="J496" s="282" t="n"/>
      <c r="K496" s="282" t="n"/>
      <c r="L496" s="536" t="n"/>
      <c r="M496" s="535" t="n"/>
      <c r="N496" s="282" t="n"/>
      <c r="O496" s="282" t="n"/>
      <c r="P496" s="535" t="n"/>
      <c r="Q496" s="535" t="n"/>
      <c r="R496" s="282" t="n"/>
      <c r="S496" s="282" t="n"/>
      <c r="T496" s="535" t="n"/>
      <c r="U496" s="535" t="n"/>
      <c r="V496" s="282" t="n"/>
      <c r="W496" s="282" t="n"/>
      <c r="X496" s="536" t="n"/>
      <c r="Y496" s="536" t="n"/>
      <c r="Z496" s="282" t="n"/>
      <c r="AA496" s="282" t="n"/>
      <c r="AB496" s="536" t="n"/>
      <c r="AC496" s="536" t="n"/>
      <c r="AD496" s="282" t="n"/>
      <c r="AE496" s="282" t="n"/>
      <c r="AF496" s="537" t="n"/>
      <c r="AG496" s="537" t="n"/>
      <c r="AH496" s="282" t="n"/>
      <c r="AI496" s="282" t="n"/>
      <c r="AJ496" s="537" t="n"/>
      <c r="AK496" s="537" t="n"/>
      <c r="AL496" s="282" t="n"/>
      <c r="AM496" s="282" t="n"/>
      <c r="AN496" s="282" t="n"/>
      <c r="AO496" s="282" t="n"/>
      <c r="AP496" s="282" t="n"/>
      <c r="AQ496" s="282" t="n"/>
      <c r="AR496" s="535" t="n"/>
      <c r="AS496" s="535" t="n"/>
      <c r="AT496" s="282" t="n"/>
      <c r="AU496" s="282" t="n"/>
    </row>
    <row customHeight="1" ht="15.75" r="497" s="452" spans="1:48">
      <c r="A497" s="44" t="n"/>
      <c r="D497" s="535" t="n"/>
      <c r="E497" s="535" t="n"/>
      <c r="F497" s="282" t="n"/>
      <c r="G497" s="282" t="n"/>
      <c r="H497" s="536" t="n"/>
      <c r="I497" s="535" t="n"/>
      <c r="J497" s="282" t="n"/>
      <c r="K497" s="282" t="n"/>
      <c r="L497" s="536" t="n"/>
      <c r="M497" s="535" t="n"/>
      <c r="N497" s="282" t="n"/>
      <c r="O497" s="282" t="n"/>
      <c r="P497" s="535" t="n"/>
      <c r="Q497" s="535" t="n"/>
      <c r="R497" s="282" t="n"/>
      <c r="S497" s="282" t="n"/>
      <c r="T497" s="535" t="n"/>
      <c r="U497" s="535" t="n"/>
      <c r="V497" s="282" t="n"/>
      <c r="W497" s="282" t="n"/>
      <c r="X497" s="536" t="n"/>
      <c r="Y497" s="536" t="n"/>
      <c r="Z497" s="282" t="n"/>
      <c r="AA497" s="282" t="n"/>
      <c r="AB497" s="536" t="n"/>
      <c r="AC497" s="536" t="n"/>
      <c r="AD497" s="282" t="n"/>
      <c r="AE497" s="282" t="n"/>
      <c r="AF497" s="537" t="n"/>
      <c r="AG497" s="537" t="n"/>
      <c r="AH497" s="282" t="n"/>
      <c r="AI497" s="282" t="n"/>
      <c r="AJ497" s="537" t="n"/>
      <c r="AK497" s="537" t="n"/>
      <c r="AL497" s="282" t="n"/>
      <c r="AM497" s="282" t="n"/>
      <c r="AN497" s="282" t="n"/>
      <c r="AO497" s="282" t="n"/>
      <c r="AP497" s="282" t="n"/>
      <c r="AQ497" s="282" t="n"/>
      <c r="AR497" s="535" t="n"/>
      <c r="AS497" s="535" t="n"/>
      <c r="AT497" s="282" t="n"/>
      <c r="AU497" s="282" t="n"/>
    </row>
    <row customHeight="1" ht="15.75" r="498" s="452" spans="1:48">
      <c r="A498" s="44" t="n"/>
      <c r="D498" s="535" t="n"/>
      <c r="E498" s="535" t="n"/>
      <c r="F498" s="282" t="n"/>
      <c r="G498" s="282" t="n"/>
      <c r="H498" s="536" t="n"/>
      <c r="I498" s="535" t="n"/>
      <c r="J498" s="282" t="n"/>
      <c r="K498" s="282" t="n"/>
      <c r="L498" s="536" t="n"/>
      <c r="M498" s="535" t="n"/>
      <c r="N498" s="282" t="n"/>
      <c r="O498" s="282" t="n"/>
      <c r="P498" s="535" t="n"/>
      <c r="Q498" s="535" t="n"/>
      <c r="R498" s="282" t="n"/>
      <c r="S498" s="282" t="n"/>
      <c r="T498" s="535" t="n"/>
      <c r="U498" s="535" t="n"/>
      <c r="V498" s="282" t="n"/>
      <c r="W498" s="282" t="n"/>
      <c r="X498" s="536" t="n"/>
      <c r="Y498" s="536" t="n"/>
      <c r="Z498" s="282" t="n"/>
      <c r="AA498" s="282" t="n"/>
      <c r="AB498" s="536" t="n"/>
      <c r="AC498" s="536" t="n"/>
      <c r="AD498" s="282" t="n"/>
      <c r="AE498" s="282" t="n"/>
      <c r="AF498" s="537" t="n"/>
      <c r="AG498" s="537" t="n"/>
      <c r="AH498" s="282" t="n"/>
      <c r="AI498" s="282" t="n"/>
      <c r="AJ498" s="537" t="n"/>
      <c r="AK498" s="537" t="n"/>
      <c r="AL498" s="282" t="n"/>
      <c r="AM498" s="282" t="n"/>
      <c r="AN498" s="282" t="n"/>
      <c r="AO498" s="282" t="n"/>
      <c r="AP498" s="282" t="n"/>
      <c r="AQ498" s="282" t="n"/>
      <c r="AR498" s="535" t="n"/>
      <c r="AS498" s="535" t="n"/>
      <c r="AT498" s="282" t="n"/>
      <c r="AU498" s="282" t="n"/>
    </row>
    <row customHeight="1" ht="15.75" r="499" s="452" spans="1:48">
      <c r="A499" s="44" t="n"/>
      <c r="D499" s="535" t="n"/>
      <c r="E499" s="535" t="n"/>
      <c r="F499" s="282" t="n"/>
      <c r="G499" s="282" t="n"/>
      <c r="H499" s="536" t="n"/>
      <c r="I499" s="535" t="n"/>
      <c r="J499" s="282" t="n"/>
      <c r="K499" s="282" t="n"/>
      <c r="L499" s="536" t="n"/>
      <c r="M499" s="535" t="n"/>
      <c r="N499" s="282" t="n"/>
      <c r="O499" s="282" t="n"/>
      <c r="P499" s="535" t="n"/>
      <c r="Q499" s="535" t="n"/>
      <c r="R499" s="282" t="n"/>
      <c r="S499" s="282" t="n"/>
      <c r="T499" s="535" t="n"/>
      <c r="U499" s="535" t="n"/>
      <c r="V499" s="282" t="n"/>
      <c r="W499" s="282" t="n"/>
      <c r="X499" s="536" t="n"/>
      <c r="Y499" s="536" t="n"/>
      <c r="Z499" s="282" t="n"/>
      <c r="AA499" s="282" t="n"/>
      <c r="AB499" s="536" t="n"/>
      <c r="AC499" s="536" t="n"/>
      <c r="AD499" s="282" t="n"/>
      <c r="AE499" s="282" t="n"/>
      <c r="AF499" s="537" t="n"/>
      <c r="AG499" s="537" t="n"/>
      <c r="AH499" s="282" t="n"/>
      <c r="AI499" s="282" t="n"/>
      <c r="AJ499" s="537" t="n"/>
      <c r="AK499" s="537" t="n"/>
      <c r="AL499" s="282" t="n"/>
      <c r="AM499" s="282" t="n"/>
      <c r="AN499" s="282" t="n"/>
      <c r="AO499" s="282" t="n"/>
      <c r="AP499" s="282" t="n"/>
      <c r="AQ499" s="282" t="n"/>
      <c r="AR499" s="535" t="n"/>
      <c r="AS499" s="535" t="n"/>
      <c r="AT499" s="282" t="n"/>
      <c r="AU499" s="282" t="n"/>
    </row>
    <row customHeight="1" ht="15.75" r="500" s="452" spans="1:48">
      <c r="A500" s="44" t="n"/>
      <c r="D500" s="535" t="n"/>
      <c r="E500" s="535" t="n"/>
      <c r="F500" s="282" t="n"/>
      <c r="G500" s="282" t="n"/>
      <c r="H500" s="536" t="n"/>
      <c r="I500" s="535" t="n"/>
      <c r="J500" s="282" t="n"/>
      <c r="K500" s="282" t="n"/>
      <c r="L500" s="536" t="n"/>
      <c r="M500" s="535" t="n"/>
      <c r="N500" s="282" t="n"/>
      <c r="O500" s="282" t="n"/>
      <c r="P500" s="535" t="n"/>
      <c r="Q500" s="535" t="n"/>
      <c r="R500" s="282" t="n"/>
      <c r="S500" s="282" t="n"/>
      <c r="T500" s="535" t="n"/>
      <c r="U500" s="535" t="n"/>
      <c r="V500" s="282" t="n"/>
      <c r="W500" s="282" t="n"/>
      <c r="X500" s="536" t="n"/>
      <c r="Y500" s="536" t="n"/>
      <c r="Z500" s="282" t="n"/>
      <c r="AA500" s="282" t="n"/>
      <c r="AB500" s="536" t="n"/>
      <c r="AC500" s="536" t="n"/>
      <c r="AD500" s="282" t="n"/>
      <c r="AE500" s="282" t="n"/>
      <c r="AF500" s="537" t="n"/>
      <c r="AG500" s="537" t="n"/>
      <c r="AH500" s="282" t="n"/>
      <c r="AI500" s="282" t="n"/>
      <c r="AJ500" s="537" t="n"/>
      <c r="AK500" s="537" t="n"/>
      <c r="AL500" s="282" t="n"/>
      <c r="AM500" s="282" t="n"/>
      <c r="AN500" s="282" t="n"/>
      <c r="AO500" s="282" t="n"/>
      <c r="AP500" s="282" t="n"/>
      <c r="AQ500" s="282" t="n"/>
      <c r="AR500" s="535" t="n"/>
      <c r="AS500" s="535" t="n"/>
      <c r="AT500" s="282" t="n"/>
      <c r="AU500" s="282" t="n"/>
    </row>
    <row customHeight="1" ht="15.75" r="501" s="452" spans="1:48">
      <c r="A501" s="44" t="n"/>
      <c r="D501" s="535" t="n"/>
      <c r="E501" s="535" t="n"/>
      <c r="F501" s="282" t="n"/>
      <c r="G501" s="282" t="n"/>
      <c r="H501" s="536" t="n"/>
      <c r="I501" s="535" t="n"/>
      <c r="J501" s="282" t="n"/>
      <c r="K501" s="282" t="n"/>
      <c r="L501" s="536" t="n"/>
      <c r="M501" s="535" t="n"/>
      <c r="N501" s="282" t="n"/>
      <c r="O501" s="282" t="n"/>
      <c r="P501" s="535" t="n"/>
      <c r="Q501" s="535" t="n"/>
      <c r="R501" s="282" t="n"/>
      <c r="S501" s="282" t="n"/>
      <c r="T501" s="535" t="n"/>
      <c r="U501" s="535" t="n"/>
      <c r="V501" s="282" t="n"/>
      <c r="W501" s="282" t="n"/>
      <c r="X501" s="536" t="n"/>
      <c r="Y501" s="536" t="n"/>
      <c r="Z501" s="282" t="n"/>
      <c r="AA501" s="282" t="n"/>
      <c r="AB501" s="536" t="n"/>
      <c r="AC501" s="536" t="n"/>
      <c r="AD501" s="282" t="n"/>
      <c r="AE501" s="282" t="n"/>
      <c r="AF501" s="537" t="n"/>
      <c r="AG501" s="537" t="n"/>
      <c r="AH501" s="282" t="n"/>
      <c r="AI501" s="282" t="n"/>
      <c r="AJ501" s="537" t="n"/>
      <c r="AK501" s="537" t="n"/>
      <c r="AL501" s="282" t="n"/>
      <c r="AM501" s="282" t="n"/>
      <c r="AN501" s="282" t="n"/>
      <c r="AO501" s="282" t="n"/>
      <c r="AP501" s="282" t="n"/>
      <c r="AQ501" s="282" t="n"/>
      <c r="AR501" s="535" t="n"/>
      <c r="AS501" s="535" t="n"/>
      <c r="AT501" s="282" t="n"/>
      <c r="AU501" s="282" t="n"/>
    </row>
    <row customHeight="1" ht="15.75" r="502" s="452" spans="1:48">
      <c r="A502" s="44" t="n"/>
      <c r="D502" s="535" t="n"/>
      <c r="E502" s="535" t="n"/>
      <c r="F502" s="282" t="n"/>
      <c r="G502" s="282" t="n"/>
      <c r="H502" s="536" t="n"/>
      <c r="I502" s="535" t="n"/>
      <c r="J502" s="282" t="n"/>
      <c r="K502" s="282" t="n"/>
      <c r="L502" s="536" t="n"/>
      <c r="M502" s="535" t="n"/>
      <c r="N502" s="282" t="n"/>
      <c r="O502" s="282" t="n"/>
      <c r="P502" s="535" t="n"/>
      <c r="Q502" s="535" t="n"/>
      <c r="R502" s="282" t="n"/>
      <c r="S502" s="282" t="n"/>
      <c r="T502" s="535" t="n"/>
      <c r="U502" s="535" t="n"/>
      <c r="V502" s="282" t="n"/>
      <c r="W502" s="282" t="n"/>
      <c r="X502" s="536" t="n"/>
      <c r="Y502" s="536" t="n"/>
      <c r="Z502" s="282" t="n"/>
      <c r="AA502" s="282" t="n"/>
      <c r="AB502" s="536" t="n"/>
      <c r="AC502" s="536" t="n"/>
      <c r="AD502" s="282" t="n"/>
      <c r="AE502" s="282" t="n"/>
      <c r="AF502" s="537" t="n"/>
      <c r="AG502" s="537" t="n"/>
      <c r="AH502" s="282" t="n"/>
      <c r="AI502" s="282" t="n"/>
      <c r="AJ502" s="537" t="n"/>
      <c r="AK502" s="537" t="n"/>
      <c r="AL502" s="282" t="n"/>
      <c r="AM502" s="282" t="n"/>
      <c r="AN502" s="282" t="n"/>
      <c r="AO502" s="282" t="n"/>
      <c r="AP502" s="282" t="n"/>
      <c r="AQ502" s="282" t="n"/>
      <c r="AR502" s="535" t="n"/>
      <c r="AS502" s="535" t="n"/>
      <c r="AT502" s="282" t="n"/>
      <c r="AU502" s="282" t="n"/>
    </row>
    <row customHeight="1" ht="15.75" r="503" s="452" spans="1:48">
      <c r="A503" s="44" t="n"/>
      <c r="D503" s="535" t="n"/>
      <c r="E503" s="535" t="n"/>
      <c r="F503" s="282" t="n"/>
      <c r="G503" s="282" t="n"/>
      <c r="H503" s="536" t="n"/>
      <c r="I503" s="535" t="n"/>
      <c r="J503" s="282" t="n"/>
      <c r="K503" s="282" t="n"/>
      <c r="L503" s="536" t="n"/>
      <c r="M503" s="535" t="n"/>
      <c r="N503" s="282" t="n"/>
      <c r="O503" s="282" t="n"/>
      <c r="P503" s="535" t="n"/>
      <c r="Q503" s="535" t="n"/>
      <c r="R503" s="282" t="n"/>
      <c r="S503" s="282" t="n"/>
      <c r="T503" s="535" t="n"/>
      <c r="U503" s="535" t="n"/>
      <c r="V503" s="282" t="n"/>
      <c r="W503" s="282" t="n"/>
      <c r="X503" s="536" t="n"/>
      <c r="Y503" s="536" t="n"/>
      <c r="Z503" s="282" t="n"/>
      <c r="AA503" s="282" t="n"/>
      <c r="AB503" s="536" t="n"/>
      <c r="AC503" s="536" t="n"/>
      <c r="AD503" s="282" t="n"/>
      <c r="AE503" s="282" t="n"/>
      <c r="AF503" s="537" t="n"/>
      <c r="AG503" s="537" t="n"/>
      <c r="AH503" s="282" t="n"/>
      <c r="AI503" s="282" t="n"/>
      <c r="AJ503" s="537" t="n"/>
      <c r="AK503" s="537" t="n"/>
      <c r="AL503" s="282" t="n"/>
      <c r="AM503" s="282" t="n"/>
      <c r="AN503" s="282" t="n"/>
      <c r="AO503" s="282" t="n"/>
      <c r="AP503" s="282" t="n"/>
      <c r="AQ503" s="282" t="n"/>
      <c r="AR503" s="535" t="n"/>
      <c r="AS503" s="535" t="n"/>
      <c r="AT503" s="282" t="n"/>
      <c r="AU503" s="282" t="n"/>
    </row>
    <row customHeight="1" ht="15.75" r="504" s="452" spans="1:48">
      <c r="A504" s="44" t="n"/>
      <c r="D504" s="535" t="n"/>
      <c r="E504" s="535" t="n"/>
      <c r="F504" s="282" t="n"/>
      <c r="G504" s="282" t="n"/>
      <c r="H504" s="536" t="n"/>
      <c r="I504" s="535" t="n"/>
      <c r="J504" s="282" t="n"/>
      <c r="K504" s="282" t="n"/>
      <c r="L504" s="536" t="n"/>
      <c r="M504" s="535" t="n"/>
      <c r="N504" s="282" t="n"/>
      <c r="O504" s="282" t="n"/>
      <c r="P504" s="535" t="n"/>
      <c r="Q504" s="535" t="n"/>
      <c r="R504" s="282" t="n"/>
      <c r="S504" s="282" t="n"/>
      <c r="T504" s="535" t="n"/>
      <c r="U504" s="535" t="n"/>
      <c r="V504" s="282" t="n"/>
      <c r="W504" s="282" t="n"/>
      <c r="X504" s="536" t="n"/>
      <c r="Y504" s="536" t="n"/>
      <c r="Z504" s="282" t="n"/>
      <c r="AA504" s="282" t="n"/>
      <c r="AB504" s="536" t="n"/>
      <c r="AC504" s="536" t="n"/>
      <c r="AD504" s="282" t="n"/>
      <c r="AE504" s="282" t="n"/>
      <c r="AF504" s="537" t="n"/>
      <c r="AG504" s="537" t="n"/>
      <c r="AH504" s="282" t="n"/>
      <c r="AI504" s="282" t="n"/>
      <c r="AJ504" s="537" t="n"/>
      <c r="AK504" s="537" t="n"/>
      <c r="AL504" s="282" t="n"/>
      <c r="AM504" s="282" t="n"/>
      <c r="AN504" s="282" t="n"/>
      <c r="AO504" s="282" t="n"/>
      <c r="AP504" s="282" t="n"/>
      <c r="AQ504" s="282" t="n"/>
      <c r="AR504" s="535" t="n"/>
      <c r="AS504" s="535" t="n"/>
      <c r="AT504" s="282" t="n"/>
      <c r="AU504" s="282" t="n"/>
    </row>
    <row customHeight="1" ht="15.75" r="505" s="452" spans="1:48">
      <c r="A505" s="44" t="n"/>
      <c r="D505" s="535" t="n"/>
      <c r="E505" s="535" t="n"/>
      <c r="F505" s="282" t="n"/>
      <c r="G505" s="282" t="n"/>
      <c r="H505" s="536" t="n"/>
      <c r="I505" s="535" t="n"/>
      <c r="J505" s="282" t="n"/>
      <c r="K505" s="282" t="n"/>
      <c r="L505" s="536" t="n"/>
      <c r="M505" s="535" t="n"/>
      <c r="N505" s="282" t="n"/>
      <c r="O505" s="282" t="n"/>
      <c r="P505" s="535" t="n"/>
      <c r="Q505" s="535" t="n"/>
      <c r="R505" s="282" t="n"/>
      <c r="S505" s="282" t="n"/>
      <c r="T505" s="535" t="n"/>
      <c r="U505" s="535" t="n"/>
      <c r="V505" s="282" t="n"/>
      <c r="W505" s="282" t="n"/>
      <c r="X505" s="536" t="n"/>
      <c r="Y505" s="536" t="n"/>
      <c r="Z505" s="282" t="n"/>
      <c r="AA505" s="282" t="n"/>
      <c r="AB505" s="536" t="n"/>
      <c r="AC505" s="536" t="n"/>
      <c r="AD505" s="282" t="n"/>
      <c r="AE505" s="282" t="n"/>
      <c r="AF505" s="537" t="n"/>
      <c r="AG505" s="537" t="n"/>
      <c r="AH505" s="282" t="n"/>
      <c r="AI505" s="282" t="n"/>
      <c r="AJ505" s="537" t="n"/>
      <c r="AK505" s="537" t="n"/>
      <c r="AL505" s="282" t="n"/>
      <c r="AM505" s="282" t="n"/>
      <c r="AN505" s="282" t="n"/>
      <c r="AO505" s="282" t="n"/>
      <c r="AP505" s="282" t="n"/>
      <c r="AQ505" s="282" t="n"/>
      <c r="AR505" s="535" t="n"/>
      <c r="AS505" s="535" t="n"/>
      <c r="AT505" s="282" t="n"/>
      <c r="AU505" s="282" t="n"/>
    </row>
    <row customHeight="1" ht="15.75" r="506" s="452" spans="1:48">
      <c r="A506" s="44" t="n"/>
      <c r="D506" s="535" t="n"/>
      <c r="E506" s="535" t="n"/>
      <c r="F506" s="282" t="n"/>
      <c r="G506" s="282" t="n"/>
      <c r="H506" s="536" t="n"/>
      <c r="I506" s="535" t="n"/>
      <c r="J506" s="282" t="n"/>
      <c r="K506" s="282" t="n"/>
      <c r="L506" s="536" t="n"/>
      <c r="M506" s="535" t="n"/>
      <c r="N506" s="282" t="n"/>
      <c r="O506" s="282" t="n"/>
      <c r="P506" s="535" t="n"/>
      <c r="Q506" s="535" t="n"/>
      <c r="R506" s="282" t="n"/>
      <c r="S506" s="282" t="n"/>
      <c r="T506" s="535" t="n"/>
      <c r="U506" s="535" t="n"/>
      <c r="V506" s="282" t="n"/>
      <c r="W506" s="282" t="n"/>
      <c r="X506" s="536" t="n"/>
      <c r="Y506" s="536" t="n"/>
      <c r="Z506" s="282" t="n"/>
      <c r="AA506" s="282" t="n"/>
      <c r="AB506" s="536" t="n"/>
      <c r="AC506" s="536" t="n"/>
      <c r="AD506" s="282" t="n"/>
      <c r="AE506" s="282" t="n"/>
      <c r="AF506" s="537" t="n"/>
      <c r="AG506" s="537" t="n"/>
      <c r="AH506" s="282" t="n"/>
      <c r="AI506" s="282" t="n"/>
      <c r="AJ506" s="537" t="n"/>
      <c r="AK506" s="537" t="n"/>
      <c r="AL506" s="282" t="n"/>
      <c r="AM506" s="282" t="n"/>
      <c r="AN506" s="282" t="n"/>
      <c r="AO506" s="282" t="n"/>
      <c r="AP506" s="282" t="n"/>
      <c r="AQ506" s="282" t="n"/>
      <c r="AR506" s="535" t="n"/>
      <c r="AS506" s="535" t="n"/>
      <c r="AT506" s="282" t="n"/>
      <c r="AU506" s="282" t="n"/>
    </row>
    <row customHeight="1" ht="15.75" r="507" s="452" spans="1:48">
      <c r="A507" s="44" t="n"/>
      <c r="D507" s="535" t="n"/>
      <c r="E507" s="535" t="n"/>
      <c r="F507" s="282" t="n"/>
      <c r="G507" s="282" t="n"/>
      <c r="H507" s="536" t="n"/>
      <c r="I507" s="535" t="n"/>
      <c r="J507" s="282" t="n"/>
      <c r="K507" s="282" t="n"/>
      <c r="L507" s="536" t="n"/>
      <c r="M507" s="535" t="n"/>
      <c r="N507" s="282" t="n"/>
      <c r="O507" s="282" t="n"/>
      <c r="P507" s="535" t="n"/>
      <c r="Q507" s="535" t="n"/>
      <c r="R507" s="282" t="n"/>
      <c r="S507" s="282" t="n"/>
      <c r="T507" s="535" t="n"/>
      <c r="U507" s="535" t="n"/>
      <c r="V507" s="282" t="n"/>
      <c r="W507" s="282" t="n"/>
      <c r="X507" s="536" t="n"/>
      <c r="Y507" s="536" t="n"/>
      <c r="Z507" s="282" t="n"/>
      <c r="AA507" s="282" t="n"/>
      <c r="AB507" s="536" t="n"/>
      <c r="AC507" s="536" t="n"/>
      <c r="AD507" s="282" t="n"/>
      <c r="AE507" s="282" t="n"/>
      <c r="AF507" s="537" t="n"/>
      <c r="AG507" s="537" t="n"/>
      <c r="AH507" s="282" t="n"/>
      <c r="AI507" s="282" t="n"/>
      <c r="AJ507" s="537" t="n"/>
      <c r="AK507" s="537" t="n"/>
      <c r="AL507" s="282" t="n"/>
      <c r="AM507" s="282" t="n"/>
      <c r="AN507" s="282" t="n"/>
      <c r="AO507" s="282" t="n"/>
      <c r="AP507" s="282" t="n"/>
      <c r="AQ507" s="282" t="n"/>
      <c r="AR507" s="535" t="n"/>
      <c r="AS507" s="535" t="n"/>
      <c r="AT507" s="282" t="n"/>
      <c r="AU507" s="282" t="n"/>
    </row>
    <row customHeight="1" ht="15.75" r="508" s="452" spans="1:48">
      <c r="A508" s="44" t="n"/>
      <c r="D508" s="535" t="n"/>
      <c r="E508" s="535" t="n"/>
      <c r="F508" s="282" t="n"/>
      <c r="G508" s="282" t="n"/>
      <c r="H508" s="536" t="n"/>
      <c r="I508" s="535" t="n"/>
      <c r="J508" s="282" t="n"/>
      <c r="K508" s="282" t="n"/>
      <c r="L508" s="536" t="n"/>
      <c r="M508" s="535" t="n"/>
      <c r="N508" s="282" t="n"/>
      <c r="O508" s="282" t="n"/>
      <c r="P508" s="535" t="n"/>
      <c r="Q508" s="535" t="n"/>
      <c r="R508" s="282" t="n"/>
      <c r="S508" s="282" t="n"/>
      <c r="T508" s="535" t="n"/>
      <c r="U508" s="535" t="n"/>
      <c r="V508" s="282" t="n"/>
      <c r="W508" s="282" t="n"/>
      <c r="X508" s="536" t="n"/>
      <c r="Y508" s="536" t="n"/>
      <c r="Z508" s="282" t="n"/>
      <c r="AA508" s="282" t="n"/>
      <c r="AB508" s="536" t="n"/>
      <c r="AC508" s="536" t="n"/>
      <c r="AD508" s="282" t="n"/>
      <c r="AE508" s="282" t="n"/>
      <c r="AF508" s="537" t="n"/>
      <c r="AG508" s="537" t="n"/>
      <c r="AH508" s="282" t="n"/>
      <c r="AI508" s="282" t="n"/>
      <c r="AJ508" s="537" t="n"/>
      <c r="AK508" s="537" t="n"/>
      <c r="AL508" s="282" t="n"/>
      <c r="AM508" s="282" t="n"/>
      <c r="AN508" s="282" t="n"/>
      <c r="AO508" s="282" t="n"/>
      <c r="AP508" s="282" t="n"/>
      <c r="AQ508" s="282" t="n"/>
      <c r="AR508" s="535" t="n"/>
      <c r="AS508" s="535" t="n"/>
      <c r="AT508" s="282" t="n"/>
      <c r="AU508" s="282" t="n"/>
    </row>
    <row customHeight="1" ht="15.75" r="509" s="452" spans="1:48">
      <c r="A509" s="44" t="n"/>
      <c r="D509" s="535" t="n"/>
      <c r="E509" s="535" t="n"/>
      <c r="F509" s="282" t="n"/>
      <c r="G509" s="282" t="n"/>
      <c r="H509" s="536" t="n"/>
      <c r="I509" s="535" t="n"/>
      <c r="J509" s="282" t="n"/>
      <c r="K509" s="282" t="n"/>
      <c r="L509" s="536" t="n"/>
      <c r="M509" s="535" t="n"/>
      <c r="N509" s="282" t="n"/>
      <c r="O509" s="282" t="n"/>
      <c r="P509" s="535" t="n"/>
      <c r="Q509" s="535" t="n"/>
      <c r="R509" s="282" t="n"/>
      <c r="S509" s="282" t="n"/>
      <c r="T509" s="535" t="n"/>
      <c r="U509" s="535" t="n"/>
      <c r="V509" s="282" t="n"/>
      <c r="W509" s="282" t="n"/>
      <c r="X509" s="536" t="n"/>
      <c r="Y509" s="536" t="n"/>
      <c r="Z509" s="282" t="n"/>
      <c r="AA509" s="282" t="n"/>
      <c r="AB509" s="536" t="n"/>
      <c r="AC509" s="536" t="n"/>
      <c r="AD509" s="282" t="n"/>
      <c r="AE509" s="282" t="n"/>
      <c r="AF509" s="537" t="n"/>
      <c r="AG509" s="537" t="n"/>
      <c r="AH509" s="282" t="n"/>
      <c r="AI509" s="282" t="n"/>
      <c r="AJ509" s="537" t="n"/>
      <c r="AK509" s="537" t="n"/>
      <c r="AL509" s="282" t="n"/>
      <c r="AM509" s="282" t="n"/>
      <c r="AN509" s="282" t="n"/>
      <c r="AO509" s="282" t="n"/>
      <c r="AP509" s="282" t="n"/>
      <c r="AQ509" s="282" t="n"/>
      <c r="AR509" s="535" t="n"/>
      <c r="AS509" s="535" t="n"/>
      <c r="AT509" s="282" t="n"/>
      <c r="AU509" s="282" t="n"/>
    </row>
    <row customHeight="1" ht="15.75" r="510" s="452" spans="1:48">
      <c r="A510" s="44" t="n"/>
      <c r="D510" s="535" t="n"/>
      <c r="E510" s="535" t="n"/>
      <c r="F510" s="282" t="n"/>
      <c r="G510" s="282" t="n"/>
      <c r="H510" s="536" t="n"/>
      <c r="I510" s="535" t="n"/>
      <c r="J510" s="282" t="n"/>
      <c r="K510" s="282" t="n"/>
      <c r="L510" s="536" t="n"/>
      <c r="M510" s="535" t="n"/>
      <c r="N510" s="282" t="n"/>
      <c r="O510" s="282" t="n"/>
      <c r="P510" s="535" t="n"/>
      <c r="Q510" s="535" t="n"/>
      <c r="R510" s="282" t="n"/>
      <c r="S510" s="282" t="n"/>
      <c r="T510" s="535" t="n"/>
      <c r="U510" s="535" t="n"/>
      <c r="V510" s="282" t="n"/>
      <c r="W510" s="282" t="n"/>
      <c r="X510" s="536" t="n"/>
      <c r="Y510" s="536" t="n"/>
      <c r="Z510" s="282" t="n"/>
      <c r="AA510" s="282" t="n"/>
      <c r="AB510" s="536" t="n"/>
      <c r="AC510" s="536" t="n"/>
      <c r="AD510" s="282" t="n"/>
      <c r="AE510" s="282" t="n"/>
      <c r="AF510" s="537" t="n"/>
      <c r="AG510" s="537" t="n"/>
      <c r="AH510" s="282" t="n"/>
      <c r="AI510" s="282" t="n"/>
      <c r="AJ510" s="537" t="n"/>
      <c r="AK510" s="537" t="n"/>
      <c r="AL510" s="282" t="n"/>
      <c r="AM510" s="282" t="n"/>
      <c r="AN510" s="282" t="n"/>
      <c r="AO510" s="282" t="n"/>
      <c r="AP510" s="282" t="n"/>
      <c r="AQ510" s="282" t="n"/>
      <c r="AR510" s="535" t="n"/>
      <c r="AS510" s="535" t="n"/>
      <c r="AT510" s="282" t="n"/>
      <c r="AU510" s="282" t="n"/>
    </row>
    <row customHeight="1" ht="15.75" r="511" s="452" spans="1:48">
      <c r="A511" s="44" t="n"/>
      <c r="D511" s="535" t="n"/>
      <c r="E511" s="535" t="n"/>
      <c r="F511" s="282" t="n"/>
      <c r="G511" s="282" t="n"/>
      <c r="H511" s="536" t="n"/>
      <c r="I511" s="535" t="n"/>
      <c r="J511" s="282" t="n"/>
      <c r="K511" s="282" t="n"/>
      <c r="L511" s="536" t="n"/>
      <c r="M511" s="535" t="n"/>
      <c r="N511" s="282" t="n"/>
      <c r="O511" s="282" t="n"/>
      <c r="P511" s="535" t="n"/>
      <c r="Q511" s="535" t="n"/>
      <c r="R511" s="282" t="n"/>
      <c r="S511" s="282" t="n"/>
      <c r="T511" s="535" t="n"/>
      <c r="U511" s="535" t="n"/>
      <c r="V511" s="282" t="n"/>
      <c r="W511" s="282" t="n"/>
      <c r="X511" s="536" t="n"/>
      <c r="Y511" s="536" t="n"/>
      <c r="Z511" s="282" t="n"/>
      <c r="AA511" s="282" t="n"/>
      <c r="AB511" s="536" t="n"/>
      <c r="AC511" s="536" t="n"/>
      <c r="AD511" s="282" t="n"/>
      <c r="AE511" s="282" t="n"/>
      <c r="AF511" s="537" t="n"/>
      <c r="AG511" s="537" t="n"/>
      <c r="AH511" s="282" t="n"/>
      <c r="AI511" s="282" t="n"/>
      <c r="AJ511" s="537" t="n"/>
      <c r="AK511" s="537" t="n"/>
      <c r="AL511" s="282" t="n"/>
      <c r="AM511" s="282" t="n"/>
      <c r="AN511" s="282" t="n"/>
      <c r="AO511" s="282" t="n"/>
      <c r="AP511" s="282" t="n"/>
      <c r="AQ511" s="282" t="n"/>
      <c r="AR511" s="535" t="n"/>
      <c r="AS511" s="535" t="n"/>
      <c r="AT511" s="282" t="n"/>
      <c r="AU511" s="282" t="n"/>
    </row>
    <row customHeight="1" ht="15.75" r="512" s="452" spans="1:48">
      <c r="A512" s="44" t="n"/>
      <c r="D512" s="535" t="n"/>
      <c r="E512" s="535" t="n"/>
      <c r="F512" s="282" t="n"/>
      <c r="G512" s="282" t="n"/>
      <c r="H512" s="536" t="n"/>
      <c r="I512" s="535" t="n"/>
      <c r="J512" s="282" t="n"/>
      <c r="K512" s="282" t="n"/>
      <c r="L512" s="536" t="n"/>
      <c r="M512" s="535" t="n"/>
      <c r="N512" s="282" t="n"/>
      <c r="O512" s="282" t="n"/>
      <c r="P512" s="535" t="n"/>
      <c r="Q512" s="535" t="n"/>
      <c r="R512" s="282" t="n"/>
      <c r="S512" s="282" t="n"/>
      <c r="T512" s="535" t="n"/>
      <c r="U512" s="535" t="n"/>
      <c r="V512" s="282" t="n"/>
      <c r="W512" s="282" t="n"/>
      <c r="X512" s="536" t="n"/>
      <c r="Y512" s="536" t="n"/>
      <c r="Z512" s="282" t="n"/>
      <c r="AA512" s="282" t="n"/>
      <c r="AB512" s="536" t="n"/>
      <c r="AC512" s="536" t="n"/>
      <c r="AD512" s="282" t="n"/>
      <c r="AE512" s="282" t="n"/>
      <c r="AF512" s="537" t="n"/>
      <c r="AG512" s="537" t="n"/>
      <c r="AH512" s="282" t="n"/>
      <c r="AI512" s="282" t="n"/>
      <c r="AJ512" s="537" t="n"/>
      <c r="AK512" s="537" t="n"/>
      <c r="AL512" s="282" t="n"/>
      <c r="AM512" s="282" t="n"/>
      <c r="AN512" s="282" t="n"/>
      <c r="AO512" s="282" t="n"/>
      <c r="AP512" s="282" t="n"/>
      <c r="AQ512" s="282" t="n"/>
      <c r="AR512" s="535" t="n"/>
      <c r="AS512" s="535" t="n"/>
      <c r="AT512" s="282" t="n"/>
      <c r="AU512" s="282" t="n"/>
    </row>
    <row customHeight="1" ht="15.75" r="513" s="452" spans="1:48">
      <c r="A513" s="44" t="n"/>
      <c r="D513" s="535" t="n"/>
      <c r="E513" s="535" t="n"/>
      <c r="F513" s="282" t="n"/>
      <c r="G513" s="282" t="n"/>
      <c r="H513" s="536" t="n"/>
      <c r="I513" s="535" t="n"/>
      <c r="J513" s="282" t="n"/>
      <c r="K513" s="282" t="n"/>
      <c r="L513" s="536" t="n"/>
      <c r="M513" s="535" t="n"/>
      <c r="N513" s="282" t="n"/>
      <c r="O513" s="282" t="n"/>
      <c r="P513" s="535" t="n"/>
      <c r="Q513" s="535" t="n"/>
      <c r="R513" s="282" t="n"/>
      <c r="S513" s="282" t="n"/>
      <c r="T513" s="535" t="n"/>
      <c r="U513" s="535" t="n"/>
      <c r="V513" s="282" t="n"/>
      <c r="W513" s="282" t="n"/>
      <c r="X513" s="536" t="n"/>
      <c r="Y513" s="536" t="n"/>
      <c r="Z513" s="282" t="n"/>
      <c r="AA513" s="282" t="n"/>
      <c r="AB513" s="536" t="n"/>
      <c r="AC513" s="536" t="n"/>
      <c r="AD513" s="282" t="n"/>
      <c r="AE513" s="282" t="n"/>
      <c r="AF513" s="537" t="n"/>
      <c r="AG513" s="537" t="n"/>
      <c r="AH513" s="282" t="n"/>
      <c r="AI513" s="282" t="n"/>
      <c r="AJ513" s="537" t="n"/>
      <c r="AK513" s="537" t="n"/>
      <c r="AL513" s="282" t="n"/>
      <c r="AM513" s="282" t="n"/>
      <c r="AN513" s="282" t="n"/>
      <c r="AO513" s="282" t="n"/>
      <c r="AP513" s="282" t="n"/>
      <c r="AQ513" s="282" t="n"/>
      <c r="AR513" s="535" t="n"/>
      <c r="AS513" s="535" t="n"/>
      <c r="AT513" s="282" t="n"/>
      <c r="AU513" s="282" t="n"/>
    </row>
    <row customHeight="1" ht="15.75" r="514" s="452" spans="1:48">
      <c r="A514" s="44" t="n"/>
      <c r="D514" s="535" t="n"/>
      <c r="E514" s="535" t="n"/>
      <c r="F514" s="282" t="n"/>
      <c r="G514" s="282" t="n"/>
      <c r="H514" s="536" t="n"/>
      <c r="I514" s="535" t="n"/>
      <c r="J514" s="282" t="n"/>
      <c r="K514" s="282" t="n"/>
      <c r="L514" s="536" t="n"/>
      <c r="M514" s="535" t="n"/>
      <c r="N514" s="282" t="n"/>
      <c r="O514" s="282" t="n"/>
      <c r="P514" s="535" t="n"/>
      <c r="Q514" s="535" t="n"/>
      <c r="R514" s="282" t="n"/>
      <c r="S514" s="282" t="n"/>
      <c r="T514" s="535" t="n"/>
      <c r="U514" s="535" t="n"/>
      <c r="V514" s="282" t="n"/>
      <c r="W514" s="282" t="n"/>
      <c r="X514" s="536" t="n"/>
      <c r="Y514" s="536" t="n"/>
      <c r="Z514" s="282" t="n"/>
      <c r="AA514" s="282" t="n"/>
      <c r="AB514" s="536" t="n"/>
      <c r="AC514" s="536" t="n"/>
      <c r="AD514" s="282" t="n"/>
      <c r="AE514" s="282" t="n"/>
      <c r="AF514" s="537" t="n"/>
      <c r="AG514" s="537" t="n"/>
      <c r="AH514" s="282" t="n"/>
      <c r="AI514" s="282" t="n"/>
      <c r="AJ514" s="537" t="n"/>
      <c r="AK514" s="537" t="n"/>
      <c r="AL514" s="282" t="n"/>
      <c r="AM514" s="282" t="n"/>
      <c r="AN514" s="282" t="n"/>
      <c r="AO514" s="282" t="n"/>
      <c r="AP514" s="282" t="n"/>
      <c r="AQ514" s="282" t="n"/>
      <c r="AR514" s="535" t="n"/>
      <c r="AS514" s="535" t="n"/>
      <c r="AT514" s="282" t="n"/>
      <c r="AU514" s="282" t="n"/>
    </row>
    <row customHeight="1" ht="15.75" r="515" s="452" spans="1:48">
      <c r="A515" s="44" t="n"/>
      <c r="D515" s="535" t="n"/>
      <c r="E515" s="535" t="n"/>
      <c r="F515" s="282" t="n"/>
      <c r="G515" s="282" t="n"/>
      <c r="H515" s="536" t="n"/>
      <c r="I515" s="535" t="n"/>
      <c r="J515" s="282" t="n"/>
      <c r="K515" s="282" t="n"/>
      <c r="L515" s="536" t="n"/>
      <c r="M515" s="535" t="n"/>
      <c r="N515" s="282" t="n"/>
      <c r="O515" s="282" t="n"/>
      <c r="P515" s="535" t="n"/>
      <c r="Q515" s="535" t="n"/>
      <c r="R515" s="282" t="n"/>
      <c r="S515" s="282" t="n"/>
      <c r="T515" s="535" t="n"/>
      <c r="U515" s="535" t="n"/>
      <c r="V515" s="282" t="n"/>
      <c r="W515" s="282" t="n"/>
      <c r="X515" s="536" t="n"/>
      <c r="Y515" s="536" t="n"/>
      <c r="Z515" s="282" t="n"/>
      <c r="AA515" s="282" t="n"/>
      <c r="AB515" s="536" t="n"/>
      <c r="AC515" s="536" t="n"/>
      <c r="AD515" s="282" t="n"/>
      <c r="AE515" s="282" t="n"/>
      <c r="AF515" s="537" t="n"/>
      <c r="AG515" s="537" t="n"/>
      <c r="AH515" s="282" t="n"/>
      <c r="AI515" s="282" t="n"/>
      <c r="AJ515" s="537" t="n"/>
      <c r="AK515" s="537" t="n"/>
      <c r="AL515" s="282" t="n"/>
      <c r="AM515" s="282" t="n"/>
      <c r="AN515" s="282" t="n"/>
      <c r="AO515" s="282" t="n"/>
      <c r="AP515" s="282" t="n"/>
      <c r="AQ515" s="282" t="n"/>
      <c r="AR515" s="535" t="n"/>
      <c r="AS515" s="535" t="n"/>
      <c r="AT515" s="282" t="n"/>
      <c r="AU515" s="282" t="n"/>
    </row>
    <row customHeight="1" ht="15.75" r="516" s="452" spans="1:48">
      <c r="A516" s="44" t="n"/>
      <c r="D516" s="535" t="n"/>
      <c r="E516" s="535" t="n"/>
      <c r="F516" s="282" t="n"/>
      <c r="G516" s="282" t="n"/>
      <c r="H516" s="536" t="n"/>
      <c r="I516" s="535" t="n"/>
      <c r="J516" s="282" t="n"/>
      <c r="K516" s="282" t="n"/>
      <c r="L516" s="536" t="n"/>
      <c r="M516" s="535" t="n"/>
      <c r="N516" s="282" t="n"/>
      <c r="O516" s="282" t="n"/>
      <c r="P516" s="535" t="n"/>
      <c r="Q516" s="535" t="n"/>
      <c r="R516" s="282" t="n"/>
      <c r="S516" s="282" t="n"/>
      <c r="T516" s="535" t="n"/>
      <c r="U516" s="535" t="n"/>
      <c r="V516" s="282" t="n"/>
      <c r="W516" s="282" t="n"/>
      <c r="X516" s="536" t="n"/>
      <c r="Y516" s="536" t="n"/>
      <c r="Z516" s="282" t="n"/>
      <c r="AA516" s="282" t="n"/>
      <c r="AB516" s="536" t="n"/>
      <c r="AC516" s="536" t="n"/>
      <c r="AD516" s="282" t="n"/>
      <c r="AE516" s="282" t="n"/>
      <c r="AF516" s="537" t="n"/>
      <c r="AG516" s="537" t="n"/>
      <c r="AH516" s="282" t="n"/>
      <c r="AI516" s="282" t="n"/>
      <c r="AJ516" s="537" t="n"/>
      <c r="AK516" s="537" t="n"/>
      <c r="AL516" s="282" t="n"/>
      <c r="AM516" s="282" t="n"/>
      <c r="AN516" s="282" t="n"/>
      <c r="AO516" s="282" t="n"/>
      <c r="AP516" s="282" t="n"/>
      <c r="AQ516" s="282" t="n"/>
      <c r="AR516" s="535" t="n"/>
      <c r="AS516" s="535" t="n"/>
      <c r="AT516" s="282" t="n"/>
      <c r="AU516" s="282" t="n"/>
    </row>
    <row customHeight="1" ht="15.75" r="517" s="452" spans="1:48">
      <c r="A517" s="44" t="n"/>
      <c r="D517" s="535" t="n"/>
      <c r="E517" s="535" t="n"/>
      <c r="F517" s="282" t="n"/>
      <c r="G517" s="282" t="n"/>
      <c r="H517" s="536" t="n"/>
      <c r="I517" s="535" t="n"/>
      <c r="J517" s="282" t="n"/>
      <c r="K517" s="282" t="n"/>
      <c r="L517" s="536" t="n"/>
      <c r="M517" s="535" t="n"/>
      <c r="N517" s="282" t="n"/>
      <c r="O517" s="282" t="n"/>
      <c r="P517" s="535" t="n"/>
      <c r="Q517" s="535" t="n"/>
      <c r="R517" s="282" t="n"/>
      <c r="S517" s="282" t="n"/>
      <c r="T517" s="535" t="n"/>
      <c r="U517" s="535" t="n"/>
      <c r="V517" s="282" t="n"/>
      <c r="W517" s="282" t="n"/>
      <c r="X517" s="536" t="n"/>
      <c r="Y517" s="536" t="n"/>
      <c r="Z517" s="282" t="n"/>
      <c r="AA517" s="282" t="n"/>
      <c r="AB517" s="536" t="n"/>
      <c r="AC517" s="536" t="n"/>
      <c r="AD517" s="282" t="n"/>
      <c r="AE517" s="282" t="n"/>
      <c r="AF517" s="537" t="n"/>
      <c r="AG517" s="537" t="n"/>
      <c r="AH517" s="282" t="n"/>
      <c r="AI517" s="282" t="n"/>
      <c r="AJ517" s="537" t="n"/>
      <c r="AK517" s="537" t="n"/>
      <c r="AL517" s="282" t="n"/>
      <c r="AM517" s="282" t="n"/>
      <c r="AN517" s="282" t="n"/>
      <c r="AO517" s="282" t="n"/>
      <c r="AP517" s="282" t="n"/>
      <c r="AQ517" s="282" t="n"/>
      <c r="AR517" s="535" t="n"/>
      <c r="AS517" s="535" t="n"/>
      <c r="AT517" s="282" t="n"/>
      <c r="AU517" s="282" t="n"/>
    </row>
    <row customHeight="1" ht="15.75" r="518" s="452" spans="1:48">
      <c r="A518" s="44" t="n"/>
      <c r="D518" s="535" t="n"/>
      <c r="E518" s="535" t="n"/>
      <c r="F518" s="282" t="n"/>
      <c r="G518" s="282" t="n"/>
      <c r="H518" s="536" t="n"/>
      <c r="I518" s="535" t="n"/>
      <c r="J518" s="282" t="n"/>
      <c r="K518" s="282" t="n"/>
      <c r="L518" s="536" t="n"/>
      <c r="M518" s="535" t="n"/>
      <c r="N518" s="282" t="n"/>
      <c r="O518" s="282" t="n"/>
      <c r="P518" s="535" t="n"/>
      <c r="Q518" s="535" t="n"/>
      <c r="R518" s="282" t="n"/>
      <c r="S518" s="282" t="n"/>
      <c r="T518" s="535" t="n"/>
      <c r="U518" s="535" t="n"/>
      <c r="V518" s="282" t="n"/>
      <c r="W518" s="282" t="n"/>
      <c r="X518" s="536" t="n"/>
      <c r="Y518" s="536" t="n"/>
      <c r="Z518" s="282" t="n"/>
      <c r="AA518" s="282" t="n"/>
      <c r="AB518" s="536" t="n"/>
      <c r="AC518" s="536" t="n"/>
      <c r="AD518" s="282" t="n"/>
      <c r="AE518" s="282" t="n"/>
      <c r="AF518" s="537" t="n"/>
      <c r="AG518" s="537" t="n"/>
      <c r="AH518" s="282" t="n"/>
      <c r="AI518" s="282" t="n"/>
      <c r="AJ518" s="537" t="n"/>
      <c r="AK518" s="537" t="n"/>
      <c r="AL518" s="282" t="n"/>
      <c r="AM518" s="282" t="n"/>
      <c r="AN518" s="282" t="n"/>
      <c r="AO518" s="282" t="n"/>
      <c r="AP518" s="282" t="n"/>
      <c r="AQ518" s="282" t="n"/>
      <c r="AR518" s="535" t="n"/>
      <c r="AS518" s="535" t="n"/>
      <c r="AT518" s="282" t="n"/>
      <c r="AU518" s="282" t="n"/>
    </row>
    <row customHeight="1" ht="15.75" r="519" s="452" spans="1:48">
      <c r="A519" s="44" t="n"/>
      <c r="D519" s="535" t="n"/>
      <c r="E519" s="535" t="n"/>
      <c r="F519" s="282" t="n"/>
      <c r="G519" s="282" t="n"/>
      <c r="H519" s="536" t="n"/>
      <c r="I519" s="535" t="n"/>
      <c r="J519" s="282" t="n"/>
      <c r="K519" s="282" t="n"/>
      <c r="L519" s="536" t="n"/>
      <c r="M519" s="535" t="n"/>
      <c r="N519" s="282" t="n"/>
      <c r="O519" s="282" t="n"/>
      <c r="P519" s="535" t="n"/>
      <c r="Q519" s="535" t="n"/>
      <c r="R519" s="282" t="n"/>
      <c r="S519" s="282" t="n"/>
      <c r="T519" s="535" t="n"/>
      <c r="U519" s="535" t="n"/>
      <c r="V519" s="282" t="n"/>
      <c r="W519" s="282" t="n"/>
      <c r="X519" s="536" t="n"/>
      <c r="Y519" s="536" t="n"/>
      <c r="Z519" s="282" t="n"/>
      <c r="AA519" s="282" t="n"/>
      <c r="AB519" s="536" t="n"/>
      <c r="AC519" s="536" t="n"/>
      <c r="AD519" s="282" t="n"/>
      <c r="AE519" s="282" t="n"/>
      <c r="AF519" s="537" t="n"/>
      <c r="AG519" s="537" t="n"/>
      <c r="AH519" s="282" t="n"/>
      <c r="AI519" s="282" t="n"/>
      <c r="AJ519" s="537" t="n"/>
      <c r="AK519" s="537" t="n"/>
      <c r="AL519" s="282" t="n"/>
      <c r="AM519" s="282" t="n"/>
      <c r="AN519" s="282" t="n"/>
      <c r="AO519" s="282" t="n"/>
      <c r="AP519" s="282" t="n"/>
      <c r="AQ519" s="282" t="n"/>
      <c r="AR519" s="535" t="n"/>
      <c r="AS519" s="535" t="n"/>
      <c r="AT519" s="282" t="n"/>
      <c r="AU519" s="282" t="n"/>
    </row>
    <row customHeight="1" ht="15.75" r="520" s="452" spans="1:48">
      <c r="A520" s="44" t="n"/>
      <c r="D520" s="535" t="n"/>
      <c r="E520" s="535" t="n"/>
      <c r="F520" s="282" t="n"/>
      <c r="G520" s="282" t="n"/>
      <c r="H520" s="536" t="n"/>
      <c r="I520" s="535" t="n"/>
      <c r="J520" s="282" t="n"/>
      <c r="K520" s="282" t="n"/>
      <c r="L520" s="536" t="n"/>
      <c r="M520" s="535" t="n"/>
      <c r="N520" s="282" t="n"/>
      <c r="O520" s="282" t="n"/>
      <c r="P520" s="535" t="n"/>
      <c r="Q520" s="535" t="n"/>
      <c r="R520" s="282" t="n"/>
      <c r="S520" s="282" t="n"/>
      <c r="T520" s="535" t="n"/>
      <c r="U520" s="535" t="n"/>
      <c r="V520" s="282" t="n"/>
      <c r="W520" s="282" t="n"/>
      <c r="X520" s="536" t="n"/>
      <c r="Y520" s="536" t="n"/>
      <c r="Z520" s="282" t="n"/>
      <c r="AA520" s="282" t="n"/>
      <c r="AB520" s="536" t="n"/>
      <c r="AC520" s="536" t="n"/>
      <c r="AD520" s="282" t="n"/>
      <c r="AE520" s="282" t="n"/>
      <c r="AF520" s="537" t="n"/>
      <c r="AG520" s="537" t="n"/>
      <c r="AH520" s="282" t="n"/>
      <c r="AI520" s="282" t="n"/>
      <c r="AJ520" s="537" t="n"/>
      <c r="AK520" s="537" t="n"/>
      <c r="AL520" s="282" t="n"/>
      <c r="AM520" s="282" t="n"/>
      <c r="AN520" s="282" t="n"/>
      <c r="AO520" s="282" t="n"/>
      <c r="AP520" s="282" t="n"/>
      <c r="AQ520" s="282" t="n"/>
      <c r="AR520" s="535" t="n"/>
      <c r="AS520" s="535" t="n"/>
      <c r="AT520" s="282" t="n"/>
      <c r="AU520" s="282" t="n"/>
    </row>
    <row customHeight="1" ht="15.75" r="521" s="452" spans="1:48">
      <c r="A521" s="44" t="n"/>
      <c r="D521" s="535" t="n"/>
      <c r="E521" s="535" t="n"/>
      <c r="F521" s="282" t="n"/>
      <c r="G521" s="282" t="n"/>
      <c r="H521" s="536" t="n"/>
      <c r="I521" s="535" t="n"/>
      <c r="J521" s="282" t="n"/>
      <c r="K521" s="282" t="n"/>
      <c r="L521" s="536" t="n"/>
      <c r="M521" s="535" t="n"/>
      <c r="N521" s="282" t="n"/>
      <c r="O521" s="282" t="n"/>
      <c r="P521" s="535" t="n"/>
      <c r="Q521" s="535" t="n"/>
      <c r="R521" s="282" t="n"/>
      <c r="S521" s="282" t="n"/>
      <c r="T521" s="535" t="n"/>
      <c r="U521" s="535" t="n"/>
      <c r="V521" s="282" t="n"/>
      <c r="W521" s="282" t="n"/>
      <c r="X521" s="536" t="n"/>
      <c r="Y521" s="536" t="n"/>
      <c r="Z521" s="282" t="n"/>
      <c r="AA521" s="282" t="n"/>
      <c r="AB521" s="536" t="n"/>
      <c r="AC521" s="536" t="n"/>
      <c r="AD521" s="282" t="n"/>
      <c r="AE521" s="282" t="n"/>
      <c r="AF521" s="537" t="n"/>
      <c r="AG521" s="537" t="n"/>
      <c r="AH521" s="282" t="n"/>
      <c r="AI521" s="282" t="n"/>
      <c r="AJ521" s="537" t="n"/>
      <c r="AK521" s="537" t="n"/>
      <c r="AL521" s="282" t="n"/>
      <c r="AM521" s="282" t="n"/>
      <c r="AN521" s="282" t="n"/>
      <c r="AO521" s="282" t="n"/>
      <c r="AP521" s="282" t="n"/>
      <c r="AQ521" s="282" t="n"/>
      <c r="AR521" s="535" t="n"/>
      <c r="AS521" s="535" t="n"/>
      <c r="AT521" s="282" t="n"/>
      <c r="AU521" s="282" t="n"/>
    </row>
    <row customHeight="1" ht="15.75" r="522" s="452" spans="1:48">
      <c r="A522" s="44" t="n"/>
      <c r="D522" s="535" t="n"/>
      <c r="E522" s="535" t="n"/>
      <c r="F522" s="282" t="n"/>
      <c r="G522" s="282" t="n"/>
      <c r="H522" s="536" t="n"/>
      <c r="I522" s="535" t="n"/>
      <c r="J522" s="282" t="n"/>
      <c r="K522" s="282" t="n"/>
      <c r="L522" s="536" t="n"/>
      <c r="M522" s="535" t="n"/>
      <c r="N522" s="282" t="n"/>
      <c r="O522" s="282" t="n"/>
      <c r="P522" s="535" t="n"/>
      <c r="Q522" s="535" t="n"/>
      <c r="R522" s="282" t="n"/>
      <c r="S522" s="282" t="n"/>
      <c r="T522" s="535" t="n"/>
      <c r="U522" s="535" t="n"/>
      <c r="V522" s="282" t="n"/>
      <c r="W522" s="282" t="n"/>
      <c r="X522" s="536" t="n"/>
      <c r="Y522" s="536" t="n"/>
      <c r="Z522" s="282" t="n"/>
      <c r="AA522" s="282" t="n"/>
      <c r="AB522" s="536" t="n"/>
      <c r="AC522" s="536" t="n"/>
      <c r="AD522" s="282" t="n"/>
      <c r="AE522" s="282" t="n"/>
      <c r="AF522" s="537" t="n"/>
      <c r="AG522" s="537" t="n"/>
      <c r="AH522" s="282" t="n"/>
      <c r="AI522" s="282" t="n"/>
      <c r="AJ522" s="537" t="n"/>
      <c r="AK522" s="537" t="n"/>
      <c r="AL522" s="282" t="n"/>
      <c r="AM522" s="282" t="n"/>
      <c r="AN522" s="282" t="n"/>
      <c r="AO522" s="282" t="n"/>
      <c r="AP522" s="282" t="n"/>
      <c r="AQ522" s="282" t="n"/>
      <c r="AR522" s="535" t="n"/>
      <c r="AS522" s="535" t="n"/>
      <c r="AT522" s="282" t="n"/>
      <c r="AU522" s="282" t="n"/>
    </row>
    <row customHeight="1" ht="15.75" r="523" s="452" spans="1:48">
      <c r="A523" s="44" t="n"/>
      <c r="D523" s="535" t="n"/>
      <c r="E523" s="535" t="n"/>
      <c r="F523" s="282" t="n"/>
      <c r="G523" s="282" t="n"/>
      <c r="H523" s="536" t="n"/>
      <c r="I523" s="535" t="n"/>
      <c r="J523" s="282" t="n"/>
      <c r="K523" s="282" t="n"/>
      <c r="L523" s="536" t="n"/>
      <c r="M523" s="535" t="n"/>
      <c r="N523" s="282" t="n"/>
      <c r="O523" s="282" t="n"/>
      <c r="P523" s="535" t="n"/>
      <c r="Q523" s="535" t="n"/>
      <c r="R523" s="282" t="n"/>
      <c r="S523" s="282" t="n"/>
      <c r="T523" s="535" t="n"/>
      <c r="U523" s="535" t="n"/>
      <c r="V523" s="282" t="n"/>
      <c r="W523" s="282" t="n"/>
      <c r="X523" s="536" t="n"/>
      <c r="Y523" s="536" t="n"/>
      <c r="Z523" s="282" t="n"/>
      <c r="AA523" s="282" t="n"/>
      <c r="AB523" s="536" t="n"/>
      <c r="AC523" s="536" t="n"/>
      <c r="AD523" s="282" t="n"/>
      <c r="AE523" s="282" t="n"/>
      <c r="AF523" s="537" t="n"/>
      <c r="AG523" s="537" t="n"/>
      <c r="AH523" s="282" t="n"/>
      <c r="AI523" s="282" t="n"/>
      <c r="AJ523" s="537" t="n"/>
      <c r="AK523" s="537" t="n"/>
      <c r="AL523" s="282" t="n"/>
      <c r="AM523" s="282" t="n"/>
      <c r="AN523" s="282" t="n"/>
      <c r="AO523" s="282" t="n"/>
      <c r="AP523" s="282" t="n"/>
      <c r="AQ523" s="282" t="n"/>
      <c r="AR523" s="535" t="n"/>
      <c r="AS523" s="535" t="n"/>
      <c r="AT523" s="282" t="n"/>
      <c r="AU523" s="282" t="n"/>
    </row>
    <row customHeight="1" ht="15.75" r="524" s="452" spans="1:48">
      <c r="A524" s="44" t="n"/>
      <c r="D524" s="535" t="n"/>
      <c r="E524" s="535" t="n"/>
      <c r="F524" s="282" t="n"/>
      <c r="G524" s="282" t="n"/>
      <c r="H524" s="536" t="n"/>
      <c r="I524" s="535" t="n"/>
      <c r="J524" s="282" t="n"/>
      <c r="K524" s="282" t="n"/>
      <c r="L524" s="536" t="n"/>
      <c r="M524" s="535" t="n"/>
      <c r="N524" s="282" t="n"/>
      <c r="O524" s="282" t="n"/>
      <c r="P524" s="535" t="n"/>
      <c r="Q524" s="535" t="n"/>
      <c r="R524" s="282" t="n"/>
      <c r="S524" s="282" t="n"/>
      <c r="T524" s="535" t="n"/>
      <c r="U524" s="535" t="n"/>
      <c r="V524" s="282" t="n"/>
      <c r="W524" s="282" t="n"/>
      <c r="X524" s="536" t="n"/>
      <c r="Y524" s="536" t="n"/>
      <c r="Z524" s="282" t="n"/>
      <c r="AA524" s="282" t="n"/>
      <c r="AB524" s="536" t="n"/>
      <c r="AC524" s="536" t="n"/>
      <c r="AD524" s="282" t="n"/>
      <c r="AE524" s="282" t="n"/>
      <c r="AF524" s="537" t="n"/>
      <c r="AG524" s="537" t="n"/>
      <c r="AH524" s="282" t="n"/>
      <c r="AI524" s="282" t="n"/>
      <c r="AJ524" s="537" t="n"/>
      <c r="AK524" s="537" t="n"/>
      <c r="AL524" s="282" t="n"/>
      <c r="AM524" s="282" t="n"/>
      <c r="AN524" s="282" t="n"/>
      <c r="AO524" s="282" t="n"/>
      <c r="AP524" s="282" t="n"/>
      <c r="AQ524" s="282" t="n"/>
      <c r="AR524" s="535" t="n"/>
      <c r="AS524" s="535" t="n"/>
      <c r="AT524" s="282" t="n"/>
      <c r="AU524" s="282" t="n"/>
    </row>
    <row customHeight="1" ht="15.75" r="525" s="452" spans="1:48">
      <c r="A525" s="44" t="n"/>
      <c r="D525" s="535" t="n"/>
      <c r="E525" s="535" t="n"/>
      <c r="F525" s="282" t="n"/>
      <c r="G525" s="282" t="n"/>
      <c r="H525" s="536" t="n"/>
      <c r="I525" s="535" t="n"/>
      <c r="J525" s="282" t="n"/>
      <c r="K525" s="282" t="n"/>
      <c r="L525" s="536" t="n"/>
      <c r="M525" s="535" t="n"/>
      <c r="N525" s="282" t="n"/>
      <c r="O525" s="282" t="n"/>
      <c r="P525" s="535" t="n"/>
      <c r="Q525" s="535" t="n"/>
      <c r="R525" s="282" t="n"/>
      <c r="S525" s="282" t="n"/>
      <c r="T525" s="535" t="n"/>
      <c r="U525" s="535" t="n"/>
      <c r="V525" s="282" t="n"/>
      <c r="W525" s="282" t="n"/>
      <c r="X525" s="536" t="n"/>
      <c r="Y525" s="536" t="n"/>
      <c r="Z525" s="282" t="n"/>
      <c r="AA525" s="282" t="n"/>
      <c r="AB525" s="536" t="n"/>
      <c r="AC525" s="536" t="n"/>
      <c r="AD525" s="282" t="n"/>
      <c r="AE525" s="282" t="n"/>
      <c r="AF525" s="537" t="n"/>
      <c r="AG525" s="537" t="n"/>
      <c r="AH525" s="282" t="n"/>
      <c r="AI525" s="282" t="n"/>
      <c r="AJ525" s="537" t="n"/>
      <c r="AK525" s="537" t="n"/>
      <c r="AL525" s="282" t="n"/>
      <c r="AM525" s="282" t="n"/>
      <c r="AN525" s="282" t="n"/>
      <c r="AO525" s="282" t="n"/>
      <c r="AP525" s="282" t="n"/>
      <c r="AQ525" s="282" t="n"/>
      <c r="AR525" s="535" t="n"/>
      <c r="AS525" s="535" t="n"/>
      <c r="AT525" s="282" t="n"/>
      <c r="AU525" s="282" t="n"/>
    </row>
    <row customHeight="1" ht="15.75" r="526" s="452" spans="1:48">
      <c r="A526" s="44" t="n"/>
      <c r="D526" s="535" t="n"/>
      <c r="E526" s="535" t="n"/>
      <c r="F526" s="282" t="n"/>
      <c r="G526" s="282" t="n"/>
      <c r="H526" s="536" t="n"/>
      <c r="I526" s="535" t="n"/>
      <c r="J526" s="282" t="n"/>
      <c r="K526" s="282" t="n"/>
      <c r="L526" s="536" t="n"/>
      <c r="M526" s="535" t="n"/>
      <c r="N526" s="282" t="n"/>
      <c r="O526" s="282" t="n"/>
      <c r="P526" s="535" t="n"/>
      <c r="Q526" s="535" t="n"/>
      <c r="R526" s="282" t="n"/>
      <c r="S526" s="282" t="n"/>
      <c r="T526" s="535" t="n"/>
      <c r="U526" s="535" t="n"/>
      <c r="V526" s="282" t="n"/>
      <c r="W526" s="282" t="n"/>
      <c r="X526" s="536" t="n"/>
      <c r="Y526" s="536" t="n"/>
      <c r="Z526" s="282" t="n"/>
      <c r="AA526" s="282" t="n"/>
      <c r="AB526" s="536" t="n"/>
      <c r="AC526" s="536" t="n"/>
      <c r="AD526" s="282" t="n"/>
      <c r="AE526" s="282" t="n"/>
      <c r="AF526" s="537" t="n"/>
      <c r="AG526" s="537" t="n"/>
      <c r="AH526" s="282" t="n"/>
      <c r="AI526" s="282" t="n"/>
      <c r="AJ526" s="537" t="n"/>
      <c r="AK526" s="537" t="n"/>
      <c r="AL526" s="282" t="n"/>
      <c r="AM526" s="282" t="n"/>
      <c r="AN526" s="282" t="n"/>
      <c r="AO526" s="282" t="n"/>
      <c r="AP526" s="282" t="n"/>
      <c r="AQ526" s="282" t="n"/>
      <c r="AR526" s="535" t="n"/>
      <c r="AS526" s="535" t="n"/>
      <c r="AT526" s="282" t="n"/>
      <c r="AU526" s="282" t="n"/>
    </row>
    <row customHeight="1" ht="15.75" r="527" s="452" spans="1:48">
      <c r="A527" s="44" t="n"/>
      <c r="D527" s="535" t="n"/>
      <c r="E527" s="535" t="n"/>
      <c r="F527" s="282" t="n"/>
      <c r="G527" s="282" t="n"/>
      <c r="H527" s="536" t="n"/>
      <c r="I527" s="535" t="n"/>
      <c r="J527" s="282" t="n"/>
      <c r="K527" s="282" t="n"/>
      <c r="L527" s="536" t="n"/>
      <c r="M527" s="535" t="n"/>
      <c r="N527" s="282" t="n"/>
      <c r="O527" s="282" t="n"/>
      <c r="P527" s="535" t="n"/>
      <c r="Q527" s="535" t="n"/>
      <c r="R527" s="282" t="n"/>
      <c r="S527" s="282" t="n"/>
      <c r="T527" s="535" t="n"/>
      <c r="U527" s="535" t="n"/>
      <c r="V527" s="282" t="n"/>
      <c r="W527" s="282" t="n"/>
      <c r="X527" s="536" t="n"/>
      <c r="Y527" s="536" t="n"/>
      <c r="Z527" s="282" t="n"/>
      <c r="AA527" s="282" t="n"/>
      <c r="AB527" s="536" t="n"/>
      <c r="AC527" s="536" t="n"/>
      <c r="AD527" s="282" t="n"/>
      <c r="AE527" s="282" t="n"/>
      <c r="AF527" s="537" t="n"/>
      <c r="AG527" s="537" t="n"/>
      <c r="AH527" s="282" t="n"/>
      <c r="AI527" s="282" t="n"/>
      <c r="AJ527" s="537" t="n"/>
      <c r="AK527" s="537" t="n"/>
      <c r="AL527" s="282" t="n"/>
      <c r="AM527" s="282" t="n"/>
      <c r="AN527" s="282" t="n"/>
      <c r="AO527" s="282" t="n"/>
      <c r="AP527" s="282" t="n"/>
      <c r="AQ527" s="282" t="n"/>
      <c r="AR527" s="535" t="n"/>
      <c r="AS527" s="535" t="n"/>
      <c r="AT527" s="282" t="n"/>
      <c r="AU527" s="282" t="n"/>
    </row>
    <row customHeight="1" ht="15.75" r="528" s="452" spans="1:48">
      <c r="A528" s="44" t="n"/>
      <c r="D528" s="535" t="n"/>
      <c r="E528" s="535" t="n"/>
      <c r="F528" s="282" t="n"/>
      <c r="G528" s="282" t="n"/>
      <c r="H528" s="536" t="n"/>
      <c r="I528" s="535" t="n"/>
      <c r="J528" s="282" t="n"/>
      <c r="K528" s="282" t="n"/>
      <c r="L528" s="536" t="n"/>
      <c r="M528" s="535" t="n"/>
      <c r="N528" s="282" t="n"/>
      <c r="O528" s="282" t="n"/>
      <c r="P528" s="535" t="n"/>
      <c r="Q528" s="535" t="n"/>
      <c r="R528" s="282" t="n"/>
      <c r="S528" s="282" t="n"/>
      <c r="T528" s="535" t="n"/>
      <c r="U528" s="535" t="n"/>
      <c r="V528" s="282" t="n"/>
      <c r="W528" s="282" t="n"/>
      <c r="X528" s="536" t="n"/>
      <c r="Y528" s="536" t="n"/>
      <c r="Z528" s="282" t="n"/>
      <c r="AA528" s="282" t="n"/>
      <c r="AB528" s="536" t="n"/>
      <c r="AC528" s="536" t="n"/>
      <c r="AD528" s="282" t="n"/>
      <c r="AE528" s="282" t="n"/>
      <c r="AF528" s="537" t="n"/>
      <c r="AG528" s="537" t="n"/>
      <c r="AH528" s="282" t="n"/>
      <c r="AI528" s="282" t="n"/>
      <c r="AJ528" s="537" t="n"/>
      <c r="AK528" s="537" t="n"/>
      <c r="AL528" s="282" t="n"/>
      <c r="AM528" s="282" t="n"/>
      <c r="AN528" s="282" t="n"/>
      <c r="AO528" s="282" t="n"/>
      <c r="AP528" s="282" t="n"/>
      <c r="AQ528" s="282" t="n"/>
      <c r="AR528" s="535" t="n"/>
      <c r="AS528" s="535" t="n"/>
      <c r="AT528" s="282" t="n"/>
      <c r="AU528" s="282" t="n"/>
    </row>
    <row customHeight="1" ht="15.75" r="529" s="452" spans="1:48">
      <c r="A529" s="44" t="n"/>
      <c r="D529" s="535" t="n"/>
      <c r="E529" s="535" t="n"/>
      <c r="F529" s="282" t="n"/>
      <c r="G529" s="282" t="n"/>
      <c r="H529" s="536" t="n"/>
      <c r="I529" s="535" t="n"/>
      <c r="J529" s="282" t="n"/>
      <c r="K529" s="282" t="n"/>
      <c r="L529" s="536" t="n"/>
      <c r="M529" s="535" t="n"/>
      <c r="N529" s="282" t="n"/>
      <c r="O529" s="282" t="n"/>
      <c r="P529" s="535" t="n"/>
      <c r="Q529" s="535" t="n"/>
      <c r="R529" s="282" t="n"/>
      <c r="S529" s="282" t="n"/>
      <c r="T529" s="535" t="n"/>
      <c r="U529" s="535" t="n"/>
      <c r="V529" s="282" t="n"/>
      <c r="W529" s="282" t="n"/>
      <c r="X529" s="536" t="n"/>
      <c r="Y529" s="536" t="n"/>
      <c r="Z529" s="282" t="n"/>
      <c r="AA529" s="282" t="n"/>
      <c r="AB529" s="536" t="n"/>
      <c r="AC529" s="536" t="n"/>
      <c r="AD529" s="282" t="n"/>
      <c r="AE529" s="282" t="n"/>
      <c r="AF529" s="537" t="n"/>
      <c r="AG529" s="537" t="n"/>
      <c r="AH529" s="282" t="n"/>
      <c r="AI529" s="282" t="n"/>
      <c r="AJ529" s="537" t="n"/>
      <c r="AK529" s="537" t="n"/>
      <c r="AL529" s="282" t="n"/>
      <c r="AM529" s="282" t="n"/>
      <c r="AN529" s="282" t="n"/>
      <c r="AO529" s="282" t="n"/>
      <c r="AP529" s="282" t="n"/>
      <c r="AQ529" s="282" t="n"/>
      <c r="AR529" s="535" t="n"/>
      <c r="AS529" s="535" t="n"/>
      <c r="AT529" s="282" t="n"/>
      <c r="AU529" s="282" t="n"/>
    </row>
    <row customHeight="1" ht="15.75" r="530" s="452" spans="1:48">
      <c r="A530" s="44" t="n"/>
      <c r="D530" s="535" t="n"/>
      <c r="E530" s="535" t="n"/>
      <c r="F530" s="282" t="n"/>
      <c r="G530" s="282" t="n"/>
      <c r="H530" s="536" t="n"/>
      <c r="I530" s="535" t="n"/>
      <c r="J530" s="282" t="n"/>
      <c r="K530" s="282" t="n"/>
      <c r="L530" s="536" t="n"/>
      <c r="M530" s="535" t="n"/>
      <c r="N530" s="282" t="n"/>
      <c r="O530" s="282" t="n"/>
      <c r="P530" s="535" t="n"/>
      <c r="Q530" s="535" t="n"/>
      <c r="R530" s="282" t="n"/>
      <c r="S530" s="282" t="n"/>
      <c r="T530" s="535" t="n"/>
      <c r="U530" s="535" t="n"/>
      <c r="V530" s="282" t="n"/>
      <c r="W530" s="282" t="n"/>
      <c r="X530" s="536" t="n"/>
      <c r="Y530" s="536" t="n"/>
      <c r="Z530" s="282" t="n"/>
      <c r="AA530" s="282" t="n"/>
      <c r="AB530" s="536" t="n"/>
      <c r="AC530" s="536" t="n"/>
      <c r="AD530" s="282" t="n"/>
      <c r="AE530" s="282" t="n"/>
      <c r="AF530" s="537" t="n"/>
      <c r="AG530" s="537" t="n"/>
      <c r="AH530" s="282" t="n"/>
      <c r="AI530" s="282" t="n"/>
      <c r="AJ530" s="537" t="n"/>
      <c r="AK530" s="537" t="n"/>
      <c r="AL530" s="282" t="n"/>
      <c r="AM530" s="282" t="n"/>
      <c r="AN530" s="282" t="n"/>
      <c r="AO530" s="282" t="n"/>
      <c r="AP530" s="282" t="n"/>
      <c r="AQ530" s="282" t="n"/>
      <c r="AR530" s="535" t="n"/>
      <c r="AS530" s="535" t="n"/>
      <c r="AT530" s="282" t="n"/>
      <c r="AU530" s="282" t="n"/>
    </row>
    <row customHeight="1" ht="15.75" r="531" s="452" spans="1:48">
      <c r="A531" s="44" t="n"/>
      <c r="D531" s="535" t="n"/>
      <c r="E531" s="535" t="n"/>
      <c r="F531" s="282" t="n"/>
      <c r="G531" s="282" t="n"/>
      <c r="H531" s="536" t="n"/>
      <c r="I531" s="535" t="n"/>
      <c r="J531" s="282" t="n"/>
      <c r="K531" s="282" t="n"/>
      <c r="L531" s="536" t="n"/>
      <c r="M531" s="535" t="n"/>
      <c r="N531" s="282" t="n"/>
      <c r="O531" s="282" t="n"/>
      <c r="P531" s="535" t="n"/>
      <c r="Q531" s="535" t="n"/>
      <c r="R531" s="282" t="n"/>
      <c r="S531" s="282" t="n"/>
      <c r="T531" s="535" t="n"/>
      <c r="U531" s="535" t="n"/>
      <c r="V531" s="282" t="n"/>
      <c r="W531" s="282" t="n"/>
      <c r="X531" s="536" t="n"/>
      <c r="Y531" s="536" t="n"/>
      <c r="Z531" s="282" t="n"/>
      <c r="AA531" s="282" t="n"/>
      <c r="AB531" s="536" t="n"/>
      <c r="AC531" s="536" t="n"/>
      <c r="AD531" s="282" t="n"/>
      <c r="AE531" s="282" t="n"/>
      <c r="AF531" s="537" t="n"/>
      <c r="AG531" s="537" t="n"/>
      <c r="AH531" s="282" t="n"/>
      <c r="AI531" s="282" t="n"/>
      <c r="AJ531" s="537" t="n"/>
      <c r="AK531" s="537" t="n"/>
      <c r="AL531" s="282" t="n"/>
      <c r="AM531" s="282" t="n"/>
      <c r="AN531" s="282" t="n"/>
      <c r="AO531" s="282" t="n"/>
      <c r="AP531" s="282" t="n"/>
      <c r="AQ531" s="282" t="n"/>
      <c r="AR531" s="535" t="n"/>
      <c r="AS531" s="535" t="n"/>
      <c r="AT531" s="282" t="n"/>
      <c r="AU531" s="282" t="n"/>
    </row>
    <row customHeight="1" ht="15.75" r="532" s="452" spans="1:48">
      <c r="A532" s="44" t="n"/>
      <c r="D532" s="535" t="n"/>
      <c r="E532" s="535" t="n"/>
      <c r="F532" s="282" t="n"/>
      <c r="G532" s="282" t="n"/>
      <c r="H532" s="536" t="n"/>
      <c r="I532" s="535" t="n"/>
      <c r="J532" s="282" t="n"/>
      <c r="K532" s="282" t="n"/>
      <c r="L532" s="536" t="n"/>
      <c r="M532" s="535" t="n"/>
      <c r="N532" s="282" t="n"/>
      <c r="O532" s="282" t="n"/>
      <c r="P532" s="535" t="n"/>
      <c r="Q532" s="535" t="n"/>
      <c r="R532" s="282" t="n"/>
      <c r="S532" s="282" t="n"/>
      <c r="T532" s="535" t="n"/>
      <c r="U532" s="535" t="n"/>
      <c r="V532" s="282" t="n"/>
      <c r="W532" s="282" t="n"/>
      <c r="X532" s="536" t="n"/>
      <c r="Y532" s="536" t="n"/>
      <c r="Z532" s="282" t="n"/>
      <c r="AA532" s="282" t="n"/>
      <c r="AB532" s="536" t="n"/>
      <c r="AC532" s="536" t="n"/>
      <c r="AD532" s="282" t="n"/>
      <c r="AE532" s="282" t="n"/>
      <c r="AF532" s="537" t="n"/>
      <c r="AG532" s="537" t="n"/>
      <c r="AH532" s="282" t="n"/>
      <c r="AI532" s="282" t="n"/>
      <c r="AJ532" s="537" t="n"/>
      <c r="AK532" s="537" t="n"/>
      <c r="AL532" s="282" t="n"/>
      <c r="AM532" s="282" t="n"/>
      <c r="AN532" s="282" t="n"/>
      <c r="AO532" s="282" t="n"/>
      <c r="AP532" s="282" t="n"/>
      <c r="AQ532" s="282" t="n"/>
      <c r="AR532" s="535" t="n"/>
      <c r="AS532" s="535" t="n"/>
      <c r="AT532" s="282" t="n"/>
      <c r="AU532" s="282" t="n"/>
    </row>
    <row customHeight="1" ht="15.75" r="533" s="452" spans="1:48">
      <c r="A533" s="44" t="n"/>
      <c r="D533" s="535" t="n"/>
      <c r="E533" s="535" t="n"/>
      <c r="F533" s="282" t="n"/>
      <c r="G533" s="282" t="n"/>
      <c r="H533" s="536" t="n"/>
      <c r="I533" s="535" t="n"/>
      <c r="J533" s="282" t="n"/>
      <c r="K533" s="282" t="n"/>
      <c r="L533" s="536" t="n"/>
      <c r="M533" s="535" t="n"/>
      <c r="N533" s="282" t="n"/>
      <c r="O533" s="282" t="n"/>
      <c r="P533" s="535" t="n"/>
      <c r="Q533" s="535" t="n"/>
      <c r="R533" s="282" t="n"/>
      <c r="S533" s="282" t="n"/>
      <c r="T533" s="535" t="n"/>
      <c r="U533" s="535" t="n"/>
      <c r="V533" s="282" t="n"/>
      <c r="W533" s="282" t="n"/>
      <c r="X533" s="536" t="n"/>
      <c r="Y533" s="536" t="n"/>
      <c r="Z533" s="282" t="n"/>
      <c r="AA533" s="282" t="n"/>
      <c r="AB533" s="536" t="n"/>
      <c r="AC533" s="536" t="n"/>
      <c r="AD533" s="282" t="n"/>
      <c r="AE533" s="282" t="n"/>
      <c r="AF533" s="537" t="n"/>
      <c r="AG533" s="537" t="n"/>
      <c r="AH533" s="282" t="n"/>
      <c r="AI533" s="282" t="n"/>
      <c r="AJ533" s="537" t="n"/>
      <c r="AK533" s="537" t="n"/>
      <c r="AL533" s="282" t="n"/>
      <c r="AM533" s="282" t="n"/>
      <c r="AN533" s="282" t="n"/>
      <c r="AO533" s="282" t="n"/>
      <c r="AP533" s="282" t="n"/>
      <c r="AQ533" s="282" t="n"/>
      <c r="AR533" s="535" t="n"/>
      <c r="AS533" s="535" t="n"/>
      <c r="AT533" s="282" t="n"/>
      <c r="AU533" s="282" t="n"/>
    </row>
    <row customHeight="1" ht="15.75" r="534" s="452" spans="1:48">
      <c r="A534" s="44" t="n"/>
      <c r="D534" s="535" t="n"/>
      <c r="E534" s="535" t="n"/>
      <c r="F534" s="282" t="n"/>
      <c r="G534" s="282" t="n"/>
      <c r="H534" s="536" t="n"/>
      <c r="I534" s="535" t="n"/>
      <c r="J534" s="282" t="n"/>
      <c r="K534" s="282" t="n"/>
      <c r="L534" s="536" t="n"/>
      <c r="M534" s="535" t="n"/>
      <c r="N534" s="282" t="n"/>
      <c r="O534" s="282" t="n"/>
      <c r="P534" s="535" t="n"/>
      <c r="Q534" s="535" t="n"/>
      <c r="R534" s="282" t="n"/>
      <c r="S534" s="282" t="n"/>
      <c r="T534" s="535" t="n"/>
      <c r="U534" s="535" t="n"/>
      <c r="V534" s="282" t="n"/>
      <c r="W534" s="282" t="n"/>
      <c r="X534" s="536" t="n"/>
      <c r="Y534" s="536" t="n"/>
      <c r="Z534" s="282" t="n"/>
      <c r="AA534" s="282" t="n"/>
      <c r="AB534" s="536" t="n"/>
      <c r="AC534" s="536" t="n"/>
      <c r="AD534" s="282" t="n"/>
      <c r="AE534" s="282" t="n"/>
      <c r="AF534" s="537" t="n"/>
      <c r="AG534" s="537" t="n"/>
      <c r="AH534" s="282" t="n"/>
      <c r="AI534" s="282" t="n"/>
      <c r="AJ534" s="537" t="n"/>
      <c r="AK534" s="537" t="n"/>
      <c r="AL534" s="282" t="n"/>
      <c r="AM534" s="282" t="n"/>
      <c r="AN534" s="282" t="n"/>
      <c r="AO534" s="282" t="n"/>
      <c r="AP534" s="282" t="n"/>
      <c r="AQ534" s="282" t="n"/>
      <c r="AR534" s="535" t="n"/>
      <c r="AS534" s="535" t="n"/>
      <c r="AT534" s="282" t="n"/>
      <c r="AU534" s="282" t="n"/>
    </row>
    <row customHeight="1" ht="15.75" r="535" s="452" spans="1:48">
      <c r="A535" s="44" t="n"/>
      <c r="D535" s="535" t="n"/>
      <c r="E535" s="535" t="n"/>
      <c r="F535" s="282" t="n"/>
      <c r="G535" s="282" t="n"/>
      <c r="H535" s="536" t="n"/>
      <c r="I535" s="535" t="n"/>
      <c r="J535" s="282" t="n"/>
      <c r="K535" s="282" t="n"/>
      <c r="L535" s="536" t="n"/>
      <c r="M535" s="535" t="n"/>
      <c r="N535" s="282" t="n"/>
      <c r="O535" s="282" t="n"/>
      <c r="P535" s="535" t="n"/>
      <c r="Q535" s="535" t="n"/>
      <c r="R535" s="282" t="n"/>
      <c r="S535" s="282" t="n"/>
      <c r="T535" s="535" t="n"/>
      <c r="U535" s="535" t="n"/>
      <c r="V535" s="282" t="n"/>
      <c r="W535" s="282" t="n"/>
      <c r="X535" s="536" t="n"/>
      <c r="Y535" s="536" t="n"/>
      <c r="Z535" s="282" t="n"/>
      <c r="AA535" s="282" t="n"/>
      <c r="AB535" s="536" t="n"/>
      <c r="AC535" s="536" t="n"/>
      <c r="AD535" s="282" t="n"/>
      <c r="AE535" s="282" t="n"/>
      <c r="AF535" s="537" t="n"/>
      <c r="AG535" s="537" t="n"/>
      <c r="AH535" s="282" t="n"/>
      <c r="AI535" s="282" t="n"/>
      <c r="AJ535" s="537" t="n"/>
      <c r="AK535" s="537" t="n"/>
      <c r="AL535" s="282" t="n"/>
      <c r="AM535" s="282" t="n"/>
      <c r="AN535" s="282" t="n"/>
      <c r="AO535" s="282" t="n"/>
      <c r="AP535" s="282" t="n"/>
      <c r="AQ535" s="282" t="n"/>
      <c r="AR535" s="535" t="n"/>
      <c r="AS535" s="535" t="n"/>
      <c r="AT535" s="282" t="n"/>
      <c r="AU535" s="282" t="n"/>
    </row>
    <row customHeight="1" ht="15.75" r="536" s="452" spans="1:48">
      <c r="A536" s="44" t="n"/>
      <c r="D536" s="535" t="n"/>
      <c r="E536" s="535" t="n"/>
      <c r="F536" s="282" t="n"/>
      <c r="G536" s="282" t="n"/>
      <c r="H536" s="536" t="n"/>
      <c r="I536" s="535" t="n"/>
      <c r="J536" s="282" t="n"/>
      <c r="K536" s="282" t="n"/>
      <c r="L536" s="536" t="n"/>
      <c r="M536" s="535" t="n"/>
      <c r="N536" s="282" t="n"/>
      <c r="O536" s="282" t="n"/>
      <c r="P536" s="535" t="n"/>
      <c r="Q536" s="535" t="n"/>
      <c r="R536" s="282" t="n"/>
      <c r="S536" s="282" t="n"/>
      <c r="T536" s="535" t="n"/>
      <c r="U536" s="535" t="n"/>
      <c r="V536" s="282" t="n"/>
      <c r="W536" s="282" t="n"/>
      <c r="X536" s="536" t="n"/>
      <c r="Y536" s="536" t="n"/>
      <c r="Z536" s="282" t="n"/>
      <c r="AA536" s="282" t="n"/>
      <c r="AB536" s="536" t="n"/>
      <c r="AC536" s="536" t="n"/>
      <c r="AD536" s="282" t="n"/>
      <c r="AE536" s="282" t="n"/>
      <c r="AF536" s="537" t="n"/>
      <c r="AG536" s="537" t="n"/>
      <c r="AH536" s="282" t="n"/>
      <c r="AI536" s="282" t="n"/>
      <c r="AJ536" s="537" t="n"/>
      <c r="AK536" s="537" t="n"/>
      <c r="AL536" s="282" t="n"/>
      <c r="AM536" s="282" t="n"/>
      <c r="AN536" s="282" t="n"/>
      <c r="AO536" s="282" t="n"/>
      <c r="AP536" s="282" t="n"/>
      <c r="AQ536" s="282" t="n"/>
      <c r="AR536" s="535" t="n"/>
      <c r="AS536" s="535" t="n"/>
      <c r="AT536" s="282" t="n"/>
      <c r="AU536" s="282" t="n"/>
    </row>
    <row customHeight="1" ht="15.75" r="537" s="452" spans="1:48">
      <c r="A537" s="44" t="n"/>
      <c r="D537" s="535" t="n"/>
      <c r="E537" s="535" t="n"/>
      <c r="F537" s="282" t="n"/>
      <c r="G537" s="282" t="n"/>
      <c r="H537" s="536" t="n"/>
      <c r="I537" s="535" t="n"/>
      <c r="J537" s="282" t="n"/>
      <c r="K537" s="282" t="n"/>
      <c r="L537" s="536" t="n"/>
      <c r="M537" s="535" t="n"/>
      <c r="N537" s="282" t="n"/>
      <c r="O537" s="282" t="n"/>
      <c r="P537" s="535" t="n"/>
      <c r="Q537" s="535" t="n"/>
      <c r="R537" s="282" t="n"/>
      <c r="S537" s="282" t="n"/>
      <c r="T537" s="535" t="n"/>
      <c r="U537" s="535" t="n"/>
      <c r="V537" s="282" t="n"/>
      <c r="W537" s="282" t="n"/>
      <c r="X537" s="536" t="n"/>
      <c r="Y537" s="536" t="n"/>
      <c r="Z537" s="282" t="n"/>
      <c r="AA537" s="282" t="n"/>
      <c r="AB537" s="536" t="n"/>
      <c r="AC537" s="536" t="n"/>
      <c r="AD537" s="282" t="n"/>
      <c r="AE537" s="282" t="n"/>
      <c r="AF537" s="537" t="n"/>
      <c r="AG537" s="537" t="n"/>
      <c r="AH537" s="282" t="n"/>
      <c r="AI537" s="282" t="n"/>
      <c r="AJ537" s="537" t="n"/>
      <c r="AK537" s="537" t="n"/>
      <c r="AL537" s="282" t="n"/>
      <c r="AM537" s="282" t="n"/>
      <c r="AN537" s="282" t="n"/>
      <c r="AO537" s="282" t="n"/>
      <c r="AP537" s="282" t="n"/>
      <c r="AQ537" s="282" t="n"/>
      <c r="AR537" s="535" t="n"/>
      <c r="AS537" s="535" t="n"/>
      <c r="AT537" s="282" t="n"/>
      <c r="AU537" s="282" t="n"/>
    </row>
    <row customHeight="1" ht="15.75" r="538" s="452" spans="1:48">
      <c r="A538" s="44" t="n"/>
      <c r="D538" s="535" t="n"/>
      <c r="E538" s="535" t="n"/>
      <c r="F538" s="282" t="n"/>
      <c r="G538" s="282" t="n"/>
      <c r="H538" s="536" t="n"/>
      <c r="I538" s="535" t="n"/>
      <c r="J538" s="282" t="n"/>
      <c r="K538" s="282" t="n"/>
      <c r="L538" s="536" t="n"/>
      <c r="M538" s="535" t="n"/>
      <c r="N538" s="282" t="n"/>
      <c r="O538" s="282" t="n"/>
      <c r="P538" s="535" t="n"/>
      <c r="Q538" s="535" t="n"/>
      <c r="R538" s="282" t="n"/>
      <c r="S538" s="282" t="n"/>
      <c r="T538" s="535" t="n"/>
      <c r="U538" s="535" t="n"/>
      <c r="V538" s="282" t="n"/>
      <c r="W538" s="282" t="n"/>
      <c r="X538" s="536" t="n"/>
      <c r="Y538" s="536" t="n"/>
      <c r="Z538" s="282" t="n"/>
      <c r="AA538" s="282" t="n"/>
      <c r="AB538" s="536" t="n"/>
      <c r="AC538" s="536" t="n"/>
      <c r="AD538" s="282" t="n"/>
      <c r="AE538" s="282" t="n"/>
      <c r="AF538" s="537" t="n"/>
      <c r="AG538" s="537" t="n"/>
      <c r="AH538" s="282" t="n"/>
      <c r="AI538" s="282" t="n"/>
      <c r="AJ538" s="537" t="n"/>
      <c r="AK538" s="537" t="n"/>
      <c r="AL538" s="282" t="n"/>
      <c r="AM538" s="282" t="n"/>
      <c r="AN538" s="282" t="n"/>
      <c r="AO538" s="282" t="n"/>
      <c r="AP538" s="282" t="n"/>
      <c r="AQ538" s="282" t="n"/>
      <c r="AR538" s="535" t="n"/>
      <c r="AS538" s="535" t="n"/>
      <c r="AT538" s="282" t="n"/>
      <c r="AU538" s="282" t="n"/>
    </row>
    <row customHeight="1" ht="15.75" r="539" s="452" spans="1:48">
      <c r="A539" s="44" t="n"/>
      <c r="D539" s="535" t="n"/>
      <c r="E539" s="535" t="n"/>
      <c r="F539" s="282" t="n"/>
      <c r="G539" s="282" t="n"/>
      <c r="H539" s="536" t="n"/>
      <c r="I539" s="535" t="n"/>
      <c r="J539" s="282" t="n"/>
      <c r="K539" s="282" t="n"/>
      <c r="L539" s="536" t="n"/>
      <c r="M539" s="535" t="n"/>
      <c r="N539" s="282" t="n"/>
      <c r="O539" s="282" t="n"/>
      <c r="P539" s="535" t="n"/>
      <c r="Q539" s="535" t="n"/>
      <c r="R539" s="282" t="n"/>
      <c r="S539" s="282" t="n"/>
      <c r="T539" s="535" t="n"/>
      <c r="U539" s="535" t="n"/>
      <c r="V539" s="282" t="n"/>
      <c r="W539" s="282" t="n"/>
      <c r="X539" s="536" t="n"/>
      <c r="Y539" s="536" t="n"/>
      <c r="Z539" s="282" t="n"/>
      <c r="AA539" s="282" t="n"/>
      <c r="AB539" s="536" t="n"/>
      <c r="AC539" s="536" t="n"/>
      <c r="AD539" s="282" t="n"/>
      <c r="AE539" s="282" t="n"/>
      <c r="AF539" s="537" t="n"/>
      <c r="AG539" s="537" t="n"/>
      <c r="AH539" s="282" t="n"/>
      <c r="AI539" s="282" t="n"/>
      <c r="AJ539" s="537" t="n"/>
      <c r="AK539" s="537" t="n"/>
      <c r="AL539" s="282" t="n"/>
      <c r="AM539" s="282" t="n"/>
      <c r="AN539" s="282" t="n"/>
      <c r="AO539" s="282" t="n"/>
      <c r="AP539" s="282" t="n"/>
      <c r="AQ539" s="282" t="n"/>
      <c r="AR539" s="535" t="n"/>
      <c r="AS539" s="535" t="n"/>
      <c r="AT539" s="282" t="n"/>
      <c r="AU539" s="282" t="n"/>
    </row>
    <row customHeight="1" ht="15.75" r="540" s="452" spans="1:48">
      <c r="A540" s="44" t="n"/>
      <c r="D540" s="535" t="n"/>
      <c r="E540" s="535" t="n"/>
      <c r="F540" s="282" t="n"/>
      <c r="G540" s="282" t="n"/>
      <c r="H540" s="536" t="n"/>
      <c r="I540" s="535" t="n"/>
      <c r="J540" s="282" t="n"/>
      <c r="K540" s="282" t="n"/>
      <c r="L540" s="536" t="n"/>
      <c r="M540" s="535" t="n"/>
      <c r="N540" s="282" t="n"/>
      <c r="O540" s="282" t="n"/>
      <c r="P540" s="535" t="n"/>
      <c r="Q540" s="535" t="n"/>
      <c r="R540" s="282" t="n"/>
      <c r="S540" s="282" t="n"/>
      <c r="T540" s="535" t="n"/>
      <c r="U540" s="535" t="n"/>
      <c r="V540" s="282" t="n"/>
      <c r="W540" s="282" t="n"/>
      <c r="X540" s="536" t="n"/>
      <c r="Y540" s="536" t="n"/>
      <c r="Z540" s="282" t="n"/>
      <c r="AA540" s="282" t="n"/>
      <c r="AB540" s="536" t="n"/>
      <c r="AC540" s="536" t="n"/>
      <c r="AD540" s="282" t="n"/>
      <c r="AE540" s="282" t="n"/>
      <c r="AF540" s="537" t="n"/>
      <c r="AG540" s="537" t="n"/>
      <c r="AH540" s="282" t="n"/>
      <c r="AI540" s="282" t="n"/>
      <c r="AJ540" s="537" t="n"/>
      <c r="AK540" s="537" t="n"/>
      <c r="AL540" s="282" t="n"/>
      <c r="AM540" s="282" t="n"/>
      <c r="AN540" s="282" t="n"/>
      <c r="AO540" s="282" t="n"/>
      <c r="AP540" s="282" t="n"/>
      <c r="AQ540" s="282" t="n"/>
      <c r="AR540" s="535" t="n"/>
      <c r="AS540" s="535" t="n"/>
      <c r="AT540" s="282" t="n"/>
      <c r="AU540" s="282" t="n"/>
    </row>
    <row customHeight="1" ht="15.75" r="541" s="452" spans="1:48">
      <c r="A541" s="44" t="n"/>
      <c r="D541" s="535" t="n"/>
      <c r="E541" s="535" t="n"/>
      <c r="F541" s="282" t="n"/>
      <c r="G541" s="282" t="n"/>
      <c r="H541" s="536" t="n"/>
      <c r="I541" s="535" t="n"/>
      <c r="J541" s="282" t="n"/>
      <c r="K541" s="282" t="n"/>
      <c r="L541" s="536" t="n"/>
      <c r="M541" s="535" t="n"/>
      <c r="N541" s="282" t="n"/>
      <c r="O541" s="282" t="n"/>
      <c r="P541" s="535" t="n"/>
      <c r="Q541" s="535" t="n"/>
      <c r="R541" s="282" t="n"/>
      <c r="S541" s="282" t="n"/>
      <c r="T541" s="535" t="n"/>
      <c r="U541" s="535" t="n"/>
      <c r="V541" s="282" t="n"/>
      <c r="W541" s="282" t="n"/>
      <c r="X541" s="536" t="n"/>
      <c r="Y541" s="536" t="n"/>
      <c r="Z541" s="282" t="n"/>
      <c r="AA541" s="282" t="n"/>
      <c r="AB541" s="536" t="n"/>
      <c r="AC541" s="536" t="n"/>
      <c r="AD541" s="282" t="n"/>
      <c r="AE541" s="282" t="n"/>
      <c r="AF541" s="537" t="n"/>
      <c r="AG541" s="537" t="n"/>
      <c r="AH541" s="282" t="n"/>
      <c r="AI541" s="282" t="n"/>
      <c r="AJ541" s="537" t="n"/>
      <c r="AK541" s="537" t="n"/>
      <c r="AL541" s="282" t="n"/>
      <c r="AM541" s="282" t="n"/>
      <c r="AN541" s="282" t="n"/>
      <c r="AO541" s="282" t="n"/>
      <c r="AP541" s="282" t="n"/>
      <c r="AQ541" s="282" t="n"/>
      <c r="AR541" s="535" t="n"/>
      <c r="AS541" s="535" t="n"/>
      <c r="AT541" s="282" t="n"/>
      <c r="AU541" s="282" t="n"/>
    </row>
    <row customHeight="1" ht="15.75" r="542" s="452" spans="1:48">
      <c r="A542" s="44" t="n"/>
      <c r="D542" s="535" t="n"/>
      <c r="E542" s="535" t="n"/>
      <c r="F542" s="282" t="n"/>
      <c r="G542" s="282" t="n"/>
      <c r="H542" s="536" t="n"/>
      <c r="I542" s="535" t="n"/>
      <c r="J542" s="282" t="n"/>
      <c r="K542" s="282" t="n"/>
      <c r="L542" s="536" t="n"/>
      <c r="M542" s="535" t="n"/>
      <c r="N542" s="282" t="n"/>
      <c r="O542" s="282" t="n"/>
      <c r="P542" s="535" t="n"/>
      <c r="Q542" s="535" t="n"/>
      <c r="R542" s="282" t="n"/>
      <c r="S542" s="282" t="n"/>
      <c r="T542" s="535" t="n"/>
      <c r="U542" s="535" t="n"/>
      <c r="V542" s="282" t="n"/>
      <c r="W542" s="282" t="n"/>
      <c r="X542" s="536" t="n"/>
      <c r="Y542" s="536" t="n"/>
      <c r="Z542" s="282" t="n"/>
      <c r="AA542" s="282" t="n"/>
      <c r="AB542" s="536" t="n"/>
      <c r="AC542" s="536" t="n"/>
      <c r="AD542" s="282" t="n"/>
      <c r="AE542" s="282" t="n"/>
      <c r="AF542" s="537" t="n"/>
      <c r="AG542" s="537" t="n"/>
      <c r="AH542" s="282" t="n"/>
      <c r="AI542" s="282" t="n"/>
      <c r="AJ542" s="537" t="n"/>
      <c r="AK542" s="537" t="n"/>
      <c r="AL542" s="282" t="n"/>
      <c r="AM542" s="282" t="n"/>
      <c r="AN542" s="282" t="n"/>
      <c r="AO542" s="282" t="n"/>
      <c r="AP542" s="282" t="n"/>
      <c r="AQ542" s="282" t="n"/>
      <c r="AR542" s="535" t="n"/>
      <c r="AS542" s="535" t="n"/>
      <c r="AT542" s="282" t="n"/>
      <c r="AU542" s="282" t="n"/>
    </row>
    <row customHeight="1" ht="15.75" r="543" s="452" spans="1:48">
      <c r="A543" s="44" t="n"/>
      <c r="D543" s="535" t="n"/>
      <c r="E543" s="535" t="n"/>
      <c r="F543" s="282" t="n"/>
      <c r="G543" s="282" t="n"/>
      <c r="H543" s="536" t="n"/>
      <c r="I543" s="535" t="n"/>
      <c r="J543" s="282" t="n"/>
      <c r="K543" s="282" t="n"/>
      <c r="L543" s="536" t="n"/>
      <c r="M543" s="535" t="n"/>
      <c r="N543" s="282" t="n"/>
      <c r="O543" s="282" t="n"/>
      <c r="P543" s="535" t="n"/>
      <c r="Q543" s="535" t="n"/>
      <c r="R543" s="282" t="n"/>
      <c r="S543" s="282" t="n"/>
      <c r="T543" s="535" t="n"/>
      <c r="U543" s="535" t="n"/>
      <c r="V543" s="282" t="n"/>
      <c r="W543" s="282" t="n"/>
      <c r="X543" s="536" t="n"/>
      <c r="Y543" s="536" t="n"/>
      <c r="Z543" s="282" t="n"/>
      <c r="AA543" s="282" t="n"/>
      <c r="AB543" s="536" t="n"/>
      <c r="AC543" s="536" t="n"/>
      <c r="AD543" s="282" t="n"/>
      <c r="AE543" s="282" t="n"/>
      <c r="AF543" s="537" t="n"/>
      <c r="AG543" s="537" t="n"/>
      <c r="AH543" s="282" t="n"/>
      <c r="AI543" s="282" t="n"/>
      <c r="AJ543" s="537" t="n"/>
      <c r="AK543" s="537" t="n"/>
      <c r="AL543" s="282" t="n"/>
      <c r="AM543" s="282" t="n"/>
      <c r="AN543" s="282" t="n"/>
      <c r="AO543" s="282" t="n"/>
      <c r="AP543" s="282" t="n"/>
      <c r="AQ543" s="282" t="n"/>
      <c r="AR543" s="535" t="n"/>
      <c r="AS543" s="535" t="n"/>
      <c r="AT543" s="282" t="n"/>
      <c r="AU543" s="282" t="n"/>
    </row>
    <row customHeight="1" ht="15.75" r="544" s="452" spans="1:48">
      <c r="A544" s="44" t="n"/>
      <c r="D544" s="535" t="n"/>
      <c r="E544" s="535" t="n"/>
      <c r="F544" s="282" t="n"/>
      <c r="G544" s="282" t="n"/>
      <c r="H544" s="536" t="n"/>
      <c r="I544" s="535" t="n"/>
      <c r="J544" s="282" t="n"/>
      <c r="K544" s="282" t="n"/>
      <c r="L544" s="536" t="n"/>
      <c r="M544" s="535" t="n"/>
      <c r="N544" s="282" t="n"/>
      <c r="O544" s="282" t="n"/>
      <c r="P544" s="535" t="n"/>
      <c r="Q544" s="535" t="n"/>
      <c r="R544" s="282" t="n"/>
      <c r="S544" s="282" t="n"/>
      <c r="T544" s="535" t="n"/>
      <c r="U544" s="535" t="n"/>
      <c r="V544" s="282" t="n"/>
      <c r="W544" s="282" t="n"/>
      <c r="X544" s="536" t="n"/>
      <c r="Y544" s="536" t="n"/>
      <c r="Z544" s="282" t="n"/>
      <c r="AA544" s="282" t="n"/>
      <c r="AB544" s="536" t="n"/>
      <c r="AC544" s="536" t="n"/>
      <c r="AD544" s="282" t="n"/>
      <c r="AE544" s="282" t="n"/>
      <c r="AF544" s="537" t="n"/>
      <c r="AG544" s="537" t="n"/>
      <c r="AH544" s="282" t="n"/>
      <c r="AI544" s="282" t="n"/>
      <c r="AJ544" s="537" t="n"/>
      <c r="AK544" s="537" t="n"/>
      <c r="AL544" s="282" t="n"/>
      <c r="AM544" s="282" t="n"/>
      <c r="AN544" s="282" t="n"/>
      <c r="AO544" s="282" t="n"/>
      <c r="AP544" s="282" t="n"/>
      <c r="AQ544" s="282" t="n"/>
      <c r="AR544" s="535" t="n"/>
      <c r="AS544" s="535" t="n"/>
      <c r="AT544" s="282" t="n"/>
      <c r="AU544" s="282" t="n"/>
    </row>
    <row customHeight="1" ht="15.75" r="545" s="452" spans="1:48">
      <c r="A545" s="44" t="n"/>
      <c r="D545" s="535" t="n"/>
      <c r="E545" s="535" t="n"/>
      <c r="F545" s="282" t="n"/>
      <c r="G545" s="282" t="n"/>
      <c r="H545" s="536" t="n"/>
      <c r="I545" s="535" t="n"/>
      <c r="J545" s="282" t="n"/>
      <c r="K545" s="282" t="n"/>
      <c r="L545" s="536" t="n"/>
      <c r="M545" s="535" t="n"/>
      <c r="N545" s="282" t="n"/>
      <c r="O545" s="282" t="n"/>
      <c r="P545" s="535" t="n"/>
      <c r="Q545" s="535" t="n"/>
      <c r="R545" s="282" t="n"/>
      <c r="S545" s="282" t="n"/>
      <c r="T545" s="535" t="n"/>
      <c r="U545" s="535" t="n"/>
      <c r="V545" s="282" t="n"/>
      <c r="W545" s="282" t="n"/>
      <c r="X545" s="536" t="n"/>
      <c r="Y545" s="536" t="n"/>
      <c r="Z545" s="282" t="n"/>
      <c r="AA545" s="282" t="n"/>
      <c r="AB545" s="536" t="n"/>
      <c r="AC545" s="536" t="n"/>
      <c r="AD545" s="282" t="n"/>
      <c r="AE545" s="282" t="n"/>
      <c r="AF545" s="537" t="n"/>
      <c r="AG545" s="537" t="n"/>
      <c r="AH545" s="282" t="n"/>
      <c r="AI545" s="282" t="n"/>
      <c r="AJ545" s="537" t="n"/>
      <c r="AK545" s="537" t="n"/>
      <c r="AL545" s="282" t="n"/>
      <c r="AM545" s="282" t="n"/>
      <c r="AN545" s="282" t="n"/>
      <c r="AO545" s="282" t="n"/>
      <c r="AP545" s="282" t="n"/>
      <c r="AQ545" s="282" t="n"/>
      <c r="AR545" s="535" t="n"/>
      <c r="AS545" s="535" t="n"/>
      <c r="AT545" s="282" t="n"/>
      <c r="AU545" s="282" t="n"/>
    </row>
    <row customHeight="1" ht="15.75" r="546" s="452" spans="1:48">
      <c r="A546" s="44" t="n"/>
      <c r="D546" s="535" t="n"/>
      <c r="E546" s="535" t="n"/>
      <c r="F546" s="282" t="n"/>
      <c r="G546" s="282" t="n"/>
      <c r="H546" s="536" t="n"/>
      <c r="I546" s="535" t="n"/>
      <c r="J546" s="282" t="n"/>
      <c r="K546" s="282" t="n"/>
      <c r="L546" s="536" t="n"/>
      <c r="M546" s="535" t="n"/>
      <c r="N546" s="282" t="n"/>
      <c r="O546" s="282" t="n"/>
      <c r="P546" s="535" t="n"/>
      <c r="Q546" s="535" t="n"/>
      <c r="R546" s="282" t="n"/>
      <c r="S546" s="282" t="n"/>
      <c r="T546" s="535" t="n"/>
      <c r="U546" s="535" t="n"/>
      <c r="V546" s="282" t="n"/>
      <c r="W546" s="282" t="n"/>
      <c r="X546" s="536" t="n"/>
      <c r="Y546" s="536" t="n"/>
      <c r="Z546" s="282" t="n"/>
      <c r="AA546" s="282" t="n"/>
      <c r="AB546" s="536" t="n"/>
      <c r="AC546" s="536" t="n"/>
      <c r="AD546" s="282" t="n"/>
      <c r="AE546" s="282" t="n"/>
      <c r="AF546" s="537" t="n"/>
      <c r="AG546" s="537" t="n"/>
      <c r="AH546" s="282" t="n"/>
      <c r="AI546" s="282" t="n"/>
      <c r="AJ546" s="537" t="n"/>
      <c r="AK546" s="537" t="n"/>
      <c r="AL546" s="282" t="n"/>
      <c r="AM546" s="282" t="n"/>
      <c r="AN546" s="282" t="n"/>
      <c r="AO546" s="282" t="n"/>
      <c r="AP546" s="282" t="n"/>
      <c r="AQ546" s="282" t="n"/>
      <c r="AR546" s="535" t="n"/>
      <c r="AS546" s="535" t="n"/>
      <c r="AT546" s="282" t="n"/>
      <c r="AU546" s="282" t="n"/>
    </row>
    <row customHeight="1" ht="15.75" r="547" s="452" spans="1:48">
      <c r="A547" s="44" t="n"/>
      <c r="D547" s="535" t="n"/>
      <c r="E547" s="535" t="n"/>
      <c r="F547" s="282" t="n"/>
      <c r="G547" s="282" t="n"/>
      <c r="H547" s="536" t="n"/>
      <c r="I547" s="535" t="n"/>
      <c r="J547" s="282" t="n"/>
      <c r="K547" s="282" t="n"/>
      <c r="L547" s="536" t="n"/>
      <c r="M547" s="535" t="n"/>
      <c r="N547" s="282" t="n"/>
      <c r="O547" s="282" t="n"/>
      <c r="P547" s="535" t="n"/>
      <c r="Q547" s="535" t="n"/>
      <c r="R547" s="282" t="n"/>
      <c r="S547" s="282" t="n"/>
      <c r="T547" s="535" t="n"/>
      <c r="U547" s="535" t="n"/>
      <c r="V547" s="282" t="n"/>
      <c r="W547" s="282" t="n"/>
      <c r="X547" s="536" t="n"/>
      <c r="Y547" s="536" t="n"/>
      <c r="Z547" s="282" t="n"/>
      <c r="AA547" s="282" t="n"/>
      <c r="AB547" s="536" t="n"/>
      <c r="AC547" s="536" t="n"/>
      <c r="AD547" s="282" t="n"/>
      <c r="AE547" s="282" t="n"/>
      <c r="AF547" s="537" t="n"/>
      <c r="AG547" s="537" t="n"/>
      <c r="AH547" s="282" t="n"/>
      <c r="AI547" s="282" t="n"/>
      <c r="AJ547" s="537" t="n"/>
      <c r="AK547" s="537" t="n"/>
      <c r="AL547" s="282" t="n"/>
      <c r="AM547" s="282" t="n"/>
      <c r="AN547" s="282" t="n"/>
      <c r="AO547" s="282" t="n"/>
      <c r="AP547" s="282" t="n"/>
      <c r="AQ547" s="282" t="n"/>
      <c r="AR547" s="535" t="n"/>
      <c r="AS547" s="535" t="n"/>
      <c r="AT547" s="282" t="n"/>
      <c r="AU547" s="282" t="n"/>
    </row>
    <row customHeight="1" ht="15.75" r="548" s="452" spans="1:48">
      <c r="A548" s="44" t="n"/>
      <c r="D548" s="535" t="n"/>
      <c r="E548" s="535" t="n"/>
      <c r="F548" s="282" t="n"/>
      <c r="G548" s="282" t="n"/>
      <c r="H548" s="536" t="n"/>
      <c r="I548" s="535" t="n"/>
      <c r="J548" s="282" t="n"/>
      <c r="K548" s="282" t="n"/>
      <c r="L548" s="536" t="n"/>
      <c r="M548" s="535" t="n"/>
      <c r="N548" s="282" t="n"/>
      <c r="O548" s="282" t="n"/>
      <c r="P548" s="535" t="n"/>
      <c r="Q548" s="535" t="n"/>
      <c r="R548" s="282" t="n"/>
      <c r="S548" s="282" t="n"/>
      <c r="T548" s="535" t="n"/>
      <c r="U548" s="535" t="n"/>
      <c r="V548" s="282" t="n"/>
      <c r="W548" s="282" t="n"/>
      <c r="X548" s="536" t="n"/>
      <c r="Y548" s="536" t="n"/>
      <c r="Z548" s="282" t="n"/>
      <c r="AA548" s="282" t="n"/>
      <c r="AB548" s="536" t="n"/>
      <c r="AC548" s="536" t="n"/>
      <c r="AD548" s="282" t="n"/>
      <c r="AE548" s="282" t="n"/>
      <c r="AF548" s="537" t="n"/>
      <c r="AG548" s="537" t="n"/>
      <c r="AH548" s="282" t="n"/>
      <c r="AI548" s="282" t="n"/>
      <c r="AJ548" s="537" t="n"/>
      <c r="AK548" s="537" t="n"/>
      <c r="AL548" s="282" t="n"/>
      <c r="AM548" s="282" t="n"/>
      <c r="AN548" s="282" t="n"/>
      <c r="AO548" s="282" t="n"/>
      <c r="AP548" s="282" t="n"/>
      <c r="AQ548" s="282" t="n"/>
      <c r="AR548" s="535" t="n"/>
      <c r="AS548" s="535" t="n"/>
      <c r="AT548" s="282" t="n"/>
      <c r="AU548" s="282" t="n"/>
    </row>
    <row customHeight="1" ht="15.75" r="549" s="452" spans="1:48">
      <c r="A549" s="44" t="n"/>
      <c r="D549" s="535" t="n"/>
      <c r="E549" s="535" t="n"/>
      <c r="F549" s="282" t="n"/>
      <c r="G549" s="282" t="n"/>
      <c r="H549" s="536" t="n"/>
      <c r="I549" s="535" t="n"/>
      <c r="J549" s="282" t="n"/>
      <c r="K549" s="282" t="n"/>
      <c r="L549" s="536" t="n"/>
      <c r="M549" s="535" t="n"/>
      <c r="N549" s="282" t="n"/>
      <c r="O549" s="282" t="n"/>
      <c r="P549" s="535" t="n"/>
      <c r="Q549" s="535" t="n"/>
      <c r="R549" s="282" t="n"/>
      <c r="S549" s="282" t="n"/>
      <c r="T549" s="535" t="n"/>
      <c r="U549" s="535" t="n"/>
      <c r="V549" s="282" t="n"/>
      <c r="W549" s="282" t="n"/>
      <c r="X549" s="536" t="n"/>
      <c r="Y549" s="536" t="n"/>
      <c r="Z549" s="282" t="n"/>
      <c r="AA549" s="282" t="n"/>
      <c r="AB549" s="536" t="n"/>
      <c r="AC549" s="536" t="n"/>
      <c r="AD549" s="282" t="n"/>
      <c r="AE549" s="282" t="n"/>
      <c r="AF549" s="537" t="n"/>
      <c r="AG549" s="537" t="n"/>
      <c r="AH549" s="282" t="n"/>
      <c r="AI549" s="282" t="n"/>
      <c r="AJ549" s="537" t="n"/>
      <c r="AK549" s="537" t="n"/>
      <c r="AL549" s="282" t="n"/>
      <c r="AM549" s="282" t="n"/>
      <c r="AN549" s="282" t="n"/>
      <c r="AO549" s="282" t="n"/>
      <c r="AP549" s="282" t="n"/>
      <c r="AQ549" s="282" t="n"/>
      <c r="AR549" s="535" t="n"/>
      <c r="AS549" s="535" t="n"/>
      <c r="AT549" s="282" t="n"/>
      <c r="AU549" s="282" t="n"/>
    </row>
    <row customHeight="1" ht="15.75" r="550" s="452" spans="1:48">
      <c r="A550" s="44" t="n"/>
      <c r="D550" s="535" t="n"/>
      <c r="E550" s="535" t="n"/>
      <c r="F550" s="282" t="n"/>
      <c r="G550" s="282" t="n"/>
      <c r="H550" s="536" t="n"/>
      <c r="I550" s="535" t="n"/>
      <c r="J550" s="282" t="n"/>
      <c r="K550" s="282" t="n"/>
      <c r="L550" s="536" t="n"/>
      <c r="M550" s="535" t="n"/>
      <c r="N550" s="282" t="n"/>
      <c r="O550" s="282" t="n"/>
      <c r="P550" s="535" t="n"/>
      <c r="Q550" s="535" t="n"/>
      <c r="R550" s="282" t="n"/>
      <c r="S550" s="282" t="n"/>
      <c r="T550" s="535" t="n"/>
      <c r="U550" s="535" t="n"/>
      <c r="V550" s="282" t="n"/>
      <c r="W550" s="282" t="n"/>
      <c r="X550" s="536" t="n"/>
      <c r="Y550" s="536" t="n"/>
      <c r="Z550" s="282" t="n"/>
      <c r="AA550" s="282" t="n"/>
      <c r="AB550" s="536" t="n"/>
      <c r="AC550" s="536" t="n"/>
      <c r="AD550" s="282" t="n"/>
      <c r="AE550" s="282" t="n"/>
      <c r="AF550" s="537" t="n"/>
      <c r="AG550" s="537" t="n"/>
      <c r="AH550" s="282" t="n"/>
      <c r="AI550" s="282" t="n"/>
      <c r="AJ550" s="537" t="n"/>
      <c r="AK550" s="537" t="n"/>
      <c r="AL550" s="282" t="n"/>
      <c r="AM550" s="282" t="n"/>
      <c r="AN550" s="282" t="n"/>
      <c r="AO550" s="282" t="n"/>
      <c r="AP550" s="282" t="n"/>
      <c r="AQ550" s="282" t="n"/>
      <c r="AR550" s="535" t="n"/>
      <c r="AS550" s="535" t="n"/>
      <c r="AT550" s="282" t="n"/>
      <c r="AU550" s="282" t="n"/>
    </row>
    <row customHeight="1" ht="15.75" r="551" s="452" spans="1:48">
      <c r="A551" s="44" t="n"/>
      <c r="D551" s="535" t="n"/>
      <c r="E551" s="535" t="n"/>
      <c r="F551" s="282" t="n"/>
      <c r="G551" s="282" t="n"/>
      <c r="H551" s="536" t="n"/>
      <c r="I551" s="535" t="n"/>
      <c r="J551" s="282" t="n"/>
      <c r="K551" s="282" t="n"/>
      <c r="L551" s="536" t="n"/>
      <c r="M551" s="535" t="n"/>
      <c r="N551" s="282" t="n"/>
      <c r="O551" s="282" t="n"/>
      <c r="P551" s="535" t="n"/>
      <c r="Q551" s="535" t="n"/>
      <c r="R551" s="282" t="n"/>
      <c r="S551" s="282" t="n"/>
      <c r="T551" s="535" t="n"/>
      <c r="U551" s="535" t="n"/>
      <c r="V551" s="282" t="n"/>
      <c r="W551" s="282" t="n"/>
      <c r="X551" s="536" t="n"/>
      <c r="Y551" s="536" t="n"/>
      <c r="Z551" s="282" t="n"/>
      <c r="AA551" s="282" t="n"/>
      <c r="AB551" s="536" t="n"/>
      <c r="AC551" s="536" t="n"/>
      <c r="AD551" s="282" t="n"/>
      <c r="AE551" s="282" t="n"/>
      <c r="AF551" s="537" t="n"/>
      <c r="AG551" s="537" t="n"/>
      <c r="AH551" s="282" t="n"/>
      <c r="AI551" s="282" t="n"/>
      <c r="AJ551" s="537" t="n"/>
      <c r="AK551" s="537" t="n"/>
      <c r="AL551" s="282" t="n"/>
      <c r="AM551" s="282" t="n"/>
      <c r="AN551" s="282" t="n"/>
      <c r="AO551" s="282" t="n"/>
      <c r="AP551" s="282" t="n"/>
      <c r="AQ551" s="282" t="n"/>
      <c r="AR551" s="535" t="n"/>
      <c r="AS551" s="535" t="n"/>
      <c r="AT551" s="282" t="n"/>
      <c r="AU551" s="282" t="n"/>
    </row>
    <row customHeight="1" ht="15.75" r="552" s="452" spans="1:48">
      <c r="A552" s="44" t="n"/>
      <c r="D552" s="535" t="n"/>
      <c r="E552" s="535" t="n"/>
      <c r="F552" s="282" t="n"/>
      <c r="G552" s="282" t="n"/>
      <c r="H552" s="536" t="n"/>
      <c r="I552" s="535" t="n"/>
      <c r="J552" s="282" t="n"/>
      <c r="K552" s="282" t="n"/>
      <c r="L552" s="536" t="n"/>
      <c r="M552" s="535" t="n"/>
      <c r="N552" s="282" t="n"/>
      <c r="O552" s="282" t="n"/>
      <c r="P552" s="535" t="n"/>
      <c r="Q552" s="535" t="n"/>
      <c r="R552" s="282" t="n"/>
      <c r="S552" s="282" t="n"/>
      <c r="T552" s="535" t="n"/>
      <c r="U552" s="535" t="n"/>
      <c r="V552" s="282" t="n"/>
      <c r="W552" s="282" t="n"/>
      <c r="X552" s="536" t="n"/>
      <c r="Y552" s="536" t="n"/>
      <c r="Z552" s="282" t="n"/>
      <c r="AA552" s="282" t="n"/>
      <c r="AB552" s="536" t="n"/>
      <c r="AC552" s="536" t="n"/>
      <c r="AD552" s="282" t="n"/>
      <c r="AE552" s="282" t="n"/>
      <c r="AF552" s="537" t="n"/>
      <c r="AG552" s="537" t="n"/>
      <c r="AH552" s="282" t="n"/>
      <c r="AI552" s="282" t="n"/>
      <c r="AJ552" s="537" t="n"/>
      <c r="AK552" s="537" t="n"/>
      <c r="AL552" s="282" t="n"/>
      <c r="AM552" s="282" t="n"/>
      <c r="AN552" s="282" t="n"/>
      <c r="AO552" s="282" t="n"/>
      <c r="AP552" s="282" t="n"/>
      <c r="AQ552" s="282" t="n"/>
      <c r="AR552" s="535" t="n"/>
      <c r="AS552" s="535" t="n"/>
      <c r="AT552" s="282" t="n"/>
      <c r="AU552" s="282" t="n"/>
    </row>
    <row customHeight="1" ht="15.75" r="553" s="452" spans="1:48">
      <c r="A553" s="44" t="n"/>
      <c r="D553" s="535" t="n"/>
      <c r="E553" s="535" t="n"/>
      <c r="F553" s="282" t="n"/>
      <c r="G553" s="282" t="n"/>
      <c r="H553" s="536" t="n"/>
      <c r="I553" s="535" t="n"/>
      <c r="J553" s="282" t="n"/>
      <c r="K553" s="282" t="n"/>
      <c r="L553" s="536" t="n"/>
      <c r="M553" s="535" t="n"/>
      <c r="N553" s="282" t="n"/>
      <c r="O553" s="282" t="n"/>
      <c r="P553" s="535" t="n"/>
      <c r="Q553" s="535" t="n"/>
      <c r="R553" s="282" t="n"/>
      <c r="S553" s="282" t="n"/>
      <c r="T553" s="535" t="n"/>
      <c r="U553" s="535" t="n"/>
      <c r="V553" s="282" t="n"/>
      <c r="W553" s="282" t="n"/>
      <c r="X553" s="536" t="n"/>
      <c r="Y553" s="536" t="n"/>
      <c r="Z553" s="282" t="n"/>
      <c r="AA553" s="282" t="n"/>
      <c r="AB553" s="536" t="n"/>
      <c r="AC553" s="536" t="n"/>
      <c r="AD553" s="282" t="n"/>
      <c r="AE553" s="282" t="n"/>
      <c r="AF553" s="537" t="n"/>
      <c r="AG553" s="537" t="n"/>
      <c r="AH553" s="282" t="n"/>
      <c r="AI553" s="282" t="n"/>
      <c r="AJ553" s="537" t="n"/>
      <c r="AK553" s="537" t="n"/>
      <c r="AL553" s="282" t="n"/>
      <c r="AM553" s="282" t="n"/>
      <c r="AN553" s="282" t="n"/>
      <c r="AO553" s="282" t="n"/>
      <c r="AP553" s="282" t="n"/>
      <c r="AQ553" s="282" t="n"/>
      <c r="AR553" s="535" t="n"/>
      <c r="AS553" s="535" t="n"/>
      <c r="AT553" s="282" t="n"/>
      <c r="AU553" s="282" t="n"/>
    </row>
    <row customHeight="1" ht="15.75" r="554" s="452" spans="1:48">
      <c r="A554" s="44" t="n"/>
      <c r="D554" s="535" t="n"/>
      <c r="E554" s="535" t="n"/>
      <c r="F554" s="282" t="n"/>
      <c r="G554" s="282" t="n"/>
      <c r="H554" s="536" t="n"/>
      <c r="I554" s="535" t="n"/>
      <c r="J554" s="282" t="n"/>
      <c r="K554" s="282" t="n"/>
      <c r="L554" s="536" t="n"/>
      <c r="M554" s="535" t="n"/>
      <c r="N554" s="282" t="n"/>
      <c r="O554" s="282" t="n"/>
      <c r="P554" s="535" t="n"/>
      <c r="Q554" s="535" t="n"/>
      <c r="R554" s="282" t="n"/>
      <c r="S554" s="282" t="n"/>
      <c r="T554" s="535" t="n"/>
      <c r="U554" s="535" t="n"/>
      <c r="V554" s="282" t="n"/>
      <c r="W554" s="282" t="n"/>
      <c r="X554" s="536" t="n"/>
      <c r="Y554" s="536" t="n"/>
      <c r="Z554" s="282" t="n"/>
      <c r="AA554" s="282" t="n"/>
      <c r="AB554" s="536" t="n"/>
      <c r="AC554" s="536" t="n"/>
      <c r="AD554" s="282" t="n"/>
      <c r="AE554" s="282" t="n"/>
      <c r="AF554" s="537" t="n"/>
      <c r="AG554" s="537" t="n"/>
      <c r="AH554" s="282" t="n"/>
      <c r="AI554" s="282" t="n"/>
      <c r="AJ554" s="537" t="n"/>
      <c r="AK554" s="537" t="n"/>
      <c r="AL554" s="282" t="n"/>
      <c r="AM554" s="282" t="n"/>
      <c r="AN554" s="282" t="n"/>
      <c r="AO554" s="282" t="n"/>
      <c r="AP554" s="282" t="n"/>
      <c r="AQ554" s="282" t="n"/>
      <c r="AR554" s="535" t="n"/>
      <c r="AS554" s="535" t="n"/>
      <c r="AT554" s="282" t="n"/>
      <c r="AU554" s="282" t="n"/>
    </row>
    <row customHeight="1" ht="15.75" r="555" s="452" spans="1:48">
      <c r="A555" s="44" t="n"/>
      <c r="D555" s="535" t="n"/>
      <c r="E555" s="535" t="n"/>
      <c r="F555" s="282" t="n"/>
      <c r="G555" s="282" t="n"/>
      <c r="H555" s="536" t="n"/>
      <c r="I555" s="535" t="n"/>
      <c r="J555" s="282" t="n"/>
      <c r="K555" s="282" t="n"/>
      <c r="L555" s="536" t="n"/>
      <c r="M555" s="535" t="n"/>
      <c r="N555" s="282" t="n"/>
      <c r="O555" s="282" t="n"/>
      <c r="P555" s="535" t="n"/>
      <c r="Q555" s="535" t="n"/>
      <c r="R555" s="282" t="n"/>
      <c r="S555" s="282" t="n"/>
      <c r="T555" s="535" t="n"/>
      <c r="U555" s="535" t="n"/>
      <c r="V555" s="282" t="n"/>
      <c r="W555" s="282" t="n"/>
      <c r="X555" s="536" t="n"/>
      <c r="Y555" s="536" t="n"/>
      <c r="Z555" s="282" t="n"/>
      <c r="AA555" s="282" t="n"/>
      <c r="AB555" s="536" t="n"/>
      <c r="AC555" s="536" t="n"/>
      <c r="AD555" s="282" t="n"/>
      <c r="AE555" s="282" t="n"/>
      <c r="AF555" s="537" t="n"/>
      <c r="AG555" s="537" t="n"/>
      <c r="AH555" s="282" t="n"/>
      <c r="AI555" s="282" t="n"/>
      <c r="AJ555" s="537" t="n"/>
      <c r="AK555" s="537" t="n"/>
      <c r="AL555" s="282" t="n"/>
      <c r="AM555" s="282" t="n"/>
      <c r="AN555" s="282" t="n"/>
      <c r="AO555" s="282" t="n"/>
      <c r="AP555" s="282" t="n"/>
      <c r="AQ555" s="282" t="n"/>
      <c r="AR555" s="535" t="n"/>
      <c r="AS555" s="535" t="n"/>
      <c r="AT555" s="282" t="n"/>
      <c r="AU555" s="282" t="n"/>
    </row>
    <row customHeight="1" ht="15.75" r="556" s="452" spans="1:48">
      <c r="A556" s="44" t="n"/>
      <c r="D556" s="535" t="n"/>
      <c r="E556" s="535" t="n"/>
      <c r="F556" s="282" t="n"/>
      <c r="G556" s="282" t="n"/>
      <c r="H556" s="536" t="n"/>
      <c r="I556" s="535" t="n"/>
      <c r="J556" s="282" t="n"/>
      <c r="K556" s="282" t="n"/>
      <c r="L556" s="536" t="n"/>
      <c r="M556" s="535" t="n"/>
      <c r="N556" s="282" t="n"/>
      <c r="O556" s="282" t="n"/>
      <c r="P556" s="535" t="n"/>
      <c r="Q556" s="535" t="n"/>
      <c r="R556" s="282" t="n"/>
      <c r="S556" s="282" t="n"/>
      <c r="T556" s="535" t="n"/>
      <c r="U556" s="535" t="n"/>
      <c r="V556" s="282" t="n"/>
      <c r="W556" s="282" t="n"/>
      <c r="X556" s="536" t="n"/>
      <c r="Y556" s="536" t="n"/>
      <c r="Z556" s="282" t="n"/>
      <c r="AA556" s="282" t="n"/>
      <c r="AB556" s="536" t="n"/>
      <c r="AC556" s="536" t="n"/>
      <c r="AD556" s="282" t="n"/>
      <c r="AE556" s="282" t="n"/>
      <c r="AF556" s="537" t="n"/>
      <c r="AG556" s="537" t="n"/>
      <c r="AH556" s="282" t="n"/>
      <c r="AI556" s="282" t="n"/>
      <c r="AJ556" s="537" t="n"/>
      <c r="AK556" s="537" t="n"/>
      <c r="AL556" s="282" t="n"/>
      <c r="AM556" s="282" t="n"/>
      <c r="AN556" s="282" t="n"/>
      <c r="AO556" s="282" t="n"/>
      <c r="AP556" s="282" t="n"/>
      <c r="AQ556" s="282" t="n"/>
      <c r="AR556" s="535" t="n"/>
      <c r="AS556" s="535" t="n"/>
      <c r="AT556" s="282" t="n"/>
      <c r="AU556" s="282" t="n"/>
    </row>
    <row customHeight="1" ht="15.75" r="557" s="452" spans="1:48">
      <c r="A557" s="44" t="n"/>
      <c r="D557" s="535" t="n"/>
      <c r="E557" s="535" t="n"/>
      <c r="F557" s="282" t="n"/>
      <c r="G557" s="282" t="n"/>
      <c r="H557" s="536" t="n"/>
      <c r="I557" s="535" t="n"/>
      <c r="J557" s="282" t="n"/>
      <c r="K557" s="282" t="n"/>
      <c r="L557" s="536" t="n"/>
      <c r="M557" s="535" t="n"/>
      <c r="N557" s="282" t="n"/>
      <c r="O557" s="282" t="n"/>
      <c r="P557" s="535" t="n"/>
      <c r="Q557" s="535" t="n"/>
      <c r="R557" s="282" t="n"/>
      <c r="S557" s="282" t="n"/>
      <c r="T557" s="535" t="n"/>
      <c r="U557" s="535" t="n"/>
      <c r="V557" s="282" t="n"/>
      <c r="W557" s="282" t="n"/>
      <c r="X557" s="536" t="n"/>
      <c r="Y557" s="536" t="n"/>
      <c r="Z557" s="282" t="n"/>
      <c r="AA557" s="282" t="n"/>
      <c r="AB557" s="536" t="n"/>
      <c r="AC557" s="536" t="n"/>
      <c r="AD557" s="282" t="n"/>
      <c r="AE557" s="282" t="n"/>
      <c r="AF557" s="537" t="n"/>
      <c r="AG557" s="537" t="n"/>
      <c r="AH557" s="282" t="n"/>
      <c r="AI557" s="282" t="n"/>
      <c r="AJ557" s="537" t="n"/>
      <c r="AK557" s="537" t="n"/>
      <c r="AL557" s="282" t="n"/>
      <c r="AM557" s="282" t="n"/>
      <c r="AN557" s="282" t="n"/>
      <c r="AO557" s="282" t="n"/>
      <c r="AP557" s="282" t="n"/>
      <c r="AQ557" s="282" t="n"/>
      <c r="AR557" s="535" t="n"/>
      <c r="AS557" s="535" t="n"/>
      <c r="AT557" s="282" t="n"/>
      <c r="AU557" s="282" t="n"/>
    </row>
    <row customHeight="1" ht="15.75" r="558" s="452" spans="1:48">
      <c r="A558" s="44" t="n"/>
      <c r="D558" s="535" t="n"/>
      <c r="E558" s="535" t="n"/>
      <c r="F558" s="282" t="n"/>
      <c r="G558" s="282" t="n"/>
      <c r="H558" s="536" t="n"/>
      <c r="I558" s="535" t="n"/>
      <c r="J558" s="282" t="n"/>
      <c r="K558" s="282" t="n"/>
      <c r="L558" s="536" t="n"/>
      <c r="M558" s="535" t="n"/>
      <c r="N558" s="282" t="n"/>
      <c r="O558" s="282" t="n"/>
      <c r="P558" s="535" t="n"/>
      <c r="Q558" s="535" t="n"/>
      <c r="R558" s="282" t="n"/>
      <c r="S558" s="282" t="n"/>
      <c r="T558" s="535" t="n"/>
      <c r="U558" s="535" t="n"/>
      <c r="V558" s="282" t="n"/>
      <c r="W558" s="282" t="n"/>
      <c r="X558" s="536" t="n"/>
      <c r="Y558" s="536" t="n"/>
      <c r="Z558" s="282" t="n"/>
      <c r="AA558" s="282" t="n"/>
      <c r="AB558" s="536" t="n"/>
      <c r="AC558" s="536" t="n"/>
      <c r="AD558" s="282" t="n"/>
      <c r="AE558" s="282" t="n"/>
      <c r="AF558" s="537" t="n"/>
      <c r="AG558" s="537" t="n"/>
      <c r="AH558" s="282" t="n"/>
      <c r="AI558" s="282" t="n"/>
      <c r="AJ558" s="537" t="n"/>
      <c r="AK558" s="537" t="n"/>
      <c r="AL558" s="282" t="n"/>
      <c r="AM558" s="282" t="n"/>
      <c r="AN558" s="282" t="n"/>
      <c r="AO558" s="282" t="n"/>
      <c r="AP558" s="282" t="n"/>
      <c r="AQ558" s="282" t="n"/>
      <c r="AR558" s="535" t="n"/>
      <c r="AS558" s="535" t="n"/>
      <c r="AT558" s="282" t="n"/>
      <c r="AU558" s="282" t="n"/>
    </row>
    <row customHeight="1" ht="15.75" r="559" s="452" spans="1:48">
      <c r="A559" s="44" t="n"/>
      <c r="D559" s="535" t="n"/>
      <c r="E559" s="535" t="n"/>
      <c r="F559" s="282" t="n"/>
      <c r="G559" s="282" t="n"/>
      <c r="H559" s="536" t="n"/>
      <c r="I559" s="535" t="n"/>
      <c r="J559" s="282" t="n"/>
      <c r="K559" s="282" t="n"/>
      <c r="L559" s="536" t="n"/>
      <c r="M559" s="535" t="n"/>
      <c r="N559" s="282" t="n"/>
      <c r="O559" s="282" t="n"/>
      <c r="P559" s="535" t="n"/>
      <c r="Q559" s="535" t="n"/>
      <c r="R559" s="282" t="n"/>
      <c r="S559" s="282" t="n"/>
      <c r="T559" s="535" t="n"/>
      <c r="U559" s="535" t="n"/>
      <c r="V559" s="282" t="n"/>
      <c r="W559" s="282" t="n"/>
      <c r="X559" s="536" t="n"/>
      <c r="Y559" s="536" t="n"/>
      <c r="Z559" s="282" t="n"/>
      <c r="AA559" s="282" t="n"/>
      <c r="AB559" s="536" t="n"/>
      <c r="AC559" s="536" t="n"/>
      <c r="AD559" s="282" t="n"/>
      <c r="AE559" s="282" t="n"/>
      <c r="AF559" s="537" t="n"/>
      <c r="AG559" s="537" t="n"/>
      <c r="AH559" s="282" t="n"/>
      <c r="AI559" s="282" t="n"/>
      <c r="AJ559" s="537" t="n"/>
      <c r="AK559" s="537" t="n"/>
      <c r="AL559" s="282" t="n"/>
      <c r="AM559" s="282" t="n"/>
      <c r="AN559" s="282" t="n"/>
      <c r="AO559" s="282" t="n"/>
      <c r="AP559" s="282" t="n"/>
      <c r="AQ559" s="282" t="n"/>
      <c r="AR559" s="535" t="n"/>
      <c r="AS559" s="535" t="n"/>
      <c r="AT559" s="282" t="n"/>
      <c r="AU559" s="282" t="n"/>
    </row>
    <row customHeight="1" ht="15.75" r="560" s="452" spans="1:48">
      <c r="A560" s="44" t="n"/>
      <c r="D560" s="535" t="n"/>
      <c r="E560" s="535" t="n"/>
      <c r="F560" s="282" t="n"/>
      <c r="G560" s="282" t="n"/>
      <c r="H560" s="536" t="n"/>
      <c r="I560" s="535" t="n"/>
      <c r="J560" s="282" t="n"/>
      <c r="K560" s="282" t="n"/>
      <c r="L560" s="536" t="n"/>
      <c r="M560" s="535" t="n"/>
      <c r="N560" s="282" t="n"/>
      <c r="O560" s="282" t="n"/>
      <c r="P560" s="535" t="n"/>
      <c r="Q560" s="535" t="n"/>
      <c r="R560" s="282" t="n"/>
      <c r="S560" s="282" t="n"/>
      <c r="T560" s="535" t="n"/>
      <c r="U560" s="535" t="n"/>
      <c r="V560" s="282" t="n"/>
      <c r="W560" s="282" t="n"/>
      <c r="X560" s="536" t="n"/>
      <c r="Y560" s="536" t="n"/>
      <c r="Z560" s="282" t="n"/>
      <c r="AA560" s="282" t="n"/>
      <c r="AB560" s="536" t="n"/>
      <c r="AC560" s="536" t="n"/>
      <c r="AD560" s="282" t="n"/>
      <c r="AE560" s="282" t="n"/>
      <c r="AF560" s="537" t="n"/>
      <c r="AG560" s="537" t="n"/>
      <c r="AH560" s="282" t="n"/>
      <c r="AI560" s="282" t="n"/>
      <c r="AJ560" s="537" t="n"/>
      <c r="AK560" s="537" t="n"/>
      <c r="AL560" s="282" t="n"/>
      <c r="AM560" s="282" t="n"/>
      <c r="AN560" s="282" t="n"/>
      <c r="AO560" s="282" t="n"/>
      <c r="AP560" s="282" t="n"/>
      <c r="AQ560" s="282" t="n"/>
      <c r="AR560" s="535" t="n"/>
      <c r="AS560" s="535" t="n"/>
      <c r="AT560" s="282" t="n"/>
      <c r="AU560" s="282" t="n"/>
    </row>
    <row customHeight="1" ht="15.75" r="561" s="452" spans="1:48">
      <c r="A561" s="44" t="n"/>
      <c r="D561" s="535" t="n"/>
      <c r="E561" s="535" t="n"/>
      <c r="F561" s="282" t="n"/>
      <c r="G561" s="282" t="n"/>
      <c r="H561" s="536" t="n"/>
      <c r="I561" s="535" t="n"/>
      <c r="J561" s="282" t="n"/>
      <c r="K561" s="282" t="n"/>
      <c r="L561" s="536" t="n"/>
      <c r="M561" s="535" t="n"/>
      <c r="N561" s="282" t="n"/>
      <c r="O561" s="282" t="n"/>
      <c r="P561" s="535" t="n"/>
      <c r="Q561" s="535" t="n"/>
      <c r="R561" s="282" t="n"/>
      <c r="S561" s="282" t="n"/>
      <c r="T561" s="535" t="n"/>
      <c r="U561" s="535" t="n"/>
      <c r="V561" s="282" t="n"/>
      <c r="W561" s="282" t="n"/>
      <c r="X561" s="536" t="n"/>
      <c r="Y561" s="536" t="n"/>
      <c r="Z561" s="282" t="n"/>
      <c r="AA561" s="282" t="n"/>
      <c r="AB561" s="536" t="n"/>
      <c r="AC561" s="536" t="n"/>
      <c r="AD561" s="282" t="n"/>
      <c r="AE561" s="282" t="n"/>
      <c r="AF561" s="537" t="n"/>
      <c r="AG561" s="537" t="n"/>
      <c r="AH561" s="282" t="n"/>
      <c r="AI561" s="282" t="n"/>
      <c r="AJ561" s="537" t="n"/>
      <c r="AK561" s="537" t="n"/>
      <c r="AL561" s="282" t="n"/>
      <c r="AM561" s="282" t="n"/>
      <c r="AN561" s="282" t="n"/>
      <c r="AO561" s="282" t="n"/>
      <c r="AP561" s="282" t="n"/>
      <c r="AQ561" s="282" t="n"/>
      <c r="AR561" s="535" t="n"/>
      <c r="AS561" s="535" t="n"/>
      <c r="AT561" s="282" t="n"/>
      <c r="AU561" s="282" t="n"/>
    </row>
    <row customHeight="1" ht="15.75" r="562" s="452" spans="1:48">
      <c r="A562" s="44" t="n"/>
      <c r="D562" s="535" t="n"/>
      <c r="E562" s="535" t="n"/>
      <c r="F562" s="282" t="n"/>
      <c r="G562" s="282" t="n"/>
      <c r="H562" s="536" t="n"/>
      <c r="I562" s="535" t="n"/>
      <c r="J562" s="282" t="n"/>
      <c r="K562" s="282" t="n"/>
      <c r="L562" s="536" t="n"/>
      <c r="M562" s="535" t="n"/>
      <c r="N562" s="282" t="n"/>
      <c r="O562" s="282" t="n"/>
      <c r="P562" s="535" t="n"/>
      <c r="Q562" s="535" t="n"/>
      <c r="R562" s="282" t="n"/>
      <c r="S562" s="282" t="n"/>
      <c r="T562" s="535" t="n"/>
      <c r="U562" s="535" t="n"/>
      <c r="V562" s="282" t="n"/>
      <c r="W562" s="282" t="n"/>
      <c r="X562" s="536" t="n"/>
      <c r="Y562" s="536" t="n"/>
      <c r="Z562" s="282" t="n"/>
      <c r="AA562" s="282" t="n"/>
      <c r="AB562" s="536" t="n"/>
      <c r="AC562" s="536" t="n"/>
      <c r="AD562" s="282" t="n"/>
      <c r="AE562" s="282" t="n"/>
      <c r="AF562" s="537" t="n"/>
      <c r="AG562" s="537" t="n"/>
      <c r="AH562" s="282" t="n"/>
      <c r="AI562" s="282" t="n"/>
      <c r="AJ562" s="537" t="n"/>
      <c r="AK562" s="537" t="n"/>
      <c r="AL562" s="282" t="n"/>
      <c r="AM562" s="282" t="n"/>
      <c r="AN562" s="282" t="n"/>
      <c r="AO562" s="282" t="n"/>
      <c r="AP562" s="282" t="n"/>
      <c r="AQ562" s="282" t="n"/>
      <c r="AR562" s="535" t="n"/>
      <c r="AS562" s="535" t="n"/>
      <c r="AT562" s="282" t="n"/>
      <c r="AU562" s="282" t="n"/>
    </row>
    <row customHeight="1" ht="15.75" r="563" s="452" spans="1:48">
      <c r="A563" s="44" t="n"/>
      <c r="D563" s="535" t="n"/>
      <c r="E563" s="535" t="n"/>
      <c r="F563" s="282" t="n"/>
      <c r="G563" s="282" t="n"/>
      <c r="H563" s="536" t="n"/>
      <c r="I563" s="535" t="n"/>
      <c r="J563" s="282" t="n"/>
      <c r="K563" s="282" t="n"/>
      <c r="L563" s="536" t="n"/>
      <c r="M563" s="535" t="n"/>
      <c r="N563" s="282" t="n"/>
      <c r="O563" s="282" t="n"/>
      <c r="P563" s="535" t="n"/>
      <c r="Q563" s="535" t="n"/>
      <c r="R563" s="282" t="n"/>
      <c r="S563" s="282" t="n"/>
      <c r="T563" s="535" t="n"/>
      <c r="U563" s="535" t="n"/>
      <c r="V563" s="282" t="n"/>
      <c r="W563" s="282" t="n"/>
      <c r="X563" s="536" t="n"/>
      <c r="Y563" s="536" t="n"/>
      <c r="Z563" s="282" t="n"/>
      <c r="AA563" s="282" t="n"/>
      <c r="AB563" s="536" t="n"/>
      <c r="AC563" s="536" t="n"/>
      <c r="AD563" s="282" t="n"/>
      <c r="AE563" s="282" t="n"/>
      <c r="AF563" s="537" t="n"/>
      <c r="AG563" s="537" t="n"/>
      <c r="AH563" s="282" t="n"/>
      <c r="AI563" s="282" t="n"/>
      <c r="AJ563" s="537" t="n"/>
      <c r="AK563" s="537" t="n"/>
      <c r="AL563" s="282" t="n"/>
      <c r="AM563" s="282" t="n"/>
      <c r="AN563" s="282" t="n"/>
      <c r="AO563" s="282" t="n"/>
      <c r="AP563" s="282" t="n"/>
      <c r="AQ563" s="282" t="n"/>
      <c r="AR563" s="535" t="n"/>
      <c r="AS563" s="535" t="n"/>
      <c r="AT563" s="282" t="n"/>
      <c r="AU563" s="282" t="n"/>
    </row>
    <row customHeight="1" ht="15.75" r="564" s="452" spans="1:48">
      <c r="A564" s="44" t="n"/>
      <c r="D564" s="535" t="n"/>
      <c r="E564" s="535" t="n"/>
      <c r="F564" s="282" t="n"/>
      <c r="G564" s="282" t="n"/>
      <c r="H564" s="536" t="n"/>
      <c r="I564" s="535" t="n"/>
      <c r="J564" s="282" t="n"/>
      <c r="K564" s="282" t="n"/>
      <c r="L564" s="536" t="n"/>
      <c r="M564" s="535" t="n"/>
      <c r="N564" s="282" t="n"/>
      <c r="O564" s="282" t="n"/>
      <c r="P564" s="535" t="n"/>
      <c r="Q564" s="535" t="n"/>
      <c r="R564" s="282" t="n"/>
      <c r="S564" s="282" t="n"/>
      <c r="T564" s="535" t="n"/>
      <c r="U564" s="535" t="n"/>
      <c r="V564" s="282" t="n"/>
      <c r="W564" s="282" t="n"/>
      <c r="X564" s="536" t="n"/>
      <c r="Y564" s="536" t="n"/>
      <c r="Z564" s="282" t="n"/>
      <c r="AA564" s="282" t="n"/>
      <c r="AB564" s="536" t="n"/>
      <c r="AC564" s="536" t="n"/>
      <c r="AD564" s="282" t="n"/>
      <c r="AE564" s="282" t="n"/>
      <c r="AF564" s="537" t="n"/>
      <c r="AG564" s="537" t="n"/>
      <c r="AH564" s="282" t="n"/>
      <c r="AI564" s="282" t="n"/>
      <c r="AJ564" s="537" t="n"/>
      <c r="AK564" s="537" t="n"/>
      <c r="AL564" s="282" t="n"/>
      <c r="AM564" s="282" t="n"/>
      <c r="AN564" s="282" t="n"/>
      <c r="AO564" s="282" t="n"/>
      <c r="AP564" s="282" t="n"/>
      <c r="AQ564" s="282" t="n"/>
      <c r="AR564" s="535" t="n"/>
      <c r="AS564" s="535" t="n"/>
      <c r="AT564" s="282" t="n"/>
      <c r="AU564" s="282" t="n"/>
    </row>
    <row customHeight="1" ht="15.75" r="565" s="452" spans="1:48">
      <c r="A565" s="44" t="n"/>
      <c r="D565" s="535" t="n"/>
      <c r="E565" s="535" t="n"/>
      <c r="F565" s="282" t="n"/>
      <c r="G565" s="282" t="n"/>
      <c r="H565" s="536" t="n"/>
      <c r="I565" s="535" t="n"/>
      <c r="J565" s="282" t="n"/>
      <c r="K565" s="282" t="n"/>
      <c r="L565" s="536" t="n"/>
      <c r="M565" s="535" t="n"/>
      <c r="N565" s="282" t="n"/>
      <c r="O565" s="282" t="n"/>
      <c r="P565" s="535" t="n"/>
      <c r="Q565" s="535" t="n"/>
      <c r="R565" s="282" t="n"/>
      <c r="S565" s="282" t="n"/>
      <c r="T565" s="535" t="n"/>
      <c r="U565" s="535" t="n"/>
      <c r="V565" s="282" t="n"/>
      <c r="W565" s="282" t="n"/>
      <c r="X565" s="536" t="n"/>
      <c r="Y565" s="536" t="n"/>
      <c r="Z565" s="282" t="n"/>
      <c r="AA565" s="282" t="n"/>
      <c r="AB565" s="536" t="n"/>
      <c r="AC565" s="536" t="n"/>
      <c r="AD565" s="282" t="n"/>
      <c r="AE565" s="282" t="n"/>
      <c r="AF565" s="537" t="n"/>
      <c r="AG565" s="537" t="n"/>
      <c r="AH565" s="282" t="n"/>
      <c r="AI565" s="282" t="n"/>
      <c r="AJ565" s="537" t="n"/>
      <c r="AK565" s="537" t="n"/>
      <c r="AL565" s="282" t="n"/>
      <c r="AM565" s="282" t="n"/>
      <c r="AN565" s="282" t="n"/>
      <c r="AO565" s="282" t="n"/>
      <c r="AP565" s="282" t="n"/>
      <c r="AQ565" s="282" t="n"/>
      <c r="AR565" s="535" t="n"/>
      <c r="AS565" s="535" t="n"/>
      <c r="AT565" s="282" t="n"/>
      <c r="AU565" s="282" t="n"/>
    </row>
    <row customHeight="1" ht="15.75" r="566" s="452" spans="1:48">
      <c r="A566" s="44" t="n"/>
      <c r="D566" s="535" t="n"/>
      <c r="E566" s="535" t="n"/>
      <c r="F566" s="282" t="n"/>
      <c r="G566" s="282" t="n"/>
      <c r="H566" s="536" t="n"/>
      <c r="I566" s="535" t="n"/>
      <c r="J566" s="282" t="n"/>
      <c r="K566" s="282" t="n"/>
      <c r="L566" s="536" t="n"/>
      <c r="M566" s="535" t="n"/>
      <c r="N566" s="282" t="n"/>
      <c r="O566" s="282" t="n"/>
      <c r="P566" s="535" t="n"/>
      <c r="Q566" s="535" t="n"/>
      <c r="R566" s="282" t="n"/>
      <c r="S566" s="282" t="n"/>
      <c r="T566" s="535" t="n"/>
      <c r="U566" s="535" t="n"/>
      <c r="V566" s="282" t="n"/>
      <c r="W566" s="282" t="n"/>
      <c r="X566" s="536" t="n"/>
      <c r="Y566" s="536" t="n"/>
      <c r="Z566" s="282" t="n"/>
      <c r="AA566" s="282" t="n"/>
      <c r="AB566" s="536" t="n"/>
      <c r="AC566" s="536" t="n"/>
      <c r="AD566" s="282" t="n"/>
      <c r="AE566" s="282" t="n"/>
      <c r="AF566" s="537" t="n"/>
      <c r="AG566" s="537" t="n"/>
      <c r="AH566" s="282" t="n"/>
      <c r="AI566" s="282" t="n"/>
      <c r="AJ566" s="537" t="n"/>
      <c r="AK566" s="537" t="n"/>
      <c r="AL566" s="282" t="n"/>
      <c r="AM566" s="282" t="n"/>
      <c r="AN566" s="282" t="n"/>
      <c r="AO566" s="282" t="n"/>
      <c r="AP566" s="282" t="n"/>
      <c r="AQ566" s="282" t="n"/>
      <c r="AR566" s="535" t="n"/>
      <c r="AS566" s="535" t="n"/>
      <c r="AT566" s="282" t="n"/>
      <c r="AU566" s="282" t="n"/>
    </row>
    <row customHeight="1" ht="15.75" r="567" s="452" spans="1:48">
      <c r="A567" s="44" t="n"/>
      <c r="D567" s="535" t="n"/>
      <c r="E567" s="535" t="n"/>
      <c r="F567" s="282" t="n"/>
      <c r="G567" s="282" t="n"/>
      <c r="H567" s="536" t="n"/>
      <c r="I567" s="535" t="n"/>
      <c r="J567" s="282" t="n"/>
      <c r="K567" s="282" t="n"/>
      <c r="L567" s="536" t="n"/>
      <c r="M567" s="535" t="n"/>
      <c r="N567" s="282" t="n"/>
      <c r="O567" s="282" t="n"/>
      <c r="P567" s="535" t="n"/>
      <c r="Q567" s="535" t="n"/>
      <c r="R567" s="282" t="n"/>
      <c r="S567" s="282" t="n"/>
      <c r="T567" s="535" t="n"/>
      <c r="U567" s="535" t="n"/>
      <c r="V567" s="282" t="n"/>
      <c r="W567" s="282" t="n"/>
      <c r="X567" s="536" t="n"/>
      <c r="Y567" s="536" t="n"/>
      <c r="Z567" s="282" t="n"/>
      <c r="AA567" s="282" t="n"/>
      <c r="AB567" s="536" t="n"/>
      <c r="AC567" s="536" t="n"/>
      <c r="AD567" s="282" t="n"/>
      <c r="AE567" s="282" t="n"/>
      <c r="AF567" s="537" t="n"/>
      <c r="AG567" s="537" t="n"/>
      <c r="AH567" s="282" t="n"/>
      <c r="AI567" s="282" t="n"/>
      <c r="AJ567" s="537" t="n"/>
      <c r="AK567" s="537" t="n"/>
      <c r="AL567" s="282" t="n"/>
      <c r="AM567" s="282" t="n"/>
      <c r="AN567" s="282" t="n"/>
      <c r="AO567" s="282" t="n"/>
      <c r="AP567" s="282" t="n"/>
      <c r="AQ567" s="282" t="n"/>
      <c r="AR567" s="535" t="n"/>
      <c r="AS567" s="535" t="n"/>
      <c r="AT567" s="282" t="n"/>
      <c r="AU567" s="282" t="n"/>
    </row>
    <row customHeight="1" ht="15.75" r="568" s="452" spans="1:48">
      <c r="A568" s="44" t="n"/>
      <c r="D568" s="535" t="n"/>
      <c r="E568" s="535" t="n"/>
      <c r="F568" s="282" t="n"/>
      <c r="G568" s="282" t="n"/>
      <c r="H568" s="536" t="n"/>
      <c r="I568" s="535" t="n"/>
      <c r="J568" s="282" t="n"/>
      <c r="K568" s="282" t="n"/>
      <c r="L568" s="536" t="n"/>
      <c r="M568" s="535" t="n"/>
      <c r="N568" s="282" t="n"/>
      <c r="O568" s="282" t="n"/>
      <c r="P568" s="535" t="n"/>
      <c r="Q568" s="535" t="n"/>
      <c r="R568" s="282" t="n"/>
      <c r="S568" s="282" t="n"/>
      <c r="T568" s="535" t="n"/>
      <c r="U568" s="535" t="n"/>
      <c r="V568" s="282" t="n"/>
      <c r="W568" s="282" t="n"/>
      <c r="X568" s="536" t="n"/>
      <c r="Y568" s="536" t="n"/>
      <c r="Z568" s="282" t="n"/>
      <c r="AA568" s="282" t="n"/>
      <c r="AB568" s="536" t="n"/>
      <c r="AC568" s="536" t="n"/>
      <c r="AD568" s="282" t="n"/>
      <c r="AE568" s="282" t="n"/>
      <c r="AF568" s="537" t="n"/>
      <c r="AG568" s="537" t="n"/>
      <c r="AH568" s="282" t="n"/>
      <c r="AI568" s="282" t="n"/>
      <c r="AJ568" s="537" t="n"/>
      <c r="AK568" s="537" t="n"/>
      <c r="AL568" s="282" t="n"/>
      <c r="AM568" s="282" t="n"/>
      <c r="AN568" s="282" t="n"/>
      <c r="AO568" s="282" t="n"/>
      <c r="AP568" s="282" t="n"/>
      <c r="AQ568" s="282" t="n"/>
      <c r="AR568" s="535" t="n"/>
      <c r="AS568" s="535" t="n"/>
      <c r="AT568" s="282" t="n"/>
      <c r="AU568" s="282" t="n"/>
    </row>
    <row customHeight="1" ht="15.75" r="569" s="452" spans="1:48">
      <c r="A569" s="44" t="n"/>
      <c r="D569" s="535" t="n"/>
      <c r="E569" s="535" t="n"/>
      <c r="F569" s="282" t="n"/>
      <c r="G569" s="282" t="n"/>
      <c r="H569" s="536" t="n"/>
      <c r="I569" s="535" t="n"/>
      <c r="J569" s="282" t="n"/>
      <c r="K569" s="282" t="n"/>
      <c r="L569" s="536" t="n"/>
      <c r="M569" s="535" t="n"/>
      <c r="N569" s="282" t="n"/>
      <c r="O569" s="282" t="n"/>
      <c r="P569" s="535" t="n"/>
      <c r="Q569" s="535" t="n"/>
      <c r="R569" s="282" t="n"/>
      <c r="S569" s="282" t="n"/>
      <c r="T569" s="535" t="n"/>
      <c r="U569" s="535" t="n"/>
      <c r="V569" s="282" t="n"/>
      <c r="W569" s="282" t="n"/>
      <c r="X569" s="536" t="n"/>
      <c r="Y569" s="536" t="n"/>
      <c r="Z569" s="282" t="n"/>
      <c r="AA569" s="282" t="n"/>
      <c r="AB569" s="536" t="n"/>
      <c r="AC569" s="536" t="n"/>
      <c r="AD569" s="282" t="n"/>
      <c r="AE569" s="282" t="n"/>
      <c r="AF569" s="537" t="n"/>
      <c r="AG569" s="537" t="n"/>
      <c r="AH569" s="282" t="n"/>
      <c r="AI569" s="282" t="n"/>
      <c r="AJ569" s="537" t="n"/>
      <c r="AK569" s="537" t="n"/>
      <c r="AL569" s="282" t="n"/>
      <c r="AM569" s="282" t="n"/>
      <c r="AN569" s="282" t="n"/>
      <c r="AO569" s="282" t="n"/>
      <c r="AP569" s="282" t="n"/>
      <c r="AQ569" s="282" t="n"/>
      <c r="AR569" s="535" t="n"/>
      <c r="AS569" s="535" t="n"/>
      <c r="AT569" s="282" t="n"/>
      <c r="AU569" s="282" t="n"/>
    </row>
    <row customHeight="1" ht="15.75" r="570" s="452" spans="1:48">
      <c r="A570" s="44" t="n"/>
      <c r="D570" s="535" t="n"/>
      <c r="E570" s="535" t="n"/>
      <c r="F570" s="282" t="n"/>
      <c r="G570" s="282" t="n"/>
      <c r="H570" s="536" t="n"/>
      <c r="I570" s="535" t="n"/>
      <c r="J570" s="282" t="n"/>
      <c r="K570" s="282" t="n"/>
      <c r="L570" s="536" t="n"/>
      <c r="M570" s="535" t="n"/>
      <c r="N570" s="282" t="n"/>
      <c r="O570" s="282" t="n"/>
      <c r="P570" s="535" t="n"/>
      <c r="Q570" s="535" t="n"/>
      <c r="R570" s="282" t="n"/>
      <c r="S570" s="282" t="n"/>
      <c r="T570" s="535" t="n"/>
      <c r="U570" s="535" t="n"/>
      <c r="V570" s="282" t="n"/>
      <c r="W570" s="282" t="n"/>
      <c r="X570" s="536" t="n"/>
      <c r="Y570" s="536" t="n"/>
      <c r="Z570" s="282" t="n"/>
      <c r="AA570" s="282" t="n"/>
      <c r="AB570" s="536" t="n"/>
      <c r="AC570" s="536" t="n"/>
      <c r="AD570" s="282" t="n"/>
      <c r="AE570" s="282" t="n"/>
      <c r="AF570" s="537" t="n"/>
      <c r="AG570" s="537" t="n"/>
      <c r="AH570" s="282" t="n"/>
      <c r="AI570" s="282" t="n"/>
      <c r="AJ570" s="537" t="n"/>
      <c r="AK570" s="537" t="n"/>
      <c r="AL570" s="282" t="n"/>
      <c r="AM570" s="282" t="n"/>
      <c r="AN570" s="282" t="n"/>
      <c r="AO570" s="282" t="n"/>
      <c r="AP570" s="282" t="n"/>
      <c r="AQ570" s="282" t="n"/>
      <c r="AR570" s="535" t="n"/>
      <c r="AS570" s="535" t="n"/>
      <c r="AT570" s="282" t="n"/>
      <c r="AU570" s="282" t="n"/>
    </row>
    <row customHeight="1" ht="15.75" r="571" s="452" spans="1:48">
      <c r="A571" s="44" t="n"/>
      <c r="D571" s="535" t="n"/>
      <c r="E571" s="535" t="n"/>
      <c r="F571" s="282" t="n"/>
      <c r="G571" s="282" t="n"/>
      <c r="H571" s="536" t="n"/>
      <c r="I571" s="535" t="n"/>
      <c r="J571" s="282" t="n"/>
      <c r="K571" s="282" t="n"/>
      <c r="L571" s="536" t="n"/>
      <c r="M571" s="535" t="n"/>
      <c r="N571" s="282" t="n"/>
      <c r="O571" s="282" t="n"/>
      <c r="P571" s="535" t="n"/>
      <c r="Q571" s="535" t="n"/>
      <c r="R571" s="282" t="n"/>
      <c r="S571" s="282" t="n"/>
      <c r="T571" s="535" t="n"/>
      <c r="U571" s="535" t="n"/>
      <c r="V571" s="282" t="n"/>
      <c r="W571" s="282" t="n"/>
      <c r="X571" s="536" t="n"/>
      <c r="Y571" s="536" t="n"/>
      <c r="Z571" s="282" t="n"/>
      <c r="AA571" s="282" t="n"/>
      <c r="AB571" s="536" t="n"/>
      <c r="AC571" s="536" t="n"/>
      <c r="AD571" s="282" t="n"/>
      <c r="AE571" s="282" t="n"/>
      <c r="AF571" s="537" t="n"/>
      <c r="AG571" s="537" t="n"/>
      <c r="AH571" s="282" t="n"/>
      <c r="AI571" s="282" t="n"/>
      <c r="AJ571" s="537" t="n"/>
      <c r="AK571" s="537" t="n"/>
      <c r="AL571" s="282" t="n"/>
      <c r="AM571" s="282" t="n"/>
      <c r="AN571" s="282" t="n"/>
      <c r="AO571" s="282" t="n"/>
      <c r="AP571" s="282" t="n"/>
      <c r="AQ571" s="282" t="n"/>
      <c r="AR571" s="535" t="n"/>
      <c r="AS571" s="535" t="n"/>
      <c r="AT571" s="282" t="n"/>
      <c r="AU571" s="282" t="n"/>
    </row>
    <row customHeight="1" ht="15.75" r="572" s="452" spans="1:48">
      <c r="A572" s="44" t="n"/>
      <c r="D572" s="535" t="n"/>
      <c r="E572" s="535" t="n"/>
      <c r="F572" s="282" t="n"/>
      <c r="G572" s="282" t="n"/>
      <c r="H572" s="536" t="n"/>
      <c r="I572" s="535" t="n"/>
      <c r="J572" s="282" t="n"/>
      <c r="K572" s="282" t="n"/>
      <c r="L572" s="536" t="n"/>
      <c r="M572" s="535" t="n"/>
      <c r="N572" s="282" t="n"/>
      <c r="O572" s="282" t="n"/>
      <c r="P572" s="535" t="n"/>
      <c r="Q572" s="535" t="n"/>
      <c r="R572" s="282" t="n"/>
      <c r="S572" s="282" t="n"/>
      <c r="T572" s="535" t="n"/>
      <c r="U572" s="535" t="n"/>
      <c r="V572" s="282" t="n"/>
      <c r="W572" s="282" t="n"/>
      <c r="X572" s="536" t="n"/>
      <c r="Y572" s="536" t="n"/>
      <c r="Z572" s="282" t="n"/>
      <c r="AA572" s="282" t="n"/>
      <c r="AB572" s="536" t="n"/>
      <c r="AC572" s="536" t="n"/>
      <c r="AD572" s="282" t="n"/>
      <c r="AE572" s="282" t="n"/>
      <c r="AF572" s="537" t="n"/>
      <c r="AG572" s="537" t="n"/>
      <c r="AH572" s="282" t="n"/>
      <c r="AI572" s="282" t="n"/>
      <c r="AJ572" s="537" t="n"/>
      <c r="AK572" s="537" t="n"/>
      <c r="AL572" s="282" t="n"/>
      <c r="AM572" s="282" t="n"/>
      <c r="AN572" s="282" t="n"/>
      <c r="AO572" s="282" t="n"/>
      <c r="AP572" s="282" t="n"/>
      <c r="AQ572" s="282" t="n"/>
      <c r="AR572" s="535" t="n"/>
      <c r="AS572" s="535" t="n"/>
      <c r="AT572" s="282" t="n"/>
      <c r="AU572" s="282" t="n"/>
    </row>
    <row customHeight="1" ht="15.75" r="573" s="452" spans="1:48">
      <c r="A573" s="44" t="n"/>
      <c r="D573" s="535" t="n"/>
      <c r="E573" s="535" t="n"/>
      <c r="F573" s="282" t="n"/>
      <c r="G573" s="282" t="n"/>
      <c r="H573" s="536" t="n"/>
      <c r="I573" s="535" t="n"/>
      <c r="J573" s="282" t="n"/>
      <c r="K573" s="282" t="n"/>
      <c r="L573" s="536" t="n"/>
      <c r="M573" s="535" t="n"/>
      <c r="N573" s="282" t="n"/>
      <c r="O573" s="282" t="n"/>
      <c r="P573" s="535" t="n"/>
      <c r="Q573" s="535" t="n"/>
      <c r="R573" s="282" t="n"/>
      <c r="S573" s="282" t="n"/>
      <c r="T573" s="535" t="n"/>
      <c r="U573" s="535" t="n"/>
      <c r="V573" s="282" t="n"/>
      <c r="W573" s="282" t="n"/>
      <c r="X573" s="536" t="n"/>
      <c r="Y573" s="536" t="n"/>
      <c r="Z573" s="282" t="n"/>
      <c r="AA573" s="282" t="n"/>
      <c r="AB573" s="536" t="n"/>
      <c r="AC573" s="536" t="n"/>
      <c r="AD573" s="282" t="n"/>
      <c r="AE573" s="282" t="n"/>
      <c r="AF573" s="537" t="n"/>
      <c r="AG573" s="537" t="n"/>
      <c r="AH573" s="282" t="n"/>
      <c r="AI573" s="282" t="n"/>
      <c r="AJ573" s="537" t="n"/>
      <c r="AK573" s="537" t="n"/>
      <c r="AL573" s="282" t="n"/>
      <c r="AM573" s="282" t="n"/>
      <c r="AN573" s="282" t="n"/>
      <c r="AO573" s="282" t="n"/>
      <c r="AP573" s="282" t="n"/>
      <c r="AQ573" s="282" t="n"/>
      <c r="AR573" s="535" t="n"/>
      <c r="AS573" s="535" t="n"/>
      <c r="AT573" s="282" t="n"/>
      <c r="AU573" s="282" t="n"/>
    </row>
    <row customHeight="1" ht="15.75" r="574" s="452" spans="1:48">
      <c r="A574" s="44" t="n"/>
      <c r="D574" s="535" t="n"/>
      <c r="E574" s="535" t="n"/>
      <c r="F574" s="282" t="n"/>
      <c r="G574" s="282" t="n"/>
      <c r="H574" s="536" t="n"/>
      <c r="I574" s="535" t="n"/>
      <c r="J574" s="282" t="n"/>
      <c r="K574" s="282" t="n"/>
      <c r="L574" s="536" t="n"/>
      <c r="M574" s="535" t="n"/>
      <c r="N574" s="282" t="n"/>
      <c r="O574" s="282" t="n"/>
      <c r="P574" s="535" t="n"/>
      <c r="Q574" s="535" t="n"/>
      <c r="R574" s="282" t="n"/>
      <c r="S574" s="282" t="n"/>
      <c r="T574" s="535" t="n"/>
      <c r="U574" s="535" t="n"/>
      <c r="V574" s="282" t="n"/>
      <c r="W574" s="282" t="n"/>
      <c r="X574" s="536" t="n"/>
      <c r="Y574" s="536" t="n"/>
      <c r="Z574" s="282" t="n"/>
      <c r="AA574" s="282" t="n"/>
      <c r="AB574" s="536" t="n"/>
      <c r="AC574" s="536" t="n"/>
      <c r="AD574" s="282" t="n"/>
      <c r="AE574" s="282" t="n"/>
      <c r="AF574" s="537" t="n"/>
      <c r="AG574" s="537" t="n"/>
      <c r="AH574" s="282" t="n"/>
      <c r="AI574" s="282" t="n"/>
      <c r="AJ574" s="537" t="n"/>
      <c r="AK574" s="537" t="n"/>
      <c r="AL574" s="282" t="n"/>
      <c r="AM574" s="282" t="n"/>
      <c r="AN574" s="282" t="n"/>
      <c r="AO574" s="282" t="n"/>
      <c r="AP574" s="282" t="n"/>
      <c r="AQ574" s="282" t="n"/>
      <c r="AR574" s="535" t="n"/>
      <c r="AS574" s="535" t="n"/>
      <c r="AT574" s="282" t="n"/>
      <c r="AU574" s="282" t="n"/>
    </row>
    <row customHeight="1" ht="15.75" r="575" s="452" spans="1:48">
      <c r="A575" s="44" t="n"/>
      <c r="D575" s="535" t="n"/>
      <c r="E575" s="535" t="n"/>
      <c r="F575" s="282" t="n"/>
      <c r="G575" s="282" t="n"/>
      <c r="H575" s="536" t="n"/>
      <c r="I575" s="535" t="n"/>
      <c r="J575" s="282" t="n"/>
      <c r="K575" s="282" t="n"/>
      <c r="L575" s="536" t="n"/>
      <c r="M575" s="535" t="n"/>
      <c r="N575" s="282" t="n"/>
      <c r="O575" s="282" t="n"/>
      <c r="P575" s="535" t="n"/>
      <c r="Q575" s="535" t="n"/>
      <c r="R575" s="282" t="n"/>
      <c r="S575" s="282" t="n"/>
      <c r="T575" s="535" t="n"/>
      <c r="U575" s="535" t="n"/>
      <c r="V575" s="282" t="n"/>
      <c r="W575" s="282" t="n"/>
      <c r="X575" s="536" t="n"/>
      <c r="Y575" s="536" t="n"/>
      <c r="Z575" s="282" t="n"/>
      <c r="AA575" s="282" t="n"/>
      <c r="AB575" s="536" t="n"/>
      <c r="AC575" s="536" t="n"/>
      <c r="AD575" s="282" t="n"/>
      <c r="AE575" s="282" t="n"/>
      <c r="AF575" s="537" t="n"/>
      <c r="AG575" s="537" t="n"/>
      <c r="AH575" s="282" t="n"/>
      <c r="AI575" s="282" t="n"/>
      <c r="AJ575" s="537" t="n"/>
      <c r="AK575" s="537" t="n"/>
      <c r="AL575" s="282" t="n"/>
      <c r="AM575" s="282" t="n"/>
      <c r="AN575" s="282" t="n"/>
      <c r="AO575" s="282" t="n"/>
      <c r="AP575" s="282" t="n"/>
      <c r="AQ575" s="282" t="n"/>
      <c r="AR575" s="535" t="n"/>
      <c r="AS575" s="535" t="n"/>
      <c r="AT575" s="282" t="n"/>
      <c r="AU575" s="282" t="n"/>
    </row>
    <row customHeight="1" ht="15.75" r="576" s="452" spans="1:48">
      <c r="A576" s="44" t="n"/>
      <c r="D576" s="535" t="n"/>
      <c r="E576" s="535" t="n"/>
      <c r="F576" s="282" t="n"/>
      <c r="G576" s="282" t="n"/>
      <c r="H576" s="536" t="n"/>
      <c r="I576" s="535" t="n"/>
      <c r="J576" s="282" t="n"/>
      <c r="K576" s="282" t="n"/>
      <c r="L576" s="536" t="n"/>
      <c r="M576" s="535" t="n"/>
      <c r="N576" s="282" t="n"/>
      <c r="O576" s="282" t="n"/>
      <c r="P576" s="535" t="n"/>
      <c r="Q576" s="535" t="n"/>
      <c r="R576" s="282" t="n"/>
      <c r="S576" s="282" t="n"/>
      <c r="T576" s="535" t="n"/>
      <c r="U576" s="535" t="n"/>
      <c r="V576" s="282" t="n"/>
      <c r="W576" s="282" t="n"/>
      <c r="X576" s="536" t="n"/>
      <c r="Y576" s="536" t="n"/>
      <c r="Z576" s="282" t="n"/>
      <c r="AA576" s="282" t="n"/>
      <c r="AB576" s="536" t="n"/>
      <c r="AC576" s="536" t="n"/>
      <c r="AD576" s="282" t="n"/>
      <c r="AE576" s="282" t="n"/>
      <c r="AF576" s="537" t="n"/>
      <c r="AG576" s="537" t="n"/>
      <c r="AH576" s="282" t="n"/>
      <c r="AI576" s="282" t="n"/>
      <c r="AJ576" s="537" t="n"/>
      <c r="AK576" s="537" t="n"/>
      <c r="AL576" s="282" t="n"/>
      <c r="AM576" s="282" t="n"/>
      <c r="AN576" s="282" t="n"/>
      <c r="AO576" s="282" t="n"/>
      <c r="AP576" s="282" t="n"/>
      <c r="AQ576" s="282" t="n"/>
      <c r="AR576" s="535" t="n"/>
      <c r="AS576" s="535" t="n"/>
      <c r="AT576" s="282" t="n"/>
      <c r="AU576" s="282" t="n"/>
    </row>
    <row customHeight="1" ht="15.75" r="577" s="452" spans="1:48">
      <c r="A577" s="44" t="n"/>
      <c r="D577" s="535" t="n"/>
      <c r="E577" s="535" t="n"/>
      <c r="F577" s="282" t="n"/>
      <c r="G577" s="282" t="n"/>
      <c r="H577" s="536" t="n"/>
      <c r="I577" s="535" t="n"/>
      <c r="J577" s="282" t="n"/>
      <c r="K577" s="282" t="n"/>
      <c r="L577" s="536" t="n"/>
      <c r="M577" s="535" t="n"/>
      <c r="N577" s="282" t="n"/>
      <c r="O577" s="282" t="n"/>
      <c r="P577" s="535" t="n"/>
      <c r="Q577" s="535" t="n"/>
      <c r="R577" s="282" t="n"/>
      <c r="S577" s="282" t="n"/>
      <c r="T577" s="535" t="n"/>
      <c r="U577" s="535" t="n"/>
      <c r="V577" s="282" t="n"/>
      <c r="W577" s="282" t="n"/>
      <c r="X577" s="536" t="n"/>
      <c r="Y577" s="536" t="n"/>
      <c r="Z577" s="282" t="n"/>
      <c r="AA577" s="282" t="n"/>
      <c r="AB577" s="536" t="n"/>
      <c r="AC577" s="536" t="n"/>
      <c r="AD577" s="282" t="n"/>
      <c r="AE577" s="282" t="n"/>
      <c r="AF577" s="537" t="n"/>
      <c r="AG577" s="537" t="n"/>
      <c r="AH577" s="282" t="n"/>
      <c r="AI577" s="282" t="n"/>
      <c r="AJ577" s="537" t="n"/>
      <c r="AK577" s="537" t="n"/>
      <c r="AL577" s="282" t="n"/>
      <c r="AM577" s="282" t="n"/>
      <c r="AN577" s="282" t="n"/>
      <c r="AO577" s="282" t="n"/>
      <c r="AP577" s="282" t="n"/>
      <c r="AQ577" s="282" t="n"/>
      <c r="AR577" s="535" t="n"/>
      <c r="AS577" s="535" t="n"/>
      <c r="AT577" s="282" t="n"/>
      <c r="AU577" s="282" t="n"/>
    </row>
    <row customHeight="1" ht="15.75" r="578" s="452" spans="1:48">
      <c r="A578" s="44" t="n"/>
      <c r="D578" s="535" t="n"/>
      <c r="E578" s="535" t="n"/>
      <c r="F578" s="282" t="n"/>
      <c r="G578" s="282" t="n"/>
      <c r="H578" s="536" t="n"/>
      <c r="I578" s="535" t="n"/>
      <c r="J578" s="282" t="n"/>
      <c r="K578" s="282" t="n"/>
      <c r="L578" s="536" t="n"/>
      <c r="M578" s="535" t="n"/>
      <c r="N578" s="282" t="n"/>
      <c r="O578" s="282" t="n"/>
      <c r="P578" s="535" t="n"/>
      <c r="Q578" s="535" t="n"/>
      <c r="R578" s="282" t="n"/>
      <c r="S578" s="282" t="n"/>
      <c r="T578" s="535" t="n"/>
      <c r="U578" s="535" t="n"/>
      <c r="V578" s="282" t="n"/>
      <c r="W578" s="282" t="n"/>
      <c r="X578" s="536" t="n"/>
      <c r="Y578" s="536" t="n"/>
      <c r="Z578" s="282" t="n"/>
      <c r="AA578" s="282" t="n"/>
      <c r="AB578" s="536" t="n"/>
      <c r="AC578" s="536" t="n"/>
      <c r="AD578" s="282" t="n"/>
      <c r="AE578" s="282" t="n"/>
      <c r="AF578" s="537" t="n"/>
      <c r="AG578" s="537" t="n"/>
      <c r="AH578" s="282" t="n"/>
      <c r="AI578" s="282" t="n"/>
      <c r="AJ578" s="537" t="n"/>
      <c r="AK578" s="537" t="n"/>
      <c r="AL578" s="282" t="n"/>
      <c r="AM578" s="282" t="n"/>
      <c r="AN578" s="282" t="n"/>
      <c r="AO578" s="282" t="n"/>
      <c r="AP578" s="282" t="n"/>
      <c r="AQ578" s="282" t="n"/>
      <c r="AR578" s="535" t="n"/>
      <c r="AS578" s="535" t="n"/>
      <c r="AT578" s="282" t="n"/>
      <c r="AU578" s="282" t="n"/>
    </row>
    <row customHeight="1" ht="15.75" r="579" s="452" spans="1:48">
      <c r="A579" s="44" t="n"/>
      <c r="D579" s="535" t="n"/>
      <c r="E579" s="535" t="n"/>
      <c r="F579" s="282" t="n"/>
      <c r="G579" s="282" t="n"/>
      <c r="H579" s="536" t="n"/>
      <c r="I579" s="535" t="n"/>
      <c r="J579" s="282" t="n"/>
      <c r="K579" s="282" t="n"/>
      <c r="L579" s="536" t="n"/>
      <c r="M579" s="535" t="n"/>
      <c r="N579" s="282" t="n"/>
      <c r="O579" s="282" t="n"/>
      <c r="P579" s="535" t="n"/>
      <c r="Q579" s="535" t="n"/>
      <c r="R579" s="282" t="n"/>
      <c r="S579" s="282" t="n"/>
      <c r="T579" s="535" t="n"/>
      <c r="U579" s="535" t="n"/>
      <c r="V579" s="282" t="n"/>
      <c r="W579" s="282" t="n"/>
      <c r="X579" s="536" t="n"/>
      <c r="Y579" s="536" t="n"/>
      <c r="Z579" s="282" t="n"/>
      <c r="AA579" s="282" t="n"/>
      <c r="AB579" s="536" t="n"/>
      <c r="AC579" s="536" t="n"/>
      <c r="AD579" s="282" t="n"/>
      <c r="AE579" s="282" t="n"/>
      <c r="AF579" s="537" t="n"/>
      <c r="AG579" s="537" t="n"/>
      <c r="AH579" s="282" t="n"/>
      <c r="AI579" s="282" t="n"/>
      <c r="AJ579" s="537" t="n"/>
      <c r="AK579" s="537" t="n"/>
      <c r="AL579" s="282" t="n"/>
      <c r="AM579" s="282" t="n"/>
      <c r="AN579" s="282" t="n"/>
      <c r="AO579" s="282" t="n"/>
      <c r="AP579" s="282" t="n"/>
      <c r="AQ579" s="282" t="n"/>
      <c r="AR579" s="535" t="n"/>
      <c r="AS579" s="535" t="n"/>
      <c r="AT579" s="282" t="n"/>
      <c r="AU579" s="282" t="n"/>
    </row>
    <row customHeight="1" ht="15.75" r="580" s="452" spans="1:48">
      <c r="A580" s="44" t="n"/>
      <c r="D580" s="535" t="n"/>
      <c r="E580" s="535" t="n"/>
      <c r="F580" s="282" t="n"/>
      <c r="G580" s="282" t="n"/>
      <c r="H580" s="536" t="n"/>
      <c r="I580" s="535" t="n"/>
      <c r="J580" s="282" t="n"/>
      <c r="K580" s="282" t="n"/>
      <c r="L580" s="536" t="n"/>
      <c r="M580" s="535" t="n"/>
      <c r="N580" s="282" t="n"/>
      <c r="O580" s="282" t="n"/>
      <c r="P580" s="535" t="n"/>
      <c r="Q580" s="535" t="n"/>
      <c r="R580" s="282" t="n"/>
      <c r="S580" s="282" t="n"/>
      <c r="T580" s="535" t="n"/>
      <c r="U580" s="535" t="n"/>
      <c r="V580" s="282" t="n"/>
      <c r="W580" s="282" t="n"/>
      <c r="X580" s="536" t="n"/>
      <c r="Y580" s="536" t="n"/>
      <c r="Z580" s="282" t="n"/>
      <c r="AA580" s="282" t="n"/>
      <c r="AB580" s="536" t="n"/>
      <c r="AC580" s="536" t="n"/>
      <c r="AD580" s="282" t="n"/>
      <c r="AE580" s="282" t="n"/>
      <c r="AF580" s="537" t="n"/>
      <c r="AG580" s="537" t="n"/>
      <c r="AH580" s="282" t="n"/>
      <c r="AI580" s="282" t="n"/>
      <c r="AJ580" s="537" t="n"/>
      <c r="AK580" s="537" t="n"/>
      <c r="AL580" s="282" t="n"/>
      <c r="AM580" s="282" t="n"/>
      <c r="AN580" s="282" t="n"/>
      <c r="AO580" s="282" t="n"/>
      <c r="AP580" s="282" t="n"/>
      <c r="AQ580" s="282" t="n"/>
      <c r="AR580" s="535" t="n"/>
      <c r="AS580" s="535" t="n"/>
      <c r="AT580" s="282" t="n"/>
      <c r="AU580" s="282" t="n"/>
    </row>
    <row customHeight="1" ht="15.75" r="581" s="452" spans="1:48">
      <c r="A581" s="44" t="n"/>
      <c r="D581" s="535" t="n"/>
      <c r="E581" s="535" t="n"/>
      <c r="F581" s="282" t="n"/>
      <c r="G581" s="282" t="n"/>
      <c r="H581" s="536" t="n"/>
      <c r="I581" s="535" t="n"/>
      <c r="J581" s="282" t="n"/>
      <c r="K581" s="282" t="n"/>
      <c r="L581" s="536" t="n"/>
      <c r="M581" s="535" t="n"/>
      <c r="N581" s="282" t="n"/>
      <c r="O581" s="282" t="n"/>
      <c r="P581" s="535" t="n"/>
      <c r="Q581" s="535" t="n"/>
      <c r="R581" s="282" t="n"/>
      <c r="S581" s="282" t="n"/>
      <c r="T581" s="535" t="n"/>
      <c r="U581" s="535" t="n"/>
      <c r="V581" s="282" t="n"/>
      <c r="W581" s="282" t="n"/>
      <c r="X581" s="536" t="n"/>
      <c r="Y581" s="536" t="n"/>
      <c r="Z581" s="282" t="n"/>
      <c r="AA581" s="282" t="n"/>
      <c r="AB581" s="536" t="n"/>
      <c r="AC581" s="536" t="n"/>
      <c r="AD581" s="282" t="n"/>
      <c r="AE581" s="282" t="n"/>
      <c r="AF581" s="537" t="n"/>
      <c r="AG581" s="537" t="n"/>
      <c r="AH581" s="282" t="n"/>
      <c r="AI581" s="282" t="n"/>
      <c r="AJ581" s="537" t="n"/>
      <c r="AK581" s="537" t="n"/>
      <c r="AL581" s="282" t="n"/>
      <c r="AM581" s="282" t="n"/>
      <c r="AN581" s="282" t="n"/>
      <c r="AO581" s="282" t="n"/>
      <c r="AP581" s="282" t="n"/>
      <c r="AQ581" s="282" t="n"/>
      <c r="AR581" s="535" t="n"/>
      <c r="AS581" s="535" t="n"/>
      <c r="AT581" s="282" t="n"/>
      <c r="AU581" s="282" t="n"/>
    </row>
    <row customHeight="1" ht="15.75" r="582" s="452" spans="1:48">
      <c r="A582" s="44" t="n"/>
      <c r="D582" s="535" t="n"/>
      <c r="E582" s="535" t="n"/>
      <c r="F582" s="282" t="n"/>
      <c r="G582" s="282" t="n"/>
      <c r="H582" s="536" t="n"/>
      <c r="I582" s="535" t="n"/>
      <c r="J582" s="282" t="n"/>
      <c r="K582" s="282" t="n"/>
      <c r="L582" s="536" t="n"/>
      <c r="M582" s="535" t="n"/>
      <c r="N582" s="282" t="n"/>
      <c r="O582" s="282" t="n"/>
      <c r="P582" s="535" t="n"/>
      <c r="Q582" s="535" t="n"/>
      <c r="R582" s="282" t="n"/>
      <c r="S582" s="282" t="n"/>
      <c r="T582" s="535" t="n"/>
      <c r="U582" s="535" t="n"/>
      <c r="V582" s="282" t="n"/>
      <c r="W582" s="282" t="n"/>
      <c r="X582" s="536" t="n"/>
      <c r="Y582" s="536" t="n"/>
      <c r="Z582" s="282" t="n"/>
      <c r="AA582" s="282" t="n"/>
      <c r="AB582" s="536" t="n"/>
      <c r="AC582" s="536" t="n"/>
      <c r="AD582" s="282" t="n"/>
      <c r="AE582" s="282" t="n"/>
      <c r="AF582" s="537" t="n"/>
      <c r="AG582" s="537" t="n"/>
      <c r="AH582" s="282" t="n"/>
      <c r="AI582" s="282" t="n"/>
      <c r="AJ582" s="537" t="n"/>
      <c r="AK582" s="537" t="n"/>
      <c r="AL582" s="282" t="n"/>
      <c r="AM582" s="282" t="n"/>
      <c r="AN582" s="282" t="n"/>
      <c r="AO582" s="282" t="n"/>
      <c r="AP582" s="282" t="n"/>
      <c r="AQ582" s="282" t="n"/>
      <c r="AR582" s="535" t="n"/>
      <c r="AS582" s="535" t="n"/>
      <c r="AT582" s="282" t="n"/>
      <c r="AU582" s="282" t="n"/>
    </row>
    <row customHeight="1" ht="15.75" r="583" s="452" spans="1:48">
      <c r="A583" s="44" t="n"/>
      <c r="D583" s="535" t="n"/>
      <c r="E583" s="535" t="n"/>
      <c r="F583" s="282" t="n"/>
      <c r="G583" s="282" t="n"/>
      <c r="H583" s="536" t="n"/>
      <c r="I583" s="535" t="n"/>
      <c r="J583" s="282" t="n"/>
      <c r="K583" s="282" t="n"/>
      <c r="L583" s="536" t="n"/>
      <c r="M583" s="535" t="n"/>
      <c r="N583" s="282" t="n"/>
      <c r="O583" s="282" t="n"/>
      <c r="P583" s="535" t="n"/>
      <c r="Q583" s="535" t="n"/>
      <c r="R583" s="282" t="n"/>
      <c r="S583" s="282" t="n"/>
      <c r="T583" s="535" t="n"/>
      <c r="U583" s="535" t="n"/>
      <c r="V583" s="282" t="n"/>
      <c r="W583" s="282" t="n"/>
      <c r="X583" s="536" t="n"/>
      <c r="Y583" s="536" t="n"/>
      <c r="Z583" s="282" t="n"/>
      <c r="AA583" s="282" t="n"/>
      <c r="AB583" s="536" t="n"/>
      <c r="AC583" s="536" t="n"/>
      <c r="AD583" s="282" t="n"/>
      <c r="AE583" s="282" t="n"/>
      <c r="AF583" s="537" t="n"/>
      <c r="AG583" s="537" t="n"/>
      <c r="AH583" s="282" t="n"/>
      <c r="AI583" s="282" t="n"/>
      <c r="AJ583" s="537" t="n"/>
      <c r="AK583" s="537" t="n"/>
      <c r="AL583" s="282" t="n"/>
      <c r="AM583" s="282" t="n"/>
      <c r="AN583" s="282" t="n"/>
      <c r="AO583" s="282" t="n"/>
      <c r="AP583" s="282" t="n"/>
      <c r="AQ583" s="282" t="n"/>
      <c r="AR583" s="535" t="n"/>
      <c r="AS583" s="535" t="n"/>
      <c r="AT583" s="282" t="n"/>
      <c r="AU583" s="282" t="n"/>
    </row>
    <row customHeight="1" ht="15.75" r="584" s="452" spans="1:48">
      <c r="A584" s="44" t="n"/>
      <c r="D584" s="535" t="n"/>
      <c r="E584" s="535" t="n"/>
      <c r="F584" s="282" t="n"/>
      <c r="G584" s="282" t="n"/>
      <c r="H584" s="536" t="n"/>
      <c r="I584" s="535" t="n"/>
      <c r="J584" s="282" t="n"/>
      <c r="K584" s="282" t="n"/>
      <c r="L584" s="536" t="n"/>
      <c r="M584" s="535" t="n"/>
      <c r="N584" s="282" t="n"/>
      <c r="O584" s="282" t="n"/>
      <c r="P584" s="535" t="n"/>
      <c r="Q584" s="535" t="n"/>
      <c r="R584" s="282" t="n"/>
      <c r="S584" s="282" t="n"/>
      <c r="T584" s="535" t="n"/>
      <c r="U584" s="535" t="n"/>
      <c r="V584" s="282" t="n"/>
      <c r="W584" s="282" t="n"/>
      <c r="X584" s="536" t="n"/>
      <c r="Y584" s="536" t="n"/>
      <c r="Z584" s="282" t="n"/>
      <c r="AA584" s="282" t="n"/>
      <c r="AB584" s="536" t="n"/>
      <c r="AC584" s="536" t="n"/>
      <c r="AD584" s="282" t="n"/>
      <c r="AE584" s="282" t="n"/>
      <c r="AF584" s="537" t="n"/>
      <c r="AG584" s="537" t="n"/>
      <c r="AH584" s="282" t="n"/>
      <c r="AI584" s="282" t="n"/>
      <c r="AJ584" s="537" t="n"/>
      <c r="AK584" s="537" t="n"/>
      <c r="AL584" s="282" t="n"/>
      <c r="AM584" s="282" t="n"/>
      <c r="AN584" s="282" t="n"/>
      <c r="AO584" s="282" t="n"/>
      <c r="AP584" s="282" t="n"/>
      <c r="AQ584" s="282" t="n"/>
      <c r="AR584" s="535" t="n"/>
      <c r="AS584" s="535" t="n"/>
      <c r="AT584" s="282" t="n"/>
      <c r="AU584" s="282" t="n"/>
    </row>
    <row customHeight="1" ht="15.75" r="585" s="452" spans="1:48">
      <c r="A585" s="44" t="n"/>
      <c r="D585" s="535" t="n"/>
      <c r="E585" s="535" t="n"/>
      <c r="F585" s="282" t="n"/>
      <c r="G585" s="282" t="n"/>
      <c r="H585" s="536" t="n"/>
      <c r="I585" s="535" t="n"/>
      <c r="J585" s="282" t="n"/>
      <c r="K585" s="282" t="n"/>
      <c r="L585" s="536" t="n"/>
      <c r="M585" s="535" t="n"/>
      <c r="N585" s="282" t="n"/>
      <c r="O585" s="282" t="n"/>
      <c r="P585" s="535" t="n"/>
      <c r="Q585" s="535" t="n"/>
      <c r="R585" s="282" t="n"/>
      <c r="S585" s="282" t="n"/>
      <c r="T585" s="535" t="n"/>
      <c r="U585" s="535" t="n"/>
      <c r="V585" s="282" t="n"/>
      <c r="W585" s="282" t="n"/>
      <c r="X585" s="536" t="n"/>
      <c r="Y585" s="536" t="n"/>
      <c r="Z585" s="282" t="n"/>
      <c r="AA585" s="282" t="n"/>
      <c r="AB585" s="536" t="n"/>
      <c r="AC585" s="536" t="n"/>
      <c r="AD585" s="282" t="n"/>
      <c r="AE585" s="282" t="n"/>
      <c r="AF585" s="537" t="n"/>
      <c r="AG585" s="537" t="n"/>
      <c r="AH585" s="282" t="n"/>
      <c r="AI585" s="282" t="n"/>
      <c r="AJ585" s="537" t="n"/>
      <c r="AK585" s="537" t="n"/>
      <c r="AL585" s="282" t="n"/>
      <c r="AM585" s="282" t="n"/>
      <c r="AN585" s="282" t="n"/>
      <c r="AO585" s="282" t="n"/>
      <c r="AP585" s="282" t="n"/>
      <c r="AQ585" s="282" t="n"/>
      <c r="AR585" s="535" t="n"/>
      <c r="AS585" s="535" t="n"/>
      <c r="AT585" s="282" t="n"/>
      <c r="AU585" s="282" t="n"/>
    </row>
    <row customHeight="1" ht="15.75" r="586" s="452" spans="1:48">
      <c r="A586" s="44" t="n"/>
      <c r="D586" s="535" t="n"/>
      <c r="E586" s="535" t="n"/>
      <c r="F586" s="282" t="n"/>
      <c r="G586" s="282" t="n"/>
      <c r="H586" s="536" t="n"/>
      <c r="I586" s="535" t="n"/>
      <c r="J586" s="282" t="n"/>
      <c r="K586" s="282" t="n"/>
      <c r="L586" s="536" t="n"/>
      <c r="M586" s="535" t="n"/>
      <c r="N586" s="282" t="n"/>
      <c r="O586" s="282" t="n"/>
      <c r="P586" s="535" t="n"/>
      <c r="Q586" s="535" t="n"/>
      <c r="R586" s="282" t="n"/>
      <c r="S586" s="282" t="n"/>
      <c r="T586" s="535" t="n"/>
      <c r="U586" s="535" t="n"/>
      <c r="V586" s="282" t="n"/>
      <c r="W586" s="282" t="n"/>
      <c r="X586" s="536" t="n"/>
      <c r="Y586" s="536" t="n"/>
      <c r="Z586" s="282" t="n"/>
      <c r="AA586" s="282" t="n"/>
      <c r="AB586" s="536" t="n"/>
      <c r="AC586" s="536" t="n"/>
      <c r="AD586" s="282" t="n"/>
      <c r="AE586" s="282" t="n"/>
      <c r="AF586" s="537" t="n"/>
      <c r="AG586" s="537" t="n"/>
      <c r="AH586" s="282" t="n"/>
      <c r="AI586" s="282" t="n"/>
      <c r="AJ586" s="537" t="n"/>
      <c r="AK586" s="537" t="n"/>
      <c r="AL586" s="282" t="n"/>
      <c r="AM586" s="282" t="n"/>
      <c r="AN586" s="282" t="n"/>
      <c r="AO586" s="282" t="n"/>
      <c r="AP586" s="282" t="n"/>
      <c r="AQ586" s="282" t="n"/>
      <c r="AR586" s="535" t="n"/>
      <c r="AS586" s="535" t="n"/>
      <c r="AT586" s="282" t="n"/>
      <c r="AU586" s="282" t="n"/>
    </row>
    <row customHeight="1" ht="15.75" r="587" s="452" spans="1:48">
      <c r="A587" s="44" t="n"/>
      <c r="D587" s="535" t="n"/>
      <c r="E587" s="535" t="n"/>
      <c r="F587" s="282" t="n"/>
      <c r="G587" s="282" t="n"/>
      <c r="H587" s="536" t="n"/>
      <c r="I587" s="535" t="n"/>
      <c r="J587" s="282" t="n"/>
      <c r="K587" s="282" t="n"/>
      <c r="L587" s="536" t="n"/>
      <c r="M587" s="535" t="n"/>
      <c r="N587" s="282" t="n"/>
      <c r="O587" s="282" t="n"/>
      <c r="P587" s="535" t="n"/>
      <c r="Q587" s="535" t="n"/>
      <c r="R587" s="282" t="n"/>
      <c r="S587" s="282" t="n"/>
      <c r="T587" s="535" t="n"/>
      <c r="U587" s="535" t="n"/>
      <c r="V587" s="282" t="n"/>
      <c r="W587" s="282" t="n"/>
      <c r="X587" s="536" t="n"/>
      <c r="Y587" s="536" t="n"/>
      <c r="Z587" s="282" t="n"/>
      <c r="AA587" s="282" t="n"/>
      <c r="AB587" s="536" t="n"/>
      <c r="AC587" s="536" t="n"/>
      <c r="AD587" s="282" t="n"/>
      <c r="AE587" s="282" t="n"/>
      <c r="AF587" s="537" t="n"/>
      <c r="AG587" s="537" t="n"/>
      <c r="AH587" s="282" t="n"/>
      <c r="AI587" s="282" t="n"/>
      <c r="AJ587" s="537" t="n"/>
      <c r="AK587" s="537" t="n"/>
      <c r="AL587" s="282" t="n"/>
      <c r="AM587" s="282" t="n"/>
      <c r="AN587" s="282" t="n"/>
      <c r="AO587" s="282" t="n"/>
      <c r="AP587" s="282" t="n"/>
      <c r="AQ587" s="282" t="n"/>
      <c r="AR587" s="535" t="n"/>
      <c r="AS587" s="535" t="n"/>
      <c r="AT587" s="282" t="n"/>
      <c r="AU587" s="282" t="n"/>
    </row>
    <row customHeight="1" ht="15.75" r="588" s="452" spans="1:48">
      <c r="A588" s="44" t="n"/>
      <c r="D588" s="535" t="n"/>
      <c r="E588" s="535" t="n"/>
      <c r="F588" s="282" t="n"/>
      <c r="G588" s="282" t="n"/>
      <c r="H588" s="536" t="n"/>
      <c r="I588" s="535" t="n"/>
      <c r="J588" s="282" t="n"/>
      <c r="K588" s="282" t="n"/>
      <c r="L588" s="536" t="n"/>
      <c r="M588" s="535" t="n"/>
      <c r="N588" s="282" t="n"/>
      <c r="O588" s="282" t="n"/>
      <c r="P588" s="535" t="n"/>
      <c r="Q588" s="535" t="n"/>
      <c r="R588" s="282" t="n"/>
      <c r="S588" s="282" t="n"/>
      <c r="T588" s="535" t="n"/>
      <c r="U588" s="535" t="n"/>
      <c r="V588" s="282" t="n"/>
      <c r="W588" s="282" t="n"/>
      <c r="X588" s="536" t="n"/>
      <c r="Y588" s="536" t="n"/>
      <c r="Z588" s="282" t="n"/>
      <c r="AA588" s="282" t="n"/>
      <c r="AB588" s="536" t="n"/>
      <c r="AC588" s="536" t="n"/>
      <c r="AD588" s="282" t="n"/>
      <c r="AE588" s="282" t="n"/>
      <c r="AF588" s="537" t="n"/>
      <c r="AG588" s="537" t="n"/>
      <c r="AH588" s="282" t="n"/>
      <c r="AI588" s="282" t="n"/>
      <c r="AJ588" s="537" t="n"/>
      <c r="AK588" s="537" t="n"/>
      <c r="AL588" s="282" t="n"/>
      <c r="AM588" s="282" t="n"/>
      <c r="AN588" s="282" t="n"/>
      <c r="AO588" s="282" t="n"/>
      <c r="AP588" s="282" t="n"/>
      <c r="AQ588" s="282" t="n"/>
      <c r="AR588" s="535" t="n"/>
      <c r="AS588" s="535" t="n"/>
      <c r="AT588" s="282" t="n"/>
      <c r="AU588" s="282" t="n"/>
    </row>
    <row customHeight="1" ht="15.75" r="589" s="452" spans="1:48">
      <c r="A589" s="44" t="n"/>
      <c r="D589" s="535" t="n"/>
      <c r="E589" s="535" t="n"/>
      <c r="F589" s="282" t="n"/>
      <c r="G589" s="282" t="n"/>
      <c r="H589" s="536" t="n"/>
      <c r="I589" s="535" t="n"/>
      <c r="J589" s="282" t="n"/>
      <c r="K589" s="282" t="n"/>
      <c r="L589" s="536" t="n"/>
      <c r="M589" s="535" t="n"/>
      <c r="N589" s="282" t="n"/>
      <c r="O589" s="282" t="n"/>
      <c r="P589" s="535" t="n"/>
      <c r="Q589" s="535" t="n"/>
      <c r="R589" s="282" t="n"/>
      <c r="S589" s="282" t="n"/>
      <c r="T589" s="535" t="n"/>
      <c r="U589" s="535" t="n"/>
      <c r="V589" s="282" t="n"/>
      <c r="W589" s="282" t="n"/>
      <c r="X589" s="536" t="n"/>
      <c r="Y589" s="536" t="n"/>
      <c r="Z589" s="282" t="n"/>
      <c r="AA589" s="282" t="n"/>
      <c r="AB589" s="536" t="n"/>
      <c r="AC589" s="536" t="n"/>
      <c r="AD589" s="282" t="n"/>
      <c r="AE589" s="282" t="n"/>
      <c r="AF589" s="537" t="n"/>
      <c r="AG589" s="537" t="n"/>
      <c r="AH589" s="282" t="n"/>
      <c r="AI589" s="282" t="n"/>
      <c r="AJ589" s="537" t="n"/>
      <c r="AK589" s="537" t="n"/>
      <c r="AL589" s="282" t="n"/>
      <c r="AM589" s="282" t="n"/>
      <c r="AN589" s="282" t="n"/>
      <c r="AO589" s="282" t="n"/>
      <c r="AP589" s="282" t="n"/>
      <c r="AQ589" s="282" t="n"/>
      <c r="AR589" s="535" t="n"/>
      <c r="AS589" s="535" t="n"/>
      <c r="AT589" s="282" t="n"/>
      <c r="AU589" s="282" t="n"/>
    </row>
    <row customHeight="1" ht="15.75" r="590" s="452" spans="1:48">
      <c r="A590" s="44" t="n"/>
      <c r="D590" s="535" t="n"/>
      <c r="E590" s="535" t="n"/>
      <c r="F590" s="282" t="n"/>
      <c r="G590" s="282" t="n"/>
      <c r="H590" s="536" t="n"/>
      <c r="I590" s="535" t="n"/>
      <c r="J590" s="282" t="n"/>
      <c r="K590" s="282" t="n"/>
      <c r="L590" s="536" t="n"/>
      <c r="M590" s="535" t="n"/>
      <c r="N590" s="282" t="n"/>
      <c r="O590" s="282" t="n"/>
      <c r="P590" s="535" t="n"/>
      <c r="Q590" s="535" t="n"/>
      <c r="R590" s="282" t="n"/>
      <c r="S590" s="282" t="n"/>
      <c r="T590" s="535" t="n"/>
      <c r="U590" s="535" t="n"/>
      <c r="V590" s="282" t="n"/>
      <c r="W590" s="282" t="n"/>
      <c r="X590" s="536" t="n"/>
      <c r="Y590" s="536" t="n"/>
      <c r="Z590" s="282" t="n"/>
      <c r="AA590" s="282" t="n"/>
      <c r="AB590" s="536" t="n"/>
      <c r="AC590" s="536" t="n"/>
      <c r="AD590" s="282" t="n"/>
      <c r="AE590" s="282" t="n"/>
      <c r="AF590" s="537" t="n"/>
      <c r="AG590" s="537" t="n"/>
      <c r="AH590" s="282" t="n"/>
      <c r="AI590" s="282" t="n"/>
      <c r="AJ590" s="537" t="n"/>
      <c r="AK590" s="537" t="n"/>
      <c r="AL590" s="282" t="n"/>
      <c r="AM590" s="282" t="n"/>
      <c r="AN590" s="282" t="n"/>
      <c r="AO590" s="282" t="n"/>
      <c r="AP590" s="282" t="n"/>
      <c r="AQ590" s="282" t="n"/>
      <c r="AR590" s="535" t="n"/>
      <c r="AS590" s="535" t="n"/>
      <c r="AT590" s="282" t="n"/>
      <c r="AU590" s="282" t="n"/>
    </row>
    <row customHeight="1" ht="15.75" r="591" s="452" spans="1:48">
      <c r="A591" s="44" t="n"/>
      <c r="D591" s="535" t="n"/>
      <c r="E591" s="535" t="n"/>
      <c r="F591" s="282" t="n"/>
      <c r="G591" s="282" t="n"/>
      <c r="H591" s="536" t="n"/>
      <c r="I591" s="535" t="n"/>
      <c r="J591" s="282" t="n"/>
      <c r="K591" s="282" t="n"/>
      <c r="L591" s="536" t="n"/>
      <c r="M591" s="535" t="n"/>
      <c r="N591" s="282" t="n"/>
      <c r="O591" s="282" t="n"/>
      <c r="P591" s="535" t="n"/>
      <c r="Q591" s="535" t="n"/>
      <c r="R591" s="282" t="n"/>
      <c r="S591" s="282" t="n"/>
      <c r="T591" s="535" t="n"/>
      <c r="U591" s="535" t="n"/>
      <c r="V591" s="282" t="n"/>
      <c r="W591" s="282" t="n"/>
      <c r="X591" s="536" t="n"/>
      <c r="Y591" s="536" t="n"/>
      <c r="Z591" s="282" t="n"/>
      <c r="AA591" s="282" t="n"/>
      <c r="AB591" s="536" t="n"/>
      <c r="AC591" s="536" t="n"/>
      <c r="AD591" s="282" t="n"/>
      <c r="AE591" s="282" t="n"/>
      <c r="AF591" s="537" t="n"/>
      <c r="AG591" s="537" t="n"/>
      <c r="AH591" s="282" t="n"/>
      <c r="AI591" s="282" t="n"/>
      <c r="AJ591" s="537" t="n"/>
      <c r="AK591" s="537" t="n"/>
      <c r="AL591" s="282" t="n"/>
      <c r="AM591" s="282" t="n"/>
      <c r="AN591" s="282" t="n"/>
      <c r="AO591" s="282" t="n"/>
      <c r="AP591" s="282" t="n"/>
      <c r="AQ591" s="282" t="n"/>
      <c r="AR591" s="535" t="n"/>
      <c r="AS591" s="535" t="n"/>
      <c r="AT591" s="282" t="n"/>
      <c r="AU591" s="282" t="n"/>
    </row>
    <row customHeight="1" ht="15.75" r="592" s="452" spans="1:48">
      <c r="A592" s="44" t="n"/>
      <c r="D592" s="535" t="n"/>
      <c r="E592" s="535" t="n"/>
      <c r="F592" s="282" t="n"/>
      <c r="G592" s="282" t="n"/>
      <c r="H592" s="536" t="n"/>
      <c r="I592" s="535" t="n"/>
      <c r="J592" s="282" t="n"/>
      <c r="K592" s="282" t="n"/>
      <c r="L592" s="536" t="n"/>
      <c r="M592" s="535" t="n"/>
      <c r="N592" s="282" t="n"/>
      <c r="O592" s="282" t="n"/>
      <c r="P592" s="535" t="n"/>
      <c r="Q592" s="535" t="n"/>
      <c r="R592" s="282" t="n"/>
      <c r="S592" s="282" t="n"/>
      <c r="T592" s="535" t="n"/>
      <c r="U592" s="535" t="n"/>
      <c r="V592" s="282" t="n"/>
      <c r="W592" s="282" t="n"/>
      <c r="X592" s="536" t="n"/>
      <c r="Y592" s="536" t="n"/>
      <c r="Z592" s="282" t="n"/>
      <c r="AA592" s="282" t="n"/>
      <c r="AB592" s="536" t="n"/>
      <c r="AC592" s="536" t="n"/>
      <c r="AD592" s="282" t="n"/>
      <c r="AE592" s="282" t="n"/>
      <c r="AF592" s="537" t="n"/>
      <c r="AG592" s="537" t="n"/>
      <c r="AH592" s="282" t="n"/>
      <c r="AI592" s="282" t="n"/>
      <c r="AJ592" s="537" t="n"/>
      <c r="AK592" s="537" t="n"/>
      <c r="AL592" s="282" t="n"/>
      <c r="AM592" s="282" t="n"/>
      <c r="AN592" s="282" t="n"/>
      <c r="AO592" s="282" t="n"/>
      <c r="AP592" s="282" t="n"/>
      <c r="AQ592" s="282" t="n"/>
      <c r="AR592" s="535" t="n"/>
      <c r="AS592" s="535" t="n"/>
      <c r="AT592" s="282" t="n"/>
      <c r="AU592" s="282" t="n"/>
    </row>
    <row customHeight="1" ht="15.75" r="593" s="452" spans="1:48">
      <c r="A593" s="44" t="n"/>
      <c r="D593" s="535" t="n"/>
      <c r="E593" s="535" t="n"/>
      <c r="F593" s="282" t="n"/>
      <c r="G593" s="282" t="n"/>
      <c r="H593" s="536" t="n"/>
      <c r="I593" s="535" t="n"/>
      <c r="J593" s="282" t="n"/>
      <c r="K593" s="282" t="n"/>
      <c r="L593" s="536" t="n"/>
      <c r="M593" s="535" t="n"/>
      <c r="N593" s="282" t="n"/>
      <c r="O593" s="282" t="n"/>
      <c r="P593" s="535" t="n"/>
      <c r="Q593" s="535" t="n"/>
      <c r="R593" s="282" t="n"/>
      <c r="S593" s="282" t="n"/>
      <c r="T593" s="535" t="n"/>
      <c r="U593" s="535" t="n"/>
      <c r="V593" s="282" t="n"/>
      <c r="W593" s="282" t="n"/>
      <c r="X593" s="536" t="n"/>
      <c r="Y593" s="536" t="n"/>
      <c r="Z593" s="282" t="n"/>
      <c r="AA593" s="282" t="n"/>
      <c r="AB593" s="536" t="n"/>
      <c r="AC593" s="536" t="n"/>
      <c r="AD593" s="282" t="n"/>
      <c r="AE593" s="282" t="n"/>
      <c r="AF593" s="537" t="n"/>
      <c r="AG593" s="537" t="n"/>
      <c r="AH593" s="282" t="n"/>
      <c r="AI593" s="282" t="n"/>
      <c r="AJ593" s="537" t="n"/>
      <c r="AK593" s="537" t="n"/>
      <c r="AL593" s="282" t="n"/>
      <c r="AM593" s="282" t="n"/>
      <c r="AN593" s="282" t="n"/>
      <c r="AO593" s="282" t="n"/>
      <c r="AP593" s="282" t="n"/>
      <c r="AQ593" s="282" t="n"/>
      <c r="AR593" s="535" t="n"/>
      <c r="AS593" s="535" t="n"/>
      <c r="AT593" s="282" t="n"/>
      <c r="AU593" s="282" t="n"/>
    </row>
    <row customHeight="1" ht="15.75" r="594" s="452" spans="1:48">
      <c r="A594" s="44" t="n"/>
      <c r="D594" s="535" t="n"/>
      <c r="E594" s="535" t="n"/>
      <c r="F594" s="282" t="n"/>
      <c r="G594" s="282" t="n"/>
      <c r="H594" s="536" t="n"/>
      <c r="I594" s="535" t="n"/>
      <c r="J594" s="282" t="n"/>
      <c r="K594" s="282" t="n"/>
      <c r="L594" s="536" t="n"/>
      <c r="M594" s="535" t="n"/>
      <c r="N594" s="282" t="n"/>
      <c r="O594" s="282" t="n"/>
      <c r="P594" s="535" t="n"/>
      <c r="Q594" s="535" t="n"/>
      <c r="R594" s="282" t="n"/>
      <c r="S594" s="282" t="n"/>
      <c r="T594" s="535" t="n"/>
      <c r="U594" s="535" t="n"/>
      <c r="V594" s="282" t="n"/>
      <c r="W594" s="282" t="n"/>
      <c r="X594" s="536" t="n"/>
      <c r="Y594" s="536" t="n"/>
      <c r="Z594" s="282" t="n"/>
      <c r="AA594" s="282" t="n"/>
      <c r="AB594" s="536" t="n"/>
      <c r="AC594" s="536" t="n"/>
      <c r="AD594" s="282" t="n"/>
      <c r="AE594" s="282" t="n"/>
      <c r="AF594" s="537" t="n"/>
      <c r="AG594" s="537" t="n"/>
      <c r="AH594" s="282" t="n"/>
      <c r="AI594" s="282" t="n"/>
      <c r="AJ594" s="537" t="n"/>
      <c r="AK594" s="537" t="n"/>
      <c r="AL594" s="282" t="n"/>
      <c r="AM594" s="282" t="n"/>
      <c r="AN594" s="282" t="n"/>
      <c r="AO594" s="282" t="n"/>
      <c r="AP594" s="282" t="n"/>
      <c r="AQ594" s="282" t="n"/>
      <c r="AR594" s="535" t="n"/>
      <c r="AS594" s="535" t="n"/>
      <c r="AT594" s="282" t="n"/>
      <c r="AU594" s="282" t="n"/>
    </row>
    <row customHeight="1" ht="15.75" r="595" s="452" spans="1:48">
      <c r="A595" s="44" t="n"/>
      <c r="D595" s="535" t="n"/>
      <c r="E595" s="535" t="n"/>
      <c r="F595" s="282" t="n"/>
      <c r="G595" s="282" t="n"/>
      <c r="H595" s="536" t="n"/>
      <c r="I595" s="535" t="n"/>
      <c r="J595" s="282" t="n"/>
      <c r="K595" s="282" t="n"/>
      <c r="L595" s="536" t="n"/>
      <c r="M595" s="535" t="n"/>
      <c r="N595" s="282" t="n"/>
      <c r="O595" s="282" t="n"/>
      <c r="P595" s="535" t="n"/>
      <c r="Q595" s="535" t="n"/>
      <c r="R595" s="282" t="n"/>
      <c r="S595" s="282" t="n"/>
      <c r="T595" s="535" t="n"/>
      <c r="U595" s="535" t="n"/>
      <c r="V595" s="282" t="n"/>
      <c r="W595" s="282" t="n"/>
      <c r="X595" s="536" t="n"/>
      <c r="Y595" s="536" t="n"/>
      <c r="Z595" s="282" t="n"/>
      <c r="AA595" s="282" t="n"/>
      <c r="AB595" s="536" t="n"/>
      <c r="AC595" s="536" t="n"/>
      <c r="AD595" s="282" t="n"/>
      <c r="AE595" s="282" t="n"/>
      <c r="AF595" s="537" t="n"/>
      <c r="AG595" s="537" t="n"/>
      <c r="AH595" s="282" t="n"/>
      <c r="AI595" s="282" t="n"/>
      <c r="AJ595" s="537" t="n"/>
      <c r="AK595" s="537" t="n"/>
      <c r="AL595" s="282" t="n"/>
      <c r="AM595" s="282" t="n"/>
      <c r="AN595" s="282" t="n"/>
      <c r="AO595" s="282" t="n"/>
      <c r="AP595" s="282" t="n"/>
      <c r="AQ595" s="282" t="n"/>
      <c r="AR595" s="535" t="n"/>
      <c r="AS595" s="535" t="n"/>
      <c r="AT595" s="282" t="n"/>
      <c r="AU595" s="282" t="n"/>
    </row>
    <row customHeight="1" ht="15.75" r="596" s="452" spans="1:48">
      <c r="A596" s="44" t="n"/>
      <c r="D596" s="535" t="n"/>
      <c r="E596" s="535" t="n"/>
      <c r="F596" s="282" t="n"/>
      <c r="G596" s="282" t="n"/>
      <c r="H596" s="536" t="n"/>
      <c r="I596" s="535" t="n"/>
      <c r="J596" s="282" t="n"/>
      <c r="K596" s="282" t="n"/>
      <c r="L596" s="536" t="n"/>
      <c r="M596" s="535" t="n"/>
      <c r="N596" s="282" t="n"/>
      <c r="O596" s="282" t="n"/>
      <c r="P596" s="535" t="n"/>
      <c r="Q596" s="535" t="n"/>
      <c r="R596" s="282" t="n"/>
      <c r="S596" s="282" t="n"/>
      <c r="T596" s="535" t="n"/>
      <c r="U596" s="535" t="n"/>
      <c r="V596" s="282" t="n"/>
      <c r="W596" s="282" t="n"/>
      <c r="X596" s="536" t="n"/>
      <c r="Y596" s="536" t="n"/>
      <c r="Z596" s="282" t="n"/>
      <c r="AA596" s="282" t="n"/>
      <c r="AB596" s="536" t="n"/>
      <c r="AC596" s="536" t="n"/>
      <c r="AD596" s="282" t="n"/>
      <c r="AE596" s="282" t="n"/>
      <c r="AF596" s="537" t="n"/>
      <c r="AG596" s="537" t="n"/>
      <c r="AH596" s="282" t="n"/>
      <c r="AI596" s="282" t="n"/>
      <c r="AJ596" s="537" t="n"/>
      <c r="AK596" s="537" t="n"/>
      <c r="AL596" s="282" t="n"/>
      <c r="AM596" s="282" t="n"/>
      <c r="AN596" s="282" t="n"/>
      <c r="AO596" s="282" t="n"/>
      <c r="AP596" s="282" t="n"/>
      <c r="AQ596" s="282" t="n"/>
      <c r="AR596" s="535" t="n"/>
      <c r="AS596" s="535" t="n"/>
      <c r="AT596" s="282" t="n"/>
      <c r="AU596" s="282" t="n"/>
    </row>
    <row customHeight="1" ht="15.75" r="597" s="452" spans="1:48">
      <c r="A597" s="44" t="n"/>
      <c r="D597" s="535" t="n"/>
      <c r="E597" s="535" t="n"/>
      <c r="F597" s="282" t="n"/>
      <c r="G597" s="282" t="n"/>
      <c r="H597" s="536" t="n"/>
      <c r="I597" s="535" t="n"/>
      <c r="J597" s="282" t="n"/>
      <c r="K597" s="282" t="n"/>
      <c r="L597" s="536" t="n"/>
      <c r="M597" s="535" t="n"/>
      <c r="N597" s="282" t="n"/>
      <c r="O597" s="282" t="n"/>
      <c r="P597" s="535" t="n"/>
      <c r="Q597" s="535" t="n"/>
      <c r="R597" s="282" t="n"/>
      <c r="S597" s="282" t="n"/>
      <c r="T597" s="535" t="n"/>
      <c r="U597" s="535" t="n"/>
      <c r="V597" s="282" t="n"/>
      <c r="W597" s="282" t="n"/>
      <c r="X597" s="536" t="n"/>
      <c r="Y597" s="536" t="n"/>
      <c r="Z597" s="282" t="n"/>
      <c r="AA597" s="282" t="n"/>
      <c r="AB597" s="536" t="n"/>
      <c r="AC597" s="536" t="n"/>
      <c r="AD597" s="282" t="n"/>
      <c r="AE597" s="282" t="n"/>
      <c r="AF597" s="537" t="n"/>
      <c r="AG597" s="537" t="n"/>
      <c r="AH597" s="282" t="n"/>
      <c r="AI597" s="282" t="n"/>
      <c r="AJ597" s="537" t="n"/>
      <c r="AK597" s="537" t="n"/>
      <c r="AL597" s="282" t="n"/>
      <c r="AM597" s="282" t="n"/>
      <c r="AN597" s="282" t="n"/>
      <c r="AO597" s="282" t="n"/>
      <c r="AP597" s="282" t="n"/>
      <c r="AQ597" s="282" t="n"/>
      <c r="AR597" s="535" t="n"/>
      <c r="AS597" s="535" t="n"/>
      <c r="AT597" s="282" t="n"/>
      <c r="AU597" s="282" t="n"/>
    </row>
    <row customHeight="1" ht="15.75" r="598" s="452" spans="1:48">
      <c r="A598" s="44" t="n"/>
      <c r="D598" s="535" t="n"/>
      <c r="E598" s="535" t="n"/>
      <c r="F598" s="282" t="n"/>
      <c r="G598" s="282" t="n"/>
      <c r="H598" s="536" t="n"/>
      <c r="I598" s="535" t="n"/>
      <c r="J598" s="282" t="n"/>
      <c r="K598" s="282" t="n"/>
      <c r="L598" s="536" t="n"/>
      <c r="M598" s="535" t="n"/>
      <c r="N598" s="282" t="n"/>
      <c r="O598" s="282" t="n"/>
      <c r="P598" s="535" t="n"/>
      <c r="Q598" s="535" t="n"/>
      <c r="R598" s="282" t="n"/>
      <c r="S598" s="282" t="n"/>
      <c r="T598" s="535" t="n"/>
      <c r="U598" s="535" t="n"/>
      <c r="V598" s="282" t="n"/>
      <c r="W598" s="282" t="n"/>
      <c r="X598" s="536" t="n"/>
      <c r="Y598" s="536" t="n"/>
      <c r="Z598" s="282" t="n"/>
      <c r="AA598" s="282" t="n"/>
      <c r="AB598" s="536" t="n"/>
      <c r="AC598" s="536" t="n"/>
      <c r="AD598" s="282" t="n"/>
      <c r="AE598" s="282" t="n"/>
      <c r="AF598" s="537" t="n"/>
      <c r="AG598" s="537" t="n"/>
      <c r="AH598" s="282" t="n"/>
      <c r="AI598" s="282" t="n"/>
      <c r="AJ598" s="537" t="n"/>
      <c r="AK598" s="537" t="n"/>
      <c r="AL598" s="282" t="n"/>
      <c r="AM598" s="282" t="n"/>
      <c r="AN598" s="282" t="n"/>
      <c r="AO598" s="282" t="n"/>
      <c r="AP598" s="282" t="n"/>
      <c r="AQ598" s="282" t="n"/>
      <c r="AR598" s="535" t="n"/>
      <c r="AS598" s="535" t="n"/>
      <c r="AT598" s="282" t="n"/>
      <c r="AU598" s="282" t="n"/>
    </row>
    <row customHeight="1" ht="15.75" r="599" s="452" spans="1:48">
      <c r="A599" s="44" t="n"/>
      <c r="D599" s="535" t="n"/>
      <c r="E599" s="535" t="n"/>
      <c r="F599" s="282" t="n"/>
      <c r="G599" s="282" t="n"/>
      <c r="H599" s="536" t="n"/>
      <c r="I599" s="535" t="n"/>
      <c r="J599" s="282" t="n"/>
      <c r="K599" s="282" t="n"/>
      <c r="L599" s="536" t="n"/>
      <c r="M599" s="535" t="n"/>
      <c r="N599" s="282" t="n"/>
      <c r="O599" s="282" t="n"/>
      <c r="P599" s="535" t="n"/>
      <c r="Q599" s="535" t="n"/>
      <c r="R599" s="282" t="n"/>
      <c r="S599" s="282" t="n"/>
      <c r="T599" s="535" t="n"/>
      <c r="U599" s="535" t="n"/>
      <c r="V599" s="282" t="n"/>
      <c r="W599" s="282" t="n"/>
      <c r="X599" s="536" t="n"/>
      <c r="Y599" s="536" t="n"/>
      <c r="Z599" s="282" t="n"/>
      <c r="AA599" s="282" t="n"/>
      <c r="AB599" s="536" t="n"/>
      <c r="AC599" s="536" t="n"/>
      <c r="AD599" s="282" t="n"/>
      <c r="AE599" s="282" t="n"/>
      <c r="AF599" s="537" t="n"/>
      <c r="AG599" s="537" t="n"/>
      <c r="AH599" s="282" t="n"/>
      <c r="AI599" s="282" t="n"/>
      <c r="AJ599" s="537" t="n"/>
      <c r="AK599" s="537" t="n"/>
      <c r="AL599" s="282" t="n"/>
      <c r="AM599" s="282" t="n"/>
      <c r="AN599" s="282" t="n"/>
      <c r="AO599" s="282" t="n"/>
      <c r="AP599" s="282" t="n"/>
      <c r="AQ599" s="282" t="n"/>
      <c r="AR599" s="535" t="n"/>
      <c r="AS599" s="535" t="n"/>
      <c r="AT599" s="282" t="n"/>
      <c r="AU599" s="282" t="n"/>
    </row>
    <row customHeight="1" ht="15.75" r="600" s="452" spans="1:48">
      <c r="A600" s="44" t="n"/>
      <c r="D600" s="535" t="n"/>
      <c r="E600" s="535" t="n"/>
      <c r="F600" s="282" t="n"/>
      <c r="G600" s="282" t="n"/>
      <c r="H600" s="536" t="n"/>
      <c r="I600" s="535" t="n"/>
      <c r="J600" s="282" t="n"/>
      <c r="K600" s="282" t="n"/>
      <c r="L600" s="536" t="n"/>
      <c r="M600" s="535" t="n"/>
      <c r="N600" s="282" t="n"/>
      <c r="O600" s="282" t="n"/>
      <c r="P600" s="535" t="n"/>
      <c r="Q600" s="535" t="n"/>
      <c r="R600" s="282" t="n"/>
      <c r="S600" s="282" t="n"/>
      <c r="T600" s="535" t="n"/>
      <c r="U600" s="535" t="n"/>
      <c r="V600" s="282" t="n"/>
      <c r="W600" s="282" t="n"/>
      <c r="X600" s="536" t="n"/>
      <c r="Y600" s="536" t="n"/>
      <c r="Z600" s="282" t="n"/>
      <c r="AA600" s="282" t="n"/>
      <c r="AB600" s="536" t="n"/>
      <c r="AC600" s="536" t="n"/>
      <c r="AD600" s="282" t="n"/>
      <c r="AE600" s="282" t="n"/>
      <c r="AF600" s="537" t="n"/>
      <c r="AG600" s="537" t="n"/>
      <c r="AH600" s="282" t="n"/>
      <c r="AI600" s="282" t="n"/>
      <c r="AJ600" s="537" t="n"/>
      <c r="AK600" s="537" t="n"/>
      <c r="AL600" s="282" t="n"/>
      <c r="AM600" s="282" t="n"/>
      <c r="AN600" s="282" t="n"/>
      <c r="AO600" s="282" t="n"/>
      <c r="AP600" s="282" t="n"/>
      <c r="AQ600" s="282" t="n"/>
      <c r="AR600" s="535" t="n"/>
      <c r="AS600" s="535" t="n"/>
      <c r="AT600" s="282" t="n"/>
      <c r="AU600" s="282" t="n"/>
    </row>
    <row customHeight="1" ht="15.75" r="601" s="452" spans="1:48">
      <c r="A601" s="44" t="n"/>
      <c r="D601" s="535" t="n"/>
      <c r="E601" s="535" t="n"/>
      <c r="F601" s="282" t="n"/>
      <c r="G601" s="282" t="n"/>
      <c r="H601" s="536" t="n"/>
      <c r="I601" s="535" t="n"/>
      <c r="J601" s="282" t="n"/>
      <c r="K601" s="282" t="n"/>
      <c r="L601" s="536" t="n"/>
      <c r="M601" s="535" t="n"/>
      <c r="N601" s="282" t="n"/>
      <c r="O601" s="282" t="n"/>
      <c r="P601" s="535" t="n"/>
      <c r="Q601" s="535" t="n"/>
      <c r="R601" s="282" t="n"/>
      <c r="S601" s="282" t="n"/>
      <c r="T601" s="535" t="n"/>
      <c r="U601" s="535" t="n"/>
      <c r="V601" s="282" t="n"/>
      <c r="W601" s="282" t="n"/>
      <c r="X601" s="536" t="n"/>
      <c r="Y601" s="536" t="n"/>
      <c r="Z601" s="282" t="n"/>
      <c r="AA601" s="282" t="n"/>
      <c r="AB601" s="536" t="n"/>
      <c r="AC601" s="536" t="n"/>
      <c r="AD601" s="282" t="n"/>
      <c r="AE601" s="282" t="n"/>
      <c r="AF601" s="537" t="n"/>
      <c r="AG601" s="537" t="n"/>
      <c r="AH601" s="282" t="n"/>
      <c r="AI601" s="282" t="n"/>
      <c r="AJ601" s="537" t="n"/>
      <c r="AK601" s="537" t="n"/>
      <c r="AL601" s="282" t="n"/>
      <c r="AM601" s="282" t="n"/>
      <c r="AN601" s="282" t="n"/>
      <c r="AO601" s="282" t="n"/>
      <c r="AP601" s="282" t="n"/>
      <c r="AQ601" s="282" t="n"/>
      <c r="AR601" s="535" t="n"/>
      <c r="AS601" s="535" t="n"/>
      <c r="AT601" s="282" t="n"/>
      <c r="AU601" s="282" t="n"/>
    </row>
    <row customHeight="1" ht="15.75" r="602" s="452" spans="1:48">
      <c r="A602" s="44" t="n"/>
      <c r="D602" s="535" t="n"/>
      <c r="E602" s="535" t="n"/>
      <c r="F602" s="282" t="n"/>
      <c r="G602" s="282" t="n"/>
      <c r="H602" s="536" t="n"/>
      <c r="I602" s="535" t="n"/>
      <c r="J602" s="282" t="n"/>
      <c r="K602" s="282" t="n"/>
      <c r="L602" s="536" t="n"/>
      <c r="M602" s="535" t="n"/>
      <c r="N602" s="282" t="n"/>
      <c r="O602" s="282" t="n"/>
      <c r="P602" s="535" t="n"/>
      <c r="Q602" s="535" t="n"/>
      <c r="R602" s="282" t="n"/>
      <c r="S602" s="282" t="n"/>
      <c r="T602" s="535" t="n"/>
      <c r="U602" s="535" t="n"/>
      <c r="V602" s="282" t="n"/>
      <c r="W602" s="282" t="n"/>
      <c r="X602" s="536" t="n"/>
      <c r="Y602" s="536" t="n"/>
      <c r="Z602" s="282" t="n"/>
      <c r="AA602" s="282" t="n"/>
      <c r="AB602" s="536" t="n"/>
      <c r="AC602" s="536" t="n"/>
      <c r="AD602" s="282" t="n"/>
      <c r="AE602" s="282" t="n"/>
      <c r="AF602" s="537" t="n"/>
      <c r="AG602" s="537" t="n"/>
      <c r="AH602" s="282" t="n"/>
      <c r="AI602" s="282" t="n"/>
      <c r="AJ602" s="537" t="n"/>
      <c r="AK602" s="537" t="n"/>
      <c r="AL602" s="282" t="n"/>
      <c r="AM602" s="282" t="n"/>
      <c r="AN602" s="282" t="n"/>
      <c r="AO602" s="282" t="n"/>
      <c r="AP602" s="282" t="n"/>
      <c r="AQ602" s="282" t="n"/>
      <c r="AR602" s="535" t="n"/>
      <c r="AS602" s="535" t="n"/>
      <c r="AT602" s="282" t="n"/>
      <c r="AU602" s="282" t="n"/>
    </row>
    <row customHeight="1" ht="15.75" r="603" s="452" spans="1:48">
      <c r="A603" s="44" t="n"/>
      <c r="D603" s="535" t="n"/>
      <c r="E603" s="535" t="n"/>
      <c r="F603" s="282" t="n"/>
      <c r="G603" s="282" t="n"/>
      <c r="H603" s="536" t="n"/>
      <c r="I603" s="535" t="n"/>
      <c r="J603" s="282" t="n"/>
      <c r="K603" s="282" t="n"/>
      <c r="L603" s="536" t="n"/>
      <c r="M603" s="535" t="n"/>
      <c r="N603" s="282" t="n"/>
      <c r="O603" s="282" t="n"/>
      <c r="P603" s="535" t="n"/>
      <c r="Q603" s="535" t="n"/>
      <c r="R603" s="282" t="n"/>
      <c r="S603" s="282" t="n"/>
      <c r="T603" s="535" t="n"/>
      <c r="U603" s="535" t="n"/>
      <c r="V603" s="282" t="n"/>
      <c r="W603" s="282" t="n"/>
      <c r="X603" s="536" t="n"/>
      <c r="Y603" s="536" t="n"/>
      <c r="Z603" s="282" t="n"/>
      <c r="AA603" s="282" t="n"/>
      <c r="AB603" s="536" t="n"/>
      <c r="AC603" s="536" t="n"/>
      <c r="AD603" s="282" t="n"/>
      <c r="AE603" s="282" t="n"/>
      <c r="AF603" s="537" t="n"/>
      <c r="AG603" s="537" t="n"/>
      <c r="AH603" s="282" t="n"/>
      <c r="AI603" s="282" t="n"/>
      <c r="AJ603" s="537" t="n"/>
      <c r="AK603" s="537" t="n"/>
      <c r="AL603" s="282" t="n"/>
      <c r="AM603" s="282" t="n"/>
      <c r="AN603" s="282" t="n"/>
      <c r="AO603" s="282" t="n"/>
      <c r="AP603" s="282" t="n"/>
      <c r="AQ603" s="282" t="n"/>
      <c r="AR603" s="535" t="n"/>
      <c r="AS603" s="535" t="n"/>
      <c r="AT603" s="282" t="n"/>
      <c r="AU603" s="282" t="n"/>
    </row>
    <row customHeight="1" ht="15.75" r="604" s="452" spans="1:48">
      <c r="A604" s="44" t="n"/>
      <c r="D604" s="535" t="n"/>
      <c r="E604" s="535" t="n"/>
      <c r="F604" s="282" t="n"/>
      <c r="G604" s="282" t="n"/>
      <c r="H604" s="536" t="n"/>
      <c r="I604" s="535" t="n"/>
      <c r="J604" s="282" t="n"/>
      <c r="K604" s="282" t="n"/>
      <c r="L604" s="536" t="n"/>
      <c r="M604" s="535" t="n"/>
      <c r="N604" s="282" t="n"/>
      <c r="O604" s="282" t="n"/>
      <c r="P604" s="535" t="n"/>
      <c r="Q604" s="535" t="n"/>
      <c r="R604" s="282" t="n"/>
      <c r="S604" s="282" t="n"/>
      <c r="T604" s="535" t="n"/>
      <c r="U604" s="535" t="n"/>
      <c r="V604" s="282" t="n"/>
      <c r="W604" s="282" t="n"/>
      <c r="X604" s="536" t="n"/>
      <c r="Y604" s="536" t="n"/>
      <c r="Z604" s="282" t="n"/>
      <c r="AA604" s="282" t="n"/>
      <c r="AB604" s="536" t="n"/>
      <c r="AC604" s="536" t="n"/>
      <c r="AD604" s="282" t="n"/>
      <c r="AE604" s="282" t="n"/>
      <c r="AF604" s="537" t="n"/>
      <c r="AG604" s="537" t="n"/>
      <c r="AH604" s="282" t="n"/>
      <c r="AI604" s="282" t="n"/>
      <c r="AJ604" s="537" t="n"/>
      <c r="AK604" s="537" t="n"/>
      <c r="AL604" s="282" t="n"/>
      <c r="AM604" s="282" t="n"/>
      <c r="AN604" s="282" t="n"/>
      <c r="AO604" s="282" t="n"/>
      <c r="AP604" s="282" t="n"/>
      <c r="AQ604" s="282" t="n"/>
      <c r="AR604" s="535" t="n"/>
      <c r="AS604" s="535" t="n"/>
      <c r="AT604" s="282" t="n"/>
      <c r="AU604" s="282" t="n"/>
    </row>
    <row customHeight="1" ht="15.75" r="605" s="452" spans="1:48">
      <c r="A605" s="44" t="n"/>
      <c r="D605" s="535" t="n"/>
      <c r="E605" s="535" t="n"/>
      <c r="F605" s="282" t="n"/>
      <c r="G605" s="282" t="n"/>
      <c r="H605" s="536" t="n"/>
      <c r="I605" s="535" t="n"/>
      <c r="J605" s="282" t="n"/>
      <c r="K605" s="282" t="n"/>
      <c r="L605" s="536" t="n"/>
      <c r="M605" s="535" t="n"/>
      <c r="N605" s="282" t="n"/>
      <c r="O605" s="282" t="n"/>
      <c r="P605" s="535" t="n"/>
      <c r="Q605" s="535" t="n"/>
      <c r="R605" s="282" t="n"/>
      <c r="S605" s="282" t="n"/>
      <c r="T605" s="535" t="n"/>
      <c r="U605" s="535" t="n"/>
      <c r="V605" s="282" t="n"/>
      <c r="W605" s="282" t="n"/>
      <c r="X605" s="536" t="n"/>
      <c r="Y605" s="536" t="n"/>
      <c r="Z605" s="282" t="n"/>
      <c r="AA605" s="282" t="n"/>
      <c r="AB605" s="536" t="n"/>
      <c r="AC605" s="536" t="n"/>
      <c r="AD605" s="282" t="n"/>
      <c r="AE605" s="282" t="n"/>
      <c r="AF605" s="537" t="n"/>
      <c r="AG605" s="537" t="n"/>
      <c r="AH605" s="282" t="n"/>
      <c r="AI605" s="282" t="n"/>
      <c r="AJ605" s="537" t="n"/>
      <c r="AK605" s="537" t="n"/>
      <c r="AL605" s="282" t="n"/>
      <c r="AM605" s="282" t="n"/>
      <c r="AN605" s="282" t="n"/>
      <c r="AO605" s="282" t="n"/>
      <c r="AP605" s="282" t="n"/>
      <c r="AQ605" s="282" t="n"/>
      <c r="AR605" s="535" t="n"/>
      <c r="AS605" s="535" t="n"/>
      <c r="AT605" s="282" t="n"/>
      <c r="AU605" s="282" t="n"/>
    </row>
    <row customHeight="1" ht="15.75" r="606" s="452" spans="1:48">
      <c r="A606" s="44" t="n"/>
      <c r="D606" s="535" t="n"/>
      <c r="E606" s="535" t="n"/>
      <c r="F606" s="282" t="n"/>
      <c r="G606" s="282" t="n"/>
      <c r="H606" s="536" t="n"/>
      <c r="I606" s="535" t="n"/>
      <c r="J606" s="282" t="n"/>
      <c r="K606" s="282" t="n"/>
      <c r="L606" s="536" t="n"/>
      <c r="M606" s="535" t="n"/>
      <c r="N606" s="282" t="n"/>
      <c r="O606" s="282" t="n"/>
      <c r="P606" s="535" t="n"/>
      <c r="Q606" s="535" t="n"/>
      <c r="R606" s="282" t="n"/>
      <c r="S606" s="282" t="n"/>
      <c r="T606" s="535" t="n"/>
      <c r="U606" s="535" t="n"/>
      <c r="V606" s="282" t="n"/>
      <c r="W606" s="282" t="n"/>
      <c r="X606" s="536" t="n"/>
      <c r="Y606" s="536" t="n"/>
      <c r="Z606" s="282" t="n"/>
      <c r="AA606" s="282" t="n"/>
      <c r="AB606" s="536" t="n"/>
      <c r="AC606" s="536" t="n"/>
      <c r="AD606" s="282" t="n"/>
      <c r="AE606" s="282" t="n"/>
      <c r="AF606" s="537" t="n"/>
      <c r="AG606" s="537" t="n"/>
      <c r="AH606" s="282" t="n"/>
      <c r="AI606" s="282" t="n"/>
      <c r="AJ606" s="537" t="n"/>
      <c r="AK606" s="537" t="n"/>
      <c r="AL606" s="282" t="n"/>
      <c r="AM606" s="282" t="n"/>
      <c r="AN606" s="282" t="n"/>
      <c r="AO606" s="282" t="n"/>
      <c r="AP606" s="282" t="n"/>
      <c r="AQ606" s="282" t="n"/>
      <c r="AR606" s="535" t="n"/>
      <c r="AS606" s="535" t="n"/>
      <c r="AT606" s="282" t="n"/>
      <c r="AU606" s="282" t="n"/>
    </row>
    <row customHeight="1" ht="15.75" r="607" s="452" spans="1:48">
      <c r="A607" s="44" t="n"/>
      <c r="D607" s="535" t="n"/>
      <c r="E607" s="535" t="n"/>
      <c r="F607" s="282" t="n"/>
      <c r="G607" s="282" t="n"/>
      <c r="H607" s="536" t="n"/>
      <c r="I607" s="535" t="n"/>
      <c r="J607" s="282" t="n"/>
      <c r="K607" s="282" t="n"/>
      <c r="L607" s="536" t="n"/>
      <c r="M607" s="535" t="n"/>
      <c r="N607" s="282" t="n"/>
      <c r="O607" s="282" t="n"/>
      <c r="P607" s="535" t="n"/>
      <c r="Q607" s="535" t="n"/>
      <c r="R607" s="282" t="n"/>
      <c r="S607" s="282" t="n"/>
      <c r="T607" s="535" t="n"/>
      <c r="U607" s="535" t="n"/>
      <c r="V607" s="282" t="n"/>
      <c r="W607" s="282" t="n"/>
      <c r="X607" s="536" t="n"/>
      <c r="Y607" s="536" t="n"/>
      <c r="Z607" s="282" t="n"/>
      <c r="AA607" s="282" t="n"/>
      <c r="AB607" s="536" t="n"/>
      <c r="AC607" s="536" t="n"/>
      <c r="AD607" s="282" t="n"/>
      <c r="AE607" s="282" t="n"/>
      <c r="AF607" s="537" t="n"/>
      <c r="AG607" s="537" t="n"/>
      <c r="AH607" s="282" t="n"/>
      <c r="AI607" s="282" t="n"/>
      <c r="AJ607" s="537" t="n"/>
      <c r="AK607" s="537" t="n"/>
      <c r="AL607" s="282" t="n"/>
      <c r="AM607" s="282" t="n"/>
      <c r="AN607" s="282" t="n"/>
      <c r="AO607" s="282" t="n"/>
      <c r="AP607" s="282" t="n"/>
      <c r="AQ607" s="282" t="n"/>
      <c r="AR607" s="535" t="n"/>
      <c r="AS607" s="535" t="n"/>
      <c r="AT607" s="282" t="n"/>
      <c r="AU607" s="282" t="n"/>
    </row>
    <row customHeight="1" ht="15.75" r="608" s="452" spans="1:48">
      <c r="A608" s="44" t="n"/>
      <c r="D608" s="535" t="n"/>
      <c r="E608" s="535" t="n"/>
      <c r="F608" s="282" t="n"/>
      <c r="G608" s="282" t="n"/>
      <c r="H608" s="536" t="n"/>
      <c r="I608" s="535" t="n"/>
      <c r="J608" s="282" t="n"/>
      <c r="K608" s="282" t="n"/>
      <c r="L608" s="536" t="n"/>
      <c r="M608" s="535" t="n"/>
      <c r="N608" s="282" t="n"/>
      <c r="O608" s="282" t="n"/>
      <c r="P608" s="535" t="n"/>
      <c r="Q608" s="535" t="n"/>
      <c r="R608" s="282" t="n"/>
      <c r="S608" s="282" t="n"/>
      <c r="T608" s="535" t="n"/>
      <c r="U608" s="535" t="n"/>
      <c r="V608" s="282" t="n"/>
      <c r="W608" s="282" t="n"/>
      <c r="X608" s="536" t="n"/>
      <c r="Y608" s="536" t="n"/>
      <c r="Z608" s="282" t="n"/>
      <c r="AA608" s="282" t="n"/>
      <c r="AB608" s="536" t="n"/>
      <c r="AC608" s="536" t="n"/>
      <c r="AD608" s="282" t="n"/>
      <c r="AE608" s="282" t="n"/>
      <c r="AF608" s="537" t="n"/>
      <c r="AG608" s="537" t="n"/>
      <c r="AH608" s="282" t="n"/>
      <c r="AI608" s="282" t="n"/>
      <c r="AJ608" s="537" t="n"/>
      <c r="AK608" s="537" t="n"/>
      <c r="AL608" s="282" t="n"/>
      <c r="AM608" s="282" t="n"/>
      <c r="AN608" s="282" t="n"/>
      <c r="AO608" s="282" t="n"/>
      <c r="AP608" s="282" t="n"/>
      <c r="AQ608" s="282" t="n"/>
      <c r="AR608" s="535" t="n"/>
      <c r="AS608" s="535" t="n"/>
      <c r="AT608" s="282" t="n"/>
      <c r="AU608" s="282" t="n"/>
    </row>
    <row customHeight="1" ht="15.75" r="609" s="452" spans="1:48">
      <c r="A609" s="44" t="n"/>
      <c r="D609" s="535" t="n"/>
      <c r="E609" s="535" t="n"/>
      <c r="F609" s="282" t="n"/>
      <c r="G609" s="282" t="n"/>
      <c r="H609" s="536" t="n"/>
      <c r="I609" s="535" t="n"/>
      <c r="J609" s="282" t="n"/>
      <c r="K609" s="282" t="n"/>
      <c r="L609" s="536" t="n"/>
      <c r="M609" s="535" t="n"/>
      <c r="N609" s="282" t="n"/>
      <c r="O609" s="282" t="n"/>
      <c r="P609" s="535" t="n"/>
      <c r="Q609" s="535" t="n"/>
      <c r="R609" s="282" t="n"/>
      <c r="S609" s="282" t="n"/>
      <c r="T609" s="535" t="n"/>
      <c r="U609" s="535" t="n"/>
      <c r="V609" s="282" t="n"/>
      <c r="W609" s="282" t="n"/>
      <c r="X609" s="536" t="n"/>
      <c r="Y609" s="536" t="n"/>
      <c r="Z609" s="282" t="n"/>
      <c r="AA609" s="282" t="n"/>
      <c r="AB609" s="536" t="n"/>
      <c r="AC609" s="536" t="n"/>
      <c r="AD609" s="282" t="n"/>
      <c r="AE609" s="282" t="n"/>
      <c r="AF609" s="537" t="n"/>
      <c r="AG609" s="537" t="n"/>
      <c r="AH609" s="282" t="n"/>
      <c r="AI609" s="282" t="n"/>
      <c r="AJ609" s="537" t="n"/>
      <c r="AK609" s="537" t="n"/>
      <c r="AL609" s="282" t="n"/>
      <c r="AM609" s="282" t="n"/>
      <c r="AN609" s="282" t="n"/>
      <c r="AO609" s="282" t="n"/>
      <c r="AP609" s="282" t="n"/>
      <c r="AQ609" s="282" t="n"/>
      <c r="AR609" s="535" t="n"/>
      <c r="AS609" s="535" t="n"/>
      <c r="AT609" s="282" t="n"/>
      <c r="AU609" s="282" t="n"/>
    </row>
    <row customHeight="1" ht="15.75" r="610" s="452" spans="1:48">
      <c r="A610" s="44" t="n"/>
      <c r="D610" s="535" t="n"/>
      <c r="E610" s="535" t="n"/>
      <c r="F610" s="282" t="n"/>
      <c r="G610" s="282" t="n"/>
      <c r="H610" s="536" t="n"/>
      <c r="I610" s="535" t="n"/>
      <c r="J610" s="282" t="n"/>
      <c r="K610" s="282" t="n"/>
      <c r="L610" s="536" t="n"/>
      <c r="M610" s="535" t="n"/>
      <c r="N610" s="282" t="n"/>
      <c r="O610" s="282" t="n"/>
      <c r="P610" s="535" t="n"/>
      <c r="Q610" s="535" t="n"/>
      <c r="R610" s="282" t="n"/>
      <c r="S610" s="282" t="n"/>
      <c r="T610" s="535" t="n"/>
      <c r="U610" s="535" t="n"/>
      <c r="V610" s="282" t="n"/>
      <c r="W610" s="282" t="n"/>
      <c r="X610" s="536" t="n"/>
      <c r="Y610" s="536" t="n"/>
      <c r="Z610" s="282" t="n"/>
      <c r="AA610" s="282" t="n"/>
      <c r="AB610" s="536" t="n"/>
      <c r="AC610" s="536" t="n"/>
      <c r="AD610" s="282" t="n"/>
      <c r="AE610" s="282" t="n"/>
      <c r="AF610" s="537" t="n"/>
      <c r="AG610" s="537" t="n"/>
      <c r="AH610" s="282" t="n"/>
      <c r="AI610" s="282" t="n"/>
      <c r="AJ610" s="537" t="n"/>
      <c r="AK610" s="537" t="n"/>
      <c r="AL610" s="282" t="n"/>
      <c r="AM610" s="282" t="n"/>
      <c r="AN610" s="282" t="n"/>
      <c r="AO610" s="282" t="n"/>
      <c r="AP610" s="282" t="n"/>
      <c r="AQ610" s="282" t="n"/>
      <c r="AR610" s="535" t="n"/>
      <c r="AS610" s="535" t="n"/>
      <c r="AT610" s="282" t="n"/>
      <c r="AU610" s="282" t="n"/>
    </row>
    <row customHeight="1" ht="15.75" r="611" s="452" spans="1:48">
      <c r="A611" s="44" t="n"/>
      <c r="D611" s="535" t="n"/>
      <c r="E611" s="535" t="n"/>
      <c r="F611" s="282" t="n"/>
      <c r="G611" s="282" t="n"/>
      <c r="H611" s="536" t="n"/>
      <c r="I611" s="535" t="n"/>
      <c r="J611" s="282" t="n"/>
      <c r="K611" s="282" t="n"/>
      <c r="L611" s="536" t="n"/>
      <c r="M611" s="535" t="n"/>
      <c r="N611" s="282" t="n"/>
      <c r="O611" s="282" t="n"/>
      <c r="P611" s="535" t="n"/>
      <c r="Q611" s="535" t="n"/>
      <c r="R611" s="282" t="n"/>
      <c r="S611" s="282" t="n"/>
      <c r="T611" s="535" t="n"/>
      <c r="U611" s="535" t="n"/>
      <c r="V611" s="282" t="n"/>
      <c r="W611" s="282" t="n"/>
      <c r="X611" s="536" t="n"/>
      <c r="Y611" s="536" t="n"/>
      <c r="Z611" s="282" t="n"/>
      <c r="AA611" s="282" t="n"/>
      <c r="AB611" s="536" t="n"/>
      <c r="AC611" s="536" t="n"/>
      <c r="AD611" s="282" t="n"/>
      <c r="AE611" s="282" t="n"/>
      <c r="AF611" s="537" t="n"/>
      <c r="AG611" s="537" t="n"/>
      <c r="AH611" s="282" t="n"/>
      <c r="AI611" s="282" t="n"/>
      <c r="AJ611" s="537" t="n"/>
      <c r="AK611" s="537" t="n"/>
      <c r="AL611" s="282" t="n"/>
      <c r="AM611" s="282" t="n"/>
      <c r="AN611" s="282" t="n"/>
      <c r="AO611" s="282" t="n"/>
      <c r="AP611" s="282" t="n"/>
      <c r="AQ611" s="282" t="n"/>
      <c r="AR611" s="535" t="n"/>
      <c r="AS611" s="535" t="n"/>
      <c r="AT611" s="282" t="n"/>
      <c r="AU611" s="282" t="n"/>
    </row>
    <row customHeight="1" ht="15.75" r="612" s="452" spans="1:48">
      <c r="A612" s="44" t="n"/>
      <c r="D612" s="535" t="n"/>
      <c r="E612" s="535" t="n"/>
      <c r="F612" s="282" t="n"/>
      <c r="G612" s="282" t="n"/>
      <c r="H612" s="536" t="n"/>
      <c r="I612" s="535" t="n"/>
      <c r="J612" s="282" t="n"/>
      <c r="K612" s="282" t="n"/>
      <c r="L612" s="536" t="n"/>
      <c r="M612" s="535" t="n"/>
      <c r="N612" s="282" t="n"/>
      <c r="O612" s="282" t="n"/>
      <c r="P612" s="535" t="n"/>
      <c r="Q612" s="535" t="n"/>
      <c r="R612" s="282" t="n"/>
      <c r="S612" s="282" t="n"/>
      <c r="T612" s="535" t="n"/>
      <c r="U612" s="535" t="n"/>
      <c r="V612" s="282" t="n"/>
      <c r="W612" s="282" t="n"/>
      <c r="X612" s="536" t="n"/>
      <c r="Y612" s="536" t="n"/>
      <c r="Z612" s="282" t="n"/>
      <c r="AA612" s="282" t="n"/>
      <c r="AB612" s="536" t="n"/>
      <c r="AC612" s="536" t="n"/>
      <c r="AD612" s="282" t="n"/>
      <c r="AE612" s="282" t="n"/>
      <c r="AF612" s="537" t="n"/>
      <c r="AG612" s="537" t="n"/>
      <c r="AH612" s="282" t="n"/>
      <c r="AI612" s="282" t="n"/>
      <c r="AJ612" s="537" t="n"/>
      <c r="AK612" s="537" t="n"/>
      <c r="AL612" s="282" t="n"/>
      <c r="AM612" s="282" t="n"/>
      <c r="AN612" s="282" t="n"/>
      <c r="AO612" s="282" t="n"/>
      <c r="AP612" s="282" t="n"/>
      <c r="AQ612" s="282" t="n"/>
      <c r="AR612" s="535" t="n"/>
      <c r="AS612" s="535" t="n"/>
      <c r="AT612" s="282" t="n"/>
      <c r="AU612" s="282" t="n"/>
    </row>
    <row customHeight="1" ht="15.75" r="613" s="452" spans="1:48">
      <c r="A613" s="44" t="n"/>
      <c r="D613" s="535" t="n"/>
      <c r="E613" s="535" t="n"/>
      <c r="F613" s="282" t="n"/>
      <c r="G613" s="282" t="n"/>
      <c r="H613" s="536" t="n"/>
      <c r="I613" s="535" t="n"/>
      <c r="J613" s="282" t="n"/>
      <c r="K613" s="282" t="n"/>
      <c r="L613" s="536" t="n"/>
      <c r="M613" s="535" t="n"/>
      <c r="N613" s="282" t="n"/>
      <c r="O613" s="282" t="n"/>
      <c r="P613" s="535" t="n"/>
      <c r="Q613" s="535" t="n"/>
      <c r="R613" s="282" t="n"/>
      <c r="S613" s="282" t="n"/>
      <c r="T613" s="535" t="n"/>
      <c r="U613" s="535" t="n"/>
      <c r="V613" s="282" t="n"/>
      <c r="W613" s="282" t="n"/>
      <c r="X613" s="536" t="n"/>
      <c r="Y613" s="536" t="n"/>
      <c r="Z613" s="282" t="n"/>
      <c r="AA613" s="282" t="n"/>
      <c r="AB613" s="536" t="n"/>
      <c r="AC613" s="536" t="n"/>
      <c r="AD613" s="282" t="n"/>
      <c r="AE613" s="282" t="n"/>
      <c r="AF613" s="537" t="n"/>
      <c r="AG613" s="537" t="n"/>
      <c r="AH613" s="282" t="n"/>
      <c r="AI613" s="282" t="n"/>
      <c r="AJ613" s="537" t="n"/>
      <c r="AK613" s="537" t="n"/>
      <c r="AL613" s="282" t="n"/>
      <c r="AM613" s="282" t="n"/>
      <c r="AN613" s="282" t="n"/>
      <c r="AO613" s="282" t="n"/>
      <c r="AP613" s="282" t="n"/>
      <c r="AQ613" s="282" t="n"/>
      <c r="AR613" s="535" t="n"/>
      <c r="AS613" s="535" t="n"/>
      <c r="AT613" s="282" t="n"/>
      <c r="AU613" s="282" t="n"/>
    </row>
    <row customHeight="1" ht="15.75" r="614" s="452" spans="1:48">
      <c r="A614" s="44" t="n"/>
      <c r="D614" s="535" t="n"/>
      <c r="E614" s="535" t="n"/>
      <c r="F614" s="282" t="n"/>
      <c r="G614" s="282" t="n"/>
      <c r="H614" s="536" t="n"/>
      <c r="I614" s="535" t="n"/>
      <c r="J614" s="282" t="n"/>
      <c r="K614" s="282" t="n"/>
      <c r="L614" s="536" t="n"/>
      <c r="M614" s="535" t="n"/>
      <c r="N614" s="282" t="n"/>
      <c r="O614" s="282" t="n"/>
      <c r="P614" s="535" t="n"/>
      <c r="Q614" s="535" t="n"/>
      <c r="R614" s="282" t="n"/>
      <c r="S614" s="282" t="n"/>
      <c r="T614" s="535" t="n"/>
      <c r="U614" s="535" t="n"/>
      <c r="V614" s="282" t="n"/>
      <c r="W614" s="282" t="n"/>
      <c r="X614" s="536" t="n"/>
      <c r="Y614" s="536" t="n"/>
      <c r="Z614" s="282" t="n"/>
      <c r="AA614" s="282" t="n"/>
      <c r="AB614" s="536" t="n"/>
      <c r="AC614" s="536" t="n"/>
      <c r="AD614" s="282" t="n"/>
      <c r="AE614" s="282" t="n"/>
      <c r="AF614" s="537" t="n"/>
      <c r="AG614" s="537" t="n"/>
      <c r="AH614" s="282" t="n"/>
      <c r="AI614" s="282" t="n"/>
      <c r="AJ614" s="537" t="n"/>
      <c r="AK614" s="537" t="n"/>
      <c r="AL614" s="282" t="n"/>
      <c r="AM614" s="282" t="n"/>
      <c r="AN614" s="282" t="n"/>
      <c r="AO614" s="282" t="n"/>
      <c r="AP614" s="282" t="n"/>
      <c r="AQ614" s="282" t="n"/>
      <c r="AR614" s="535" t="n"/>
      <c r="AS614" s="535" t="n"/>
      <c r="AT614" s="282" t="n"/>
      <c r="AU614" s="282" t="n"/>
    </row>
    <row customHeight="1" ht="15.75" r="615" s="452" spans="1:48">
      <c r="A615" s="44" t="n"/>
      <c r="D615" s="535" t="n"/>
      <c r="E615" s="535" t="n"/>
      <c r="F615" s="282" t="n"/>
      <c r="G615" s="282" t="n"/>
      <c r="H615" s="536" t="n"/>
      <c r="I615" s="535" t="n"/>
      <c r="J615" s="282" t="n"/>
      <c r="K615" s="282" t="n"/>
      <c r="L615" s="536" t="n"/>
      <c r="M615" s="535" t="n"/>
      <c r="N615" s="282" t="n"/>
      <c r="O615" s="282" t="n"/>
      <c r="P615" s="535" t="n"/>
      <c r="Q615" s="535" t="n"/>
      <c r="R615" s="282" t="n"/>
      <c r="S615" s="282" t="n"/>
      <c r="T615" s="535" t="n"/>
      <c r="U615" s="535" t="n"/>
      <c r="V615" s="282" t="n"/>
      <c r="W615" s="282" t="n"/>
      <c r="X615" s="536" t="n"/>
      <c r="Y615" s="536" t="n"/>
      <c r="Z615" s="282" t="n"/>
      <c r="AA615" s="282" t="n"/>
      <c r="AB615" s="536" t="n"/>
      <c r="AC615" s="536" t="n"/>
      <c r="AD615" s="282" t="n"/>
      <c r="AE615" s="282" t="n"/>
      <c r="AF615" s="537" t="n"/>
      <c r="AG615" s="537" t="n"/>
      <c r="AH615" s="282" t="n"/>
      <c r="AI615" s="282" t="n"/>
      <c r="AJ615" s="537" t="n"/>
      <c r="AK615" s="537" t="n"/>
      <c r="AL615" s="282" t="n"/>
      <c r="AM615" s="282" t="n"/>
      <c r="AN615" s="282" t="n"/>
      <c r="AO615" s="282" t="n"/>
      <c r="AP615" s="282" t="n"/>
      <c r="AQ615" s="282" t="n"/>
      <c r="AR615" s="535" t="n"/>
      <c r="AS615" s="535" t="n"/>
      <c r="AT615" s="282" t="n"/>
      <c r="AU615" s="282" t="n"/>
    </row>
    <row customHeight="1" ht="15.75" r="616" s="452" spans="1:48">
      <c r="A616" s="44" t="n"/>
      <c r="D616" s="535" t="n"/>
      <c r="E616" s="535" t="n"/>
      <c r="F616" s="282" t="n"/>
      <c r="G616" s="282" t="n"/>
      <c r="H616" s="536" t="n"/>
      <c r="I616" s="535" t="n"/>
      <c r="J616" s="282" t="n"/>
      <c r="K616" s="282" t="n"/>
      <c r="L616" s="536" t="n"/>
      <c r="M616" s="535" t="n"/>
      <c r="N616" s="282" t="n"/>
      <c r="O616" s="282" t="n"/>
      <c r="P616" s="535" t="n"/>
      <c r="Q616" s="535" t="n"/>
      <c r="R616" s="282" t="n"/>
      <c r="S616" s="282" t="n"/>
      <c r="T616" s="535" t="n"/>
      <c r="U616" s="535" t="n"/>
      <c r="V616" s="282" t="n"/>
      <c r="W616" s="282" t="n"/>
      <c r="X616" s="536" t="n"/>
      <c r="Y616" s="536" t="n"/>
      <c r="Z616" s="282" t="n"/>
      <c r="AA616" s="282" t="n"/>
      <c r="AB616" s="536" t="n"/>
      <c r="AC616" s="536" t="n"/>
      <c r="AD616" s="282" t="n"/>
      <c r="AE616" s="282" t="n"/>
      <c r="AF616" s="537" t="n"/>
      <c r="AG616" s="537" t="n"/>
      <c r="AH616" s="282" t="n"/>
      <c r="AI616" s="282" t="n"/>
      <c r="AJ616" s="537" t="n"/>
      <c r="AK616" s="537" t="n"/>
      <c r="AL616" s="282" t="n"/>
      <c r="AM616" s="282" t="n"/>
      <c r="AN616" s="282" t="n"/>
      <c r="AO616" s="282" t="n"/>
      <c r="AP616" s="282" t="n"/>
      <c r="AQ616" s="282" t="n"/>
      <c r="AR616" s="535" t="n"/>
      <c r="AS616" s="535" t="n"/>
      <c r="AT616" s="282" t="n"/>
      <c r="AU616" s="282" t="n"/>
    </row>
    <row customHeight="1" ht="15.75" r="617" s="452" spans="1:48">
      <c r="A617" s="44" t="n"/>
      <c r="D617" s="535" t="n"/>
      <c r="E617" s="535" t="n"/>
      <c r="F617" s="282" t="n"/>
      <c r="G617" s="282" t="n"/>
      <c r="H617" s="536" t="n"/>
      <c r="I617" s="535" t="n"/>
      <c r="J617" s="282" t="n"/>
      <c r="K617" s="282" t="n"/>
      <c r="L617" s="536" t="n"/>
      <c r="M617" s="535" t="n"/>
      <c r="N617" s="282" t="n"/>
      <c r="O617" s="282" t="n"/>
      <c r="P617" s="535" t="n"/>
      <c r="Q617" s="535" t="n"/>
      <c r="R617" s="282" t="n"/>
      <c r="S617" s="282" t="n"/>
      <c r="T617" s="535" t="n"/>
      <c r="U617" s="535" t="n"/>
      <c r="V617" s="282" t="n"/>
      <c r="W617" s="282" t="n"/>
      <c r="X617" s="536" t="n"/>
      <c r="Y617" s="536" t="n"/>
      <c r="Z617" s="282" t="n"/>
      <c r="AA617" s="282" t="n"/>
      <c r="AB617" s="536" t="n"/>
      <c r="AC617" s="536" t="n"/>
      <c r="AD617" s="282" t="n"/>
      <c r="AE617" s="282" t="n"/>
      <c r="AF617" s="537" t="n"/>
      <c r="AG617" s="537" t="n"/>
      <c r="AH617" s="282" t="n"/>
      <c r="AI617" s="282" t="n"/>
      <c r="AJ617" s="537" t="n"/>
      <c r="AK617" s="537" t="n"/>
      <c r="AL617" s="282" t="n"/>
      <c r="AM617" s="282" t="n"/>
      <c r="AN617" s="282" t="n"/>
      <c r="AO617" s="282" t="n"/>
      <c r="AP617" s="282" t="n"/>
      <c r="AQ617" s="282" t="n"/>
      <c r="AR617" s="535" t="n"/>
      <c r="AS617" s="535" t="n"/>
      <c r="AT617" s="282" t="n"/>
      <c r="AU617" s="282" t="n"/>
    </row>
    <row customHeight="1" ht="15.75" r="618" s="452" spans="1:48">
      <c r="A618" s="44" t="n"/>
      <c r="D618" s="535" t="n"/>
      <c r="E618" s="535" t="n"/>
      <c r="F618" s="282" t="n"/>
      <c r="G618" s="282" t="n"/>
      <c r="H618" s="536" t="n"/>
      <c r="I618" s="535" t="n"/>
      <c r="J618" s="282" t="n"/>
      <c r="K618" s="282" t="n"/>
      <c r="L618" s="536" t="n"/>
      <c r="M618" s="535" t="n"/>
      <c r="N618" s="282" t="n"/>
      <c r="O618" s="282" t="n"/>
      <c r="P618" s="535" t="n"/>
      <c r="Q618" s="535" t="n"/>
      <c r="R618" s="282" t="n"/>
      <c r="S618" s="282" t="n"/>
      <c r="T618" s="535" t="n"/>
      <c r="U618" s="535" t="n"/>
      <c r="V618" s="282" t="n"/>
      <c r="W618" s="282" t="n"/>
      <c r="X618" s="536" t="n"/>
      <c r="Y618" s="536" t="n"/>
      <c r="Z618" s="282" t="n"/>
      <c r="AA618" s="282" t="n"/>
      <c r="AB618" s="536" t="n"/>
      <c r="AC618" s="536" t="n"/>
      <c r="AD618" s="282" t="n"/>
      <c r="AE618" s="282" t="n"/>
      <c r="AF618" s="537" t="n"/>
      <c r="AG618" s="537" t="n"/>
      <c r="AH618" s="282" t="n"/>
      <c r="AI618" s="282" t="n"/>
      <c r="AJ618" s="537" t="n"/>
      <c r="AK618" s="537" t="n"/>
      <c r="AL618" s="282" t="n"/>
      <c r="AM618" s="282" t="n"/>
      <c r="AN618" s="282" t="n"/>
      <c r="AO618" s="282" t="n"/>
      <c r="AP618" s="282" t="n"/>
      <c r="AQ618" s="282" t="n"/>
      <c r="AR618" s="535" t="n"/>
      <c r="AS618" s="535" t="n"/>
      <c r="AT618" s="282" t="n"/>
      <c r="AU618" s="282" t="n"/>
    </row>
    <row customHeight="1" ht="15.75" r="619" s="452" spans="1:48">
      <c r="A619" s="44" t="n"/>
      <c r="D619" s="535" t="n"/>
      <c r="E619" s="535" t="n"/>
      <c r="F619" s="282" t="n"/>
      <c r="G619" s="282" t="n"/>
      <c r="H619" s="536" t="n"/>
      <c r="I619" s="535" t="n"/>
      <c r="J619" s="282" t="n"/>
      <c r="K619" s="282" t="n"/>
      <c r="L619" s="536" t="n"/>
      <c r="M619" s="535" t="n"/>
      <c r="N619" s="282" t="n"/>
      <c r="O619" s="282" t="n"/>
      <c r="P619" s="535" t="n"/>
      <c r="Q619" s="535" t="n"/>
      <c r="R619" s="282" t="n"/>
      <c r="S619" s="282" t="n"/>
      <c r="T619" s="535" t="n"/>
      <c r="U619" s="535" t="n"/>
      <c r="V619" s="282" t="n"/>
      <c r="W619" s="282" t="n"/>
      <c r="X619" s="536" t="n"/>
      <c r="Y619" s="536" t="n"/>
      <c r="Z619" s="282" t="n"/>
      <c r="AA619" s="282" t="n"/>
      <c r="AB619" s="536" t="n"/>
      <c r="AC619" s="536" t="n"/>
      <c r="AD619" s="282" t="n"/>
      <c r="AE619" s="282" t="n"/>
      <c r="AF619" s="537" t="n"/>
      <c r="AG619" s="537" t="n"/>
      <c r="AH619" s="282" t="n"/>
      <c r="AI619" s="282" t="n"/>
      <c r="AJ619" s="537" t="n"/>
      <c r="AK619" s="537" t="n"/>
      <c r="AL619" s="282" t="n"/>
      <c r="AM619" s="282" t="n"/>
      <c r="AN619" s="282" t="n"/>
      <c r="AO619" s="282" t="n"/>
      <c r="AP619" s="282" t="n"/>
      <c r="AQ619" s="282" t="n"/>
      <c r="AR619" s="535" t="n"/>
      <c r="AS619" s="535" t="n"/>
      <c r="AT619" s="282" t="n"/>
      <c r="AU619" s="282" t="n"/>
    </row>
    <row customHeight="1" ht="15.75" r="620" s="452" spans="1:48">
      <c r="A620" s="44" t="n"/>
      <c r="D620" s="535" t="n"/>
      <c r="E620" s="535" t="n"/>
      <c r="F620" s="282" t="n"/>
      <c r="G620" s="282" t="n"/>
      <c r="H620" s="536" t="n"/>
      <c r="I620" s="535" t="n"/>
      <c r="J620" s="282" t="n"/>
      <c r="K620" s="282" t="n"/>
      <c r="L620" s="536" t="n"/>
      <c r="M620" s="535" t="n"/>
      <c r="N620" s="282" t="n"/>
      <c r="O620" s="282" t="n"/>
      <c r="P620" s="535" t="n"/>
      <c r="Q620" s="535" t="n"/>
      <c r="R620" s="282" t="n"/>
      <c r="S620" s="282" t="n"/>
      <c r="T620" s="535" t="n"/>
      <c r="U620" s="535" t="n"/>
      <c r="V620" s="282" t="n"/>
      <c r="W620" s="282" t="n"/>
      <c r="X620" s="536" t="n"/>
      <c r="Y620" s="536" t="n"/>
      <c r="Z620" s="282" t="n"/>
      <c r="AA620" s="282" t="n"/>
      <c r="AB620" s="536" t="n"/>
      <c r="AC620" s="536" t="n"/>
      <c r="AD620" s="282" t="n"/>
      <c r="AE620" s="282" t="n"/>
      <c r="AF620" s="537" t="n"/>
      <c r="AG620" s="537" t="n"/>
      <c r="AH620" s="282" t="n"/>
      <c r="AI620" s="282" t="n"/>
      <c r="AJ620" s="537" t="n"/>
      <c r="AK620" s="537" t="n"/>
      <c r="AL620" s="282" t="n"/>
      <c r="AM620" s="282" t="n"/>
      <c r="AN620" s="282" t="n"/>
      <c r="AO620" s="282" t="n"/>
      <c r="AP620" s="282" t="n"/>
      <c r="AQ620" s="282" t="n"/>
      <c r="AR620" s="535" t="n"/>
      <c r="AS620" s="535" t="n"/>
      <c r="AT620" s="282" t="n"/>
      <c r="AU620" s="282" t="n"/>
    </row>
    <row customHeight="1" ht="15.75" r="621" s="452" spans="1:48">
      <c r="A621" s="44" t="n"/>
      <c r="D621" s="535" t="n"/>
      <c r="E621" s="535" t="n"/>
      <c r="F621" s="282" t="n"/>
      <c r="G621" s="282" t="n"/>
      <c r="H621" s="536" t="n"/>
      <c r="I621" s="535" t="n"/>
      <c r="J621" s="282" t="n"/>
      <c r="K621" s="282" t="n"/>
      <c r="L621" s="536" t="n"/>
      <c r="M621" s="535" t="n"/>
      <c r="N621" s="282" t="n"/>
      <c r="O621" s="282" t="n"/>
      <c r="P621" s="535" t="n"/>
      <c r="Q621" s="535" t="n"/>
      <c r="R621" s="282" t="n"/>
      <c r="S621" s="282" t="n"/>
      <c r="T621" s="535" t="n"/>
      <c r="U621" s="535" t="n"/>
      <c r="V621" s="282" t="n"/>
      <c r="W621" s="282" t="n"/>
      <c r="X621" s="536" t="n"/>
      <c r="Y621" s="536" t="n"/>
      <c r="Z621" s="282" t="n"/>
      <c r="AA621" s="282" t="n"/>
      <c r="AB621" s="536" t="n"/>
      <c r="AC621" s="536" t="n"/>
      <c r="AD621" s="282" t="n"/>
      <c r="AE621" s="282" t="n"/>
      <c r="AF621" s="537" t="n"/>
      <c r="AG621" s="537" t="n"/>
      <c r="AH621" s="282" t="n"/>
      <c r="AI621" s="282" t="n"/>
      <c r="AJ621" s="537" t="n"/>
      <c r="AK621" s="537" t="n"/>
      <c r="AL621" s="282" t="n"/>
      <c r="AM621" s="282" t="n"/>
      <c r="AN621" s="282" t="n"/>
      <c r="AO621" s="282" t="n"/>
      <c r="AP621" s="282" t="n"/>
      <c r="AQ621" s="282" t="n"/>
      <c r="AR621" s="535" t="n"/>
      <c r="AS621" s="535" t="n"/>
      <c r="AT621" s="282" t="n"/>
      <c r="AU621" s="282" t="n"/>
    </row>
    <row customHeight="1" ht="15.75" r="622" s="452" spans="1:48">
      <c r="A622" s="44" t="n"/>
      <c r="D622" s="535" t="n"/>
      <c r="E622" s="535" t="n"/>
      <c r="F622" s="282" t="n"/>
      <c r="G622" s="282" t="n"/>
      <c r="H622" s="536" t="n"/>
      <c r="I622" s="535" t="n"/>
      <c r="J622" s="282" t="n"/>
      <c r="K622" s="282" t="n"/>
      <c r="L622" s="536" t="n"/>
      <c r="M622" s="535" t="n"/>
      <c r="N622" s="282" t="n"/>
      <c r="O622" s="282" t="n"/>
      <c r="P622" s="535" t="n"/>
      <c r="Q622" s="535" t="n"/>
      <c r="R622" s="282" t="n"/>
      <c r="S622" s="282" t="n"/>
      <c r="T622" s="535" t="n"/>
      <c r="U622" s="535" t="n"/>
      <c r="V622" s="282" t="n"/>
      <c r="W622" s="282" t="n"/>
      <c r="X622" s="536" t="n"/>
      <c r="Y622" s="536" t="n"/>
      <c r="Z622" s="282" t="n"/>
      <c r="AA622" s="282" t="n"/>
      <c r="AB622" s="536" t="n"/>
      <c r="AC622" s="536" t="n"/>
      <c r="AD622" s="282" t="n"/>
      <c r="AE622" s="282" t="n"/>
      <c r="AF622" s="537" t="n"/>
      <c r="AG622" s="537" t="n"/>
      <c r="AH622" s="282" t="n"/>
      <c r="AI622" s="282" t="n"/>
      <c r="AJ622" s="537" t="n"/>
      <c r="AK622" s="537" t="n"/>
      <c r="AL622" s="282" t="n"/>
      <c r="AM622" s="282" t="n"/>
      <c r="AN622" s="282" t="n"/>
      <c r="AO622" s="282" t="n"/>
      <c r="AP622" s="282" t="n"/>
      <c r="AQ622" s="282" t="n"/>
      <c r="AR622" s="535" t="n"/>
      <c r="AS622" s="535" t="n"/>
      <c r="AT622" s="282" t="n"/>
      <c r="AU622" s="282" t="n"/>
    </row>
    <row customHeight="1" ht="15.75" r="623" s="452" spans="1:48">
      <c r="A623" s="44" t="n"/>
      <c r="D623" s="535" t="n"/>
      <c r="E623" s="535" t="n"/>
      <c r="F623" s="282" t="n"/>
      <c r="G623" s="282" t="n"/>
      <c r="H623" s="536" t="n"/>
      <c r="I623" s="535" t="n"/>
      <c r="J623" s="282" t="n"/>
      <c r="K623" s="282" t="n"/>
      <c r="L623" s="536" t="n"/>
      <c r="M623" s="535" t="n"/>
      <c r="N623" s="282" t="n"/>
      <c r="O623" s="282" t="n"/>
      <c r="P623" s="535" t="n"/>
      <c r="Q623" s="535" t="n"/>
      <c r="R623" s="282" t="n"/>
      <c r="S623" s="282" t="n"/>
      <c r="T623" s="535" t="n"/>
      <c r="U623" s="535" t="n"/>
      <c r="V623" s="282" t="n"/>
      <c r="W623" s="282" t="n"/>
      <c r="X623" s="536" t="n"/>
      <c r="Y623" s="536" t="n"/>
      <c r="Z623" s="282" t="n"/>
      <c r="AA623" s="282" t="n"/>
      <c r="AB623" s="536" t="n"/>
      <c r="AC623" s="536" t="n"/>
      <c r="AD623" s="282" t="n"/>
      <c r="AE623" s="282" t="n"/>
      <c r="AF623" s="537" t="n"/>
      <c r="AG623" s="537" t="n"/>
      <c r="AH623" s="282" t="n"/>
      <c r="AI623" s="282" t="n"/>
      <c r="AJ623" s="537" t="n"/>
      <c r="AK623" s="537" t="n"/>
      <c r="AL623" s="282" t="n"/>
      <c r="AM623" s="282" t="n"/>
      <c r="AN623" s="282" t="n"/>
      <c r="AO623" s="282" t="n"/>
      <c r="AP623" s="282" t="n"/>
      <c r="AQ623" s="282" t="n"/>
      <c r="AR623" s="535" t="n"/>
      <c r="AS623" s="535" t="n"/>
      <c r="AT623" s="282" t="n"/>
      <c r="AU623" s="282" t="n"/>
    </row>
    <row customHeight="1" ht="15.75" r="624" s="452" spans="1:48">
      <c r="A624" s="44" t="n"/>
      <c r="D624" s="535" t="n"/>
      <c r="E624" s="535" t="n"/>
      <c r="F624" s="282" t="n"/>
      <c r="G624" s="282" t="n"/>
      <c r="H624" s="536" t="n"/>
      <c r="I624" s="535" t="n"/>
      <c r="J624" s="282" t="n"/>
      <c r="K624" s="282" t="n"/>
      <c r="L624" s="536" t="n"/>
      <c r="M624" s="535" t="n"/>
      <c r="N624" s="282" t="n"/>
      <c r="O624" s="282" t="n"/>
      <c r="P624" s="535" t="n"/>
      <c r="Q624" s="535" t="n"/>
      <c r="R624" s="282" t="n"/>
      <c r="S624" s="282" t="n"/>
      <c r="T624" s="535" t="n"/>
      <c r="U624" s="535" t="n"/>
      <c r="V624" s="282" t="n"/>
      <c r="W624" s="282" t="n"/>
      <c r="X624" s="536" t="n"/>
      <c r="Y624" s="536" t="n"/>
      <c r="Z624" s="282" t="n"/>
      <c r="AA624" s="282" t="n"/>
      <c r="AB624" s="536" t="n"/>
      <c r="AC624" s="536" t="n"/>
      <c r="AD624" s="282" t="n"/>
      <c r="AE624" s="282" t="n"/>
      <c r="AF624" s="537" t="n"/>
      <c r="AG624" s="537" t="n"/>
      <c r="AH624" s="282" t="n"/>
      <c r="AI624" s="282" t="n"/>
      <c r="AJ624" s="537" t="n"/>
      <c r="AK624" s="537" t="n"/>
      <c r="AL624" s="282" t="n"/>
      <c r="AM624" s="282" t="n"/>
      <c r="AN624" s="282" t="n"/>
      <c r="AO624" s="282" t="n"/>
      <c r="AP624" s="282" t="n"/>
      <c r="AQ624" s="282" t="n"/>
      <c r="AR624" s="535" t="n"/>
      <c r="AS624" s="535" t="n"/>
      <c r="AT624" s="282" t="n"/>
      <c r="AU624" s="282" t="n"/>
    </row>
    <row customHeight="1" ht="15.75" r="625" s="452" spans="1:48">
      <c r="A625" s="44" t="n"/>
      <c r="D625" s="535" t="n"/>
      <c r="E625" s="535" t="n"/>
      <c r="F625" s="282" t="n"/>
      <c r="G625" s="282" t="n"/>
      <c r="H625" s="536" t="n"/>
      <c r="I625" s="535" t="n"/>
      <c r="J625" s="282" t="n"/>
      <c r="K625" s="282" t="n"/>
      <c r="L625" s="536" t="n"/>
      <c r="M625" s="535" t="n"/>
      <c r="N625" s="282" t="n"/>
      <c r="O625" s="282" t="n"/>
      <c r="P625" s="535" t="n"/>
      <c r="Q625" s="535" t="n"/>
      <c r="R625" s="282" t="n"/>
      <c r="S625" s="282" t="n"/>
      <c r="T625" s="535" t="n"/>
      <c r="U625" s="535" t="n"/>
      <c r="V625" s="282" t="n"/>
      <c r="W625" s="282" t="n"/>
      <c r="X625" s="536" t="n"/>
      <c r="Y625" s="536" t="n"/>
      <c r="Z625" s="282" t="n"/>
      <c r="AA625" s="282" t="n"/>
      <c r="AB625" s="536" t="n"/>
      <c r="AC625" s="536" t="n"/>
      <c r="AD625" s="282" t="n"/>
      <c r="AE625" s="282" t="n"/>
      <c r="AF625" s="537" t="n"/>
      <c r="AG625" s="537" t="n"/>
      <c r="AH625" s="282" t="n"/>
      <c r="AI625" s="282" t="n"/>
      <c r="AJ625" s="537" t="n"/>
      <c r="AK625" s="537" t="n"/>
      <c r="AL625" s="282" t="n"/>
      <c r="AM625" s="282" t="n"/>
      <c r="AN625" s="282" t="n"/>
      <c r="AO625" s="282" t="n"/>
      <c r="AP625" s="282" t="n"/>
      <c r="AQ625" s="282" t="n"/>
      <c r="AR625" s="535" t="n"/>
      <c r="AS625" s="535" t="n"/>
      <c r="AT625" s="282" t="n"/>
      <c r="AU625" s="282" t="n"/>
    </row>
    <row customHeight="1" ht="15.75" r="626" s="452" spans="1:48">
      <c r="A626" s="44" t="n"/>
      <c r="D626" s="535" t="n"/>
      <c r="E626" s="535" t="n"/>
      <c r="F626" s="282" t="n"/>
      <c r="G626" s="282" t="n"/>
      <c r="H626" s="536" t="n"/>
      <c r="I626" s="535" t="n"/>
      <c r="J626" s="282" t="n"/>
      <c r="K626" s="282" t="n"/>
      <c r="L626" s="536" t="n"/>
      <c r="M626" s="535" t="n"/>
      <c r="N626" s="282" t="n"/>
      <c r="O626" s="282" t="n"/>
      <c r="P626" s="535" t="n"/>
      <c r="Q626" s="535" t="n"/>
      <c r="R626" s="282" t="n"/>
      <c r="S626" s="282" t="n"/>
      <c r="T626" s="535" t="n"/>
      <c r="U626" s="535" t="n"/>
      <c r="V626" s="282" t="n"/>
      <c r="W626" s="282" t="n"/>
      <c r="X626" s="536" t="n"/>
      <c r="Y626" s="536" t="n"/>
      <c r="Z626" s="282" t="n"/>
      <c r="AA626" s="282" t="n"/>
      <c r="AB626" s="536" t="n"/>
      <c r="AC626" s="536" t="n"/>
      <c r="AD626" s="282" t="n"/>
      <c r="AE626" s="282" t="n"/>
      <c r="AF626" s="537" t="n"/>
      <c r="AG626" s="537" t="n"/>
      <c r="AH626" s="282" t="n"/>
      <c r="AI626" s="282" t="n"/>
      <c r="AJ626" s="537" t="n"/>
      <c r="AK626" s="537" t="n"/>
      <c r="AL626" s="282" t="n"/>
      <c r="AM626" s="282" t="n"/>
      <c r="AN626" s="282" t="n"/>
      <c r="AO626" s="282" t="n"/>
      <c r="AP626" s="282" t="n"/>
      <c r="AQ626" s="282" t="n"/>
      <c r="AR626" s="535" t="n"/>
      <c r="AS626" s="535" t="n"/>
      <c r="AT626" s="282" t="n"/>
      <c r="AU626" s="282" t="n"/>
    </row>
    <row customHeight="1" ht="15.75" r="627" s="452" spans="1:48">
      <c r="A627" s="44" t="n"/>
      <c r="D627" s="535" t="n"/>
      <c r="E627" s="535" t="n"/>
      <c r="F627" s="282" t="n"/>
      <c r="G627" s="282" t="n"/>
      <c r="H627" s="536" t="n"/>
      <c r="I627" s="535" t="n"/>
      <c r="J627" s="282" t="n"/>
      <c r="K627" s="282" t="n"/>
      <c r="L627" s="536" t="n"/>
      <c r="M627" s="535" t="n"/>
      <c r="N627" s="282" t="n"/>
      <c r="O627" s="282" t="n"/>
      <c r="P627" s="535" t="n"/>
      <c r="Q627" s="535" t="n"/>
      <c r="R627" s="282" t="n"/>
      <c r="S627" s="282" t="n"/>
      <c r="T627" s="535" t="n"/>
      <c r="U627" s="535" t="n"/>
      <c r="V627" s="282" t="n"/>
      <c r="W627" s="282" t="n"/>
      <c r="X627" s="536" t="n"/>
      <c r="Y627" s="536" t="n"/>
      <c r="Z627" s="282" t="n"/>
      <c r="AA627" s="282" t="n"/>
      <c r="AB627" s="536" t="n"/>
      <c r="AC627" s="536" t="n"/>
      <c r="AD627" s="282" t="n"/>
      <c r="AE627" s="282" t="n"/>
      <c r="AF627" s="537" t="n"/>
      <c r="AG627" s="537" t="n"/>
      <c r="AH627" s="282" t="n"/>
      <c r="AI627" s="282" t="n"/>
      <c r="AJ627" s="537" t="n"/>
      <c r="AK627" s="537" t="n"/>
      <c r="AL627" s="282" t="n"/>
      <c r="AM627" s="282" t="n"/>
      <c r="AN627" s="282" t="n"/>
      <c r="AO627" s="282" t="n"/>
      <c r="AP627" s="282" t="n"/>
      <c r="AQ627" s="282" t="n"/>
      <c r="AR627" s="535" t="n"/>
      <c r="AS627" s="535" t="n"/>
      <c r="AT627" s="282" t="n"/>
      <c r="AU627" s="282" t="n"/>
    </row>
    <row customHeight="1" ht="15.75" r="628" s="452" spans="1:48">
      <c r="A628" s="44" t="n"/>
      <c r="D628" s="535" t="n"/>
      <c r="E628" s="535" t="n"/>
      <c r="F628" s="282" t="n"/>
      <c r="G628" s="282" t="n"/>
      <c r="H628" s="536" t="n"/>
      <c r="I628" s="535" t="n"/>
      <c r="J628" s="282" t="n"/>
      <c r="K628" s="282" t="n"/>
      <c r="L628" s="536" t="n"/>
      <c r="M628" s="535" t="n"/>
      <c r="N628" s="282" t="n"/>
      <c r="O628" s="282" t="n"/>
      <c r="P628" s="535" t="n"/>
      <c r="Q628" s="535" t="n"/>
      <c r="R628" s="282" t="n"/>
      <c r="S628" s="282" t="n"/>
      <c r="T628" s="535" t="n"/>
      <c r="U628" s="535" t="n"/>
      <c r="V628" s="282" t="n"/>
      <c r="W628" s="282" t="n"/>
      <c r="X628" s="536" t="n"/>
      <c r="Y628" s="536" t="n"/>
      <c r="Z628" s="282" t="n"/>
      <c r="AA628" s="282" t="n"/>
      <c r="AB628" s="536" t="n"/>
      <c r="AC628" s="536" t="n"/>
      <c r="AD628" s="282" t="n"/>
      <c r="AE628" s="282" t="n"/>
      <c r="AF628" s="537" t="n"/>
      <c r="AG628" s="537" t="n"/>
      <c r="AH628" s="282" t="n"/>
      <c r="AI628" s="282" t="n"/>
      <c r="AJ628" s="537" t="n"/>
      <c r="AK628" s="537" t="n"/>
      <c r="AL628" s="282" t="n"/>
      <c r="AM628" s="282" t="n"/>
      <c r="AN628" s="282" t="n"/>
      <c r="AO628" s="282" t="n"/>
      <c r="AP628" s="282" t="n"/>
      <c r="AQ628" s="282" t="n"/>
      <c r="AR628" s="535" t="n"/>
      <c r="AS628" s="535" t="n"/>
      <c r="AT628" s="282" t="n"/>
      <c r="AU628" s="282" t="n"/>
    </row>
    <row customHeight="1" ht="15.75" r="629" s="452" spans="1:48">
      <c r="A629" s="44" t="n"/>
      <c r="D629" s="535" t="n"/>
      <c r="E629" s="535" t="n"/>
      <c r="F629" s="282" t="n"/>
      <c r="G629" s="282" t="n"/>
      <c r="H629" s="536" t="n"/>
      <c r="I629" s="535" t="n"/>
      <c r="J629" s="282" t="n"/>
      <c r="K629" s="282" t="n"/>
      <c r="L629" s="536" t="n"/>
      <c r="M629" s="535" t="n"/>
      <c r="N629" s="282" t="n"/>
      <c r="O629" s="282" t="n"/>
      <c r="P629" s="535" t="n"/>
      <c r="Q629" s="535" t="n"/>
      <c r="R629" s="282" t="n"/>
      <c r="S629" s="282" t="n"/>
      <c r="T629" s="535" t="n"/>
      <c r="U629" s="535" t="n"/>
      <c r="V629" s="282" t="n"/>
      <c r="W629" s="282" t="n"/>
      <c r="X629" s="536" t="n"/>
      <c r="Y629" s="536" t="n"/>
      <c r="Z629" s="282" t="n"/>
      <c r="AA629" s="282" t="n"/>
      <c r="AB629" s="536" t="n"/>
      <c r="AC629" s="536" t="n"/>
      <c r="AD629" s="282" t="n"/>
      <c r="AE629" s="282" t="n"/>
      <c r="AF629" s="537" t="n"/>
      <c r="AG629" s="537" t="n"/>
      <c r="AH629" s="282" t="n"/>
      <c r="AI629" s="282" t="n"/>
      <c r="AJ629" s="537" t="n"/>
      <c r="AK629" s="537" t="n"/>
      <c r="AL629" s="282" t="n"/>
      <c r="AM629" s="282" t="n"/>
      <c r="AN629" s="282" t="n"/>
      <c r="AO629" s="282" t="n"/>
      <c r="AP629" s="282" t="n"/>
      <c r="AQ629" s="282" t="n"/>
      <c r="AR629" s="535" t="n"/>
      <c r="AS629" s="535" t="n"/>
      <c r="AT629" s="282" t="n"/>
      <c r="AU629" s="282" t="n"/>
    </row>
    <row customHeight="1" ht="15.75" r="630" s="452" spans="1:48">
      <c r="A630" s="44" t="n"/>
      <c r="D630" s="535" t="n"/>
      <c r="E630" s="535" t="n"/>
      <c r="F630" s="282" t="n"/>
      <c r="G630" s="282" t="n"/>
      <c r="H630" s="536" t="n"/>
      <c r="I630" s="535" t="n"/>
      <c r="J630" s="282" t="n"/>
      <c r="K630" s="282" t="n"/>
      <c r="L630" s="536" t="n"/>
      <c r="M630" s="535" t="n"/>
      <c r="N630" s="282" t="n"/>
      <c r="O630" s="282" t="n"/>
      <c r="P630" s="535" t="n"/>
      <c r="Q630" s="535" t="n"/>
      <c r="R630" s="282" t="n"/>
      <c r="S630" s="282" t="n"/>
      <c r="T630" s="535" t="n"/>
      <c r="U630" s="535" t="n"/>
      <c r="V630" s="282" t="n"/>
      <c r="W630" s="282" t="n"/>
      <c r="X630" s="536" t="n"/>
      <c r="Y630" s="536" t="n"/>
      <c r="Z630" s="282" t="n"/>
      <c r="AA630" s="282" t="n"/>
      <c r="AB630" s="536" t="n"/>
      <c r="AC630" s="536" t="n"/>
      <c r="AD630" s="282" t="n"/>
      <c r="AE630" s="282" t="n"/>
      <c r="AF630" s="537" t="n"/>
      <c r="AG630" s="537" t="n"/>
      <c r="AH630" s="282" t="n"/>
      <c r="AI630" s="282" t="n"/>
      <c r="AJ630" s="537" t="n"/>
      <c r="AK630" s="537" t="n"/>
      <c r="AL630" s="282" t="n"/>
      <c r="AM630" s="282" t="n"/>
      <c r="AN630" s="282" t="n"/>
      <c r="AO630" s="282" t="n"/>
      <c r="AP630" s="282" t="n"/>
      <c r="AQ630" s="282" t="n"/>
      <c r="AR630" s="535" t="n"/>
      <c r="AS630" s="535" t="n"/>
      <c r="AT630" s="282" t="n"/>
      <c r="AU630" s="282" t="n"/>
    </row>
    <row customHeight="1" ht="15.75" r="631" s="452" spans="1:48">
      <c r="A631" s="44" t="n"/>
      <c r="D631" s="535" t="n"/>
      <c r="E631" s="535" t="n"/>
      <c r="F631" s="282" t="n"/>
      <c r="G631" s="282" t="n"/>
      <c r="H631" s="536" t="n"/>
      <c r="I631" s="535" t="n"/>
      <c r="J631" s="282" t="n"/>
      <c r="K631" s="282" t="n"/>
      <c r="L631" s="536" t="n"/>
      <c r="M631" s="535" t="n"/>
      <c r="N631" s="282" t="n"/>
      <c r="O631" s="282" t="n"/>
      <c r="P631" s="535" t="n"/>
      <c r="Q631" s="535" t="n"/>
      <c r="R631" s="282" t="n"/>
      <c r="S631" s="282" t="n"/>
      <c r="T631" s="535" t="n"/>
      <c r="U631" s="535" t="n"/>
      <c r="V631" s="282" t="n"/>
      <c r="W631" s="282" t="n"/>
      <c r="X631" s="536" t="n"/>
      <c r="Y631" s="536" t="n"/>
      <c r="Z631" s="282" t="n"/>
      <c r="AA631" s="282" t="n"/>
      <c r="AB631" s="536" t="n"/>
      <c r="AC631" s="536" t="n"/>
      <c r="AD631" s="282" t="n"/>
      <c r="AE631" s="282" t="n"/>
      <c r="AF631" s="537" t="n"/>
      <c r="AG631" s="537" t="n"/>
      <c r="AH631" s="282" t="n"/>
      <c r="AI631" s="282" t="n"/>
      <c r="AJ631" s="537" t="n"/>
      <c r="AK631" s="537" t="n"/>
      <c r="AL631" s="282" t="n"/>
      <c r="AM631" s="282" t="n"/>
      <c r="AN631" s="282" t="n"/>
      <c r="AO631" s="282" t="n"/>
      <c r="AP631" s="282" t="n"/>
      <c r="AQ631" s="282" t="n"/>
      <c r="AR631" s="535" t="n"/>
      <c r="AS631" s="535" t="n"/>
      <c r="AT631" s="282" t="n"/>
      <c r="AU631" s="282" t="n"/>
    </row>
    <row customHeight="1" ht="15.75" r="632" s="452" spans="1:48">
      <c r="A632" s="44" t="n"/>
      <c r="D632" s="535" t="n"/>
      <c r="E632" s="535" t="n"/>
      <c r="F632" s="282" t="n"/>
      <c r="G632" s="282" t="n"/>
      <c r="H632" s="536" t="n"/>
      <c r="I632" s="535" t="n"/>
      <c r="J632" s="282" t="n"/>
      <c r="K632" s="282" t="n"/>
      <c r="L632" s="536" t="n"/>
      <c r="M632" s="535" t="n"/>
      <c r="N632" s="282" t="n"/>
      <c r="O632" s="282" t="n"/>
      <c r="P632" s="535" t="n"/>
      <c r="Q632" s="535" t="n"/>
      <c r="R632" s="282" t="n"/>
      <c r="S632" s="282" t="n"/>
      <c r="T632" s="535" t="n"/>
      <c r="U632" s="535" t="n"/>
      <c r="V632" s="282" t="n"/>
      <c r="W632" s="282" t="n"/>
      <c r="X632" s="536" t="n"/>
      <c r="Y632" s="536" t="n"/>
      <c r="Z632" s="282" t="n"/>
      <c r="AA632" s="282" t="n"/>
      <c r="AB632" s="536" t="n"/>
      <c r="AC632" s="536" t="n"/>
      <c r="AD632" s="282" t="n"/>
      <c r="AE632" s="282" t="n"/>
      <c r="AF632" s="537" t="n"/>
      <c r="AG632" s="537" t="n"/>
      <c r="AH632" s="282" t="n"/>
      <c r="AI632" s="282" t="n"/>
      <c r="AJ632" s="537" t="n"/>
      <c r="AK632" s="537" t="n"/>
      <c r="AL632" s="282" t="n"/>
      <c r="AM632" s="282" t="n"/>
      <c r="AN632" s="282" t="n"/>
      <c r="AO632" s="282" t="n"/>
      <c r="AP632" s="282" t="n"/>
      <c r="AQ632" s="282" t="n"/>
      <c r="AR632" s="535" t="n"/>
      <c r="AS632" s="535" t="n"/>
      <c r="AT632" s="282" t="n"/>
      <c r="AU632" s="282" t="n"/>
    </row>
    <row customHeight="1" ht="15.75" r="633" s="452" spans="1:48">
      <c r="A633" s="44" t="n"/>
      <c r="D633" s="535" t="n"/>
      <c r="E633" s="535" t="n"/>
      <c r="F633" s="282" t="n"/>
      <c r="G633" s="282" t="n"/>
      <c r="H633" s="536" t="n"/>
      <c r="I633" s="535" t="n"/>
      <c r="J633" s="282" t="n"/>
      <c r="K633" s="282" t="n"/>
      <c r="L633" s="536" t="n"/>
      <c r="M633" s="535" t="n"/>
      <c r="N633" s="282" t="n"/>
      <c r="O633" s="282" t="n"/>
      <c r="P633" s="535" t="n"/>
      <c r="Q633" s="535" t="n"/>
      <c r="R633" s="282" t="n"/>
      <c r="S633" s="282" t="n"/>
      <c r="T633" s="535" t="n"/>
      <c r="U633" s="535" t="n"/>
      <c r="V633" s="282" t="n"/>
      <c r="W633" s="282" t="n"/>
      <c r="X633" s="536" t="n"/>
      <c r="Y633" s="536" t="n"/>
      <c r="Z633" s="282" t="n"/>
      <c r="AA633" s="282" t="n"/>
      <c r="AB633" s="536" t="n"/>
      <c r="AC633" s="536" t="n"/>
      <c r="AD633" s="282" t="n"/>
      <c r="AE633" s="282" t="n"/>
      <c r="AF633" s="537" t="n"/>
      <c r="AG633" s="537" t="n"/>
      <c r="AH633" s="282" t="n"/>
      <c r="AI633" s="282" t="n"/>
      <c r="AJ633" s="537" t="n"/>
      <c r="AK633" s="537" t="n"/>
      <c r="AL633" s="282" t="n"/>
      <c r="AM633" s="282" t="n"/>
      <c r="AN633" s="282" t="n"/>
      <c r="AO633" s="282" t="n"/>
      <c r="AP633" s="282" t="n"/>
      <c r="AQ633" s="282" t="n"/>
      <c r="AR633" s="535" t="n"/>
      <c r="AS633" s="535" t="n"/>
      <c r="AT633" s="282" t="n"/>
      <c r="AU633" s="282" t="n"/>
    </row>
    <row customHeight="1" ht="15.75" r="634" s="452" spans="1:48">
      <c r="A634" s="44" t="n"/>
      <c r="D634" s="535" t="n"/>
      <c r="E634" s="535" t="n"/>
      <c r="F634" s="282" t="n"/>
      <c r="G634" s="282" t="n"/>
      <c r="H634" s="536" t="n"/>
      <c r="I634" s="535" t="n"/>
      <c r="J634" s="282" t="n"/>
      <c r="K634" s="282" t="n"/>
      <c r="L634" s="536" t="n"/>
      <c r="M634" s="535" t="n"/>
      <c r="N634" s="282" t="n"/>
      <c r="O634" s="282" t="n"/>
      <c r="P634" s="535" t="n"/>
      <c r="Q634" s="535" t="n"/>
      <c r="R634" s="282" t="n"/>
      <c r="S634" s="282" t="n"/>
      <c r="T634" s="535" t="n"/>
      <c r="U634" s="535" t="n"/>
      <c r="V634" s="282" t="n"/>
      <c r="W634" s="282" t="n"/>
      <c r="X634" s="536" t="n"/>
      <c r="Y634" s="536" t="n"/>
      <c r="Z634" s="282" t="n"/>
      <c r="AA634" s="282" t="n"/>
      <c r="AB634" s="536" t="n"/>
      <c r="AC634" s="536" t="n"/>
      <c r="AD634" s="282" t="n"/>
      <c r="AE634" s="282" t="n"/>
      <c r="AF634" s="537" t="n"/>
      <c r="AG634" s="537" t="n"/>
      <c r="AH634" s="282" t="n"/>
      <c r="AI634" s="282" t="n"/>
      <c r="AJ634" s="537" t="n"/>
      <c r="AK634" s="537" t="n"/>
      <c r="AL634" s="282" t="n"/>
      <c r="AM634" s="282" t="n"/>
      <c r="AN634" s="282" t="n"/>
      <c r="AO634" s="282" t="n"/>
      <c r="AP634" s="282" t="n"/>
      <c r="AQ634" s="282" t="n"/>
      <c r="AR634" s="535" t="n"/>
      <c r="AS634" s="535" t="n"/>
      <c r="AT634" s="282" t="n"/>
      <c r="AU634" s="282" t="n"/>
    </row>
    <row customHeight="1" ht="15.75" r="635" s="452" spans="1:48">
      <c r="A635" s="44" t="n"/>
      <c r="D635" s="535" t="n"/>
      <c r="E635" s="535" t="n"/>
      <c r="F635" s="282" t="n"/>
      <c r="G635" s="282" t="n"/>
      <c r="H635" s="536" t="n"/>
      <c r="I635" s="535" t="n"/>
      <c r="J635" s="282" t="n"/>
      <c r="K635" s="282" t="n"/>
      <c r="L635" s="536" t="n"/>
      <c r="M635" s="535" t="n"/>
      <c r="N635" s="282" t="n"/>
      <c r="O635" s="282" t="n"/>
      <c r="P635" s="535" t="n"/>
      <c r="Q635" s="535" t="n"/>
      <c r="R635" s="282" t="n"/>
      <c r="S635" s="282" t="n"/>
      <c r="T635" s="535" t="n"/>
      <c r="U635" s="535" t="n"/>
      <c r="V635" s="282" t="n"/>
      <c r="W635" s="282" t="n"/>
      <c r="X635" s="536" t="n"/>
      <c r="Y635" s="536" t="n"/>
      <c r="Z635" s="282" t="n"/>
      <c r="AA635" s="282" t="n"/>
      <c r="AB635" s="536" t="n"/>
      <c r="AC635" s="536" t="n"/>
      <c r="AD635" s="282" t="n"/>
      <c r="AE635" s="282" t="n"/>
      <c r="AF635" s="537" t="n"/>
      <c r="AG635" s="537" t="n"/>
      <c r="AH635" s="282" t="n"/>
      <c r="AI635" s="282" t="n"/>
      <c r="AJ635" s="537" t="n"/>
      <c r="AK635" s="537" t="n"/>
      <c r="AL635" s="282" t="n"/>
      <c r="AM635" s="282" t="n"/>
      <c r="AN635" s="282" t="n"/>
      <c r="AO635" s="282" t="n"/>
      <c r="AP635" s="282" t="n"/>
      <c r="AQ635" s="282" t="n"/>
      <c r="AR635" s="535" t="n"/>
      <c r="AS635" s="535" t="n"/>
      <c r="AT635" s="282" t="n"/>
      <c r="AU635" s="282" t="n"/>
    </row>
    <row customHeight="1" ht="15.75" r="636" s="452" spans="1:48">
      <c r="A636" s="44" t="n"/>
      <c r="D636" s="535" t="n"/>
      <c r="E636" s="535" t="n"/>
      <c r="F636" s="282" t="n"/>
      <c r="G636" s="282" t="n"/>
      <c r="H636" s="536" t="n"/>
      <c r="I636" s="535" t="n"/>
      <c r="J636" s="282" t="n"/>
      <c r="K636" s="282" t="n"/>
      <c r="L636" s="536" t="n"/>
      <c r="M636" s="535" t="n"/>
      <c r="N636" s="282" t="n"/>
      <c r="O636" s="282" t="n"/>
      <c r="P636" s="535" t="n"/>
      <c r="Q636" s="535" t="n"/>
      <c r="R636" s="282" t="n"/>
      <c r="S636" s="282" t="n"/>
      <c r="T636" s="535" t="n"/>
      <c r="U636" s="535" t="n"/>
      <c r="V636" s="282" t="n"/>
      <c r="W636" s="282" t="n"/>
      <c r="X636" s="536" t="n"/>
      <c r="Y636" s="536" t="n"/>
      <c r="Z636" s="282" t="n"/>
      <c r="AA636" s="282" t="n"/>
      <c r="AB636" s="536" t="n"/>
      <c r="AC636" s="536" t="n"/>
      <c r="AD636" s="282" t="n"/>
      <c r="AE636" s="282" t="n"/>
      <c r="AF636" s="537" t="n"/>
      <c r="AG636" s="537" t="n"/>
      <c r="AH636" s="282" t="n"/>
      <c r="AI636" s="282" t="n"/>
      <c r="AJ636" s="537" t="n"/>
      <c r="AK636" s="537" t="n"/>
      <c r="AL636" s="282" t="n"/>
      <c r="AM636" s="282" t="n"/>
      <c r="AN636" s="282" t="n"/>
      <c r="AO636" s="282" t="n"/>
      <c r="AP636" s="282" t="n"/>
      <c r="AQ636" s="282" t="n"/>
      <c r="AR636" s="535" t="n"/>
      <c r="AS636" s="535" t="n"/>
      <c r="AT636" s="282" t="n"/>
      <c r="AU636" s="282" t="n"/>
    </row>
    <row customHeight="1" ht="15.75" r="637" s="452" spans="1:48">
      <c r="A637" s="44" t="n"/>
      <c r="D637" s="535" t="n"/>
      <c r="E637" s="535" t="n"/>
      <c r="F637" s="282" t="n"/>
      <c r="G637" s="282" t="n"/>
      <c r="H637" s="536" t="n"/>
      <c r="I637" s="535" t="n"/>
      <c r="J637" s="282" t="n"/>
      <c r="K637" s="282" t="n"/>
      <c r="L637" s="536" t="n"/>
      <c r="M637" s="535" t="n"/>
      <c r="N637" s="282" t="n"/>
      <c r="O637" s="282" t="n"/>
      <c r="P637" s="535" t="n"/>
      <c r="Q637" s="535" t="n"/>
      <c r="R637" s="282" t="n"/>
      <c r="S637" s="282" t="n"/>
      <c r="T637" s="535" t="n"/>
      <c r="U637" s="535" t="n"/>
      <c r="V637" s="282" t="n"/>
      <c r="W637" s="282" t="n"/>
      <c r="X637" s="536" t="n"/>
      <c r="Y637" s="536" t="n"/>
      <c r="Z637" s="282" t="n"/>
      <c r="AA637" s="282" t="n"/>
      <c r="AB637" s="536" t="n"/>
      <c r="AC637" s="536" t="n"/>
      <c r="AD637" s="282" t="n"/>
      <c r="AE637" s="282" t="n"/>
      <c r="AF637" s="537" t="n"/>
      <c r="AG637" s="537" t="n"/>
      <c r="AH637" s="282" t="n"/>
      <c r="AI637" s="282" t="n"/>
      <c r="AJ637" s="537" t="n"/>
      <c r="AK637" s="537" t="n"/>
      <c r="AL637" s="282" t="n"/>
      <c r="AM637" s="282" t="n"/>
      <c r="AN637" s="282" t="n"/>
      <c r="AO637" s="282" t="n"/>
      <c r="AP637" s="282" t="n"/>
      <c r="AQ637" s="282" t="n"/>
      <c r="AR637" s="535" t="n"/>
      <c r="AS637" s="535" t="n"/>
      <c r="AT637" s="282" t="n"/>
      <c r="AU637" s="282" t="n"/>
    </row>
    <row customHeight="1" ht="15.75" r="638" s="452" spans="1:48">
      <c r="A638" s="44" t="n"/>
      <c r="D638" s="535" t="n"/>
      <c r="E638" s="535" t="n"/>
      <c r="F638" s="282" t="n"/>
      <c r="G638" s="282" t="n"/>
      <c r="H638" s="536" t="n"/>
      <c r="I638" s="535" t="n"/>
      <c r="J638" s="282" t="n"/>
      <c r="K638" s="282" t="n"/>
      <c r="L638" s="536" t="n"/>
      <c r="M638" s="535" t="n"/>
      <c r="N638" s="282" t="n"/>
      <c r="O638" s="282" t="n"/>
      <c r="P638" s="535" t="n"/>
      <c r="Q638" s="535" t="n"/>
      <c r="R638" s="282" t="n"/>
      <c r="S638" s="282" t="n"/>
      <c r="T638" s="535" t="n"/>
      <c r="U638" s="535" t="n"/>
      <c r="V638" s="282" t="n"/>
      <c r="W638" s="282" t="n"/>
      <c r="X638" s="536" t="n"/>
      <c r="Y638" s="536" t="n"/>
      <c r="Z638" s="282" t="n"/>
      <c r="AA638" s="282" t="n"/>
      <c r="AB638" s="536" t="n"/>
      <c r="AC638" s="536" t="n"/>
      <c r="AD638" s="282" t="n"/>
      <c r="AE638" s="282" t="n"/>
      <c r="AF638" s="537" t="n"/>
      <c r="AG638" s="537" t="n"/>
      <c r="AH638" s="282" t="n"/>
      <c r="AI638" s="282" t="n"/>
      <c r="AJ638" s="537" t="n"/>
      <c r="AK638" s="537" t="n"/>
      <c r="AL638" s="282" t="n"/>
      <c r="AM638" s="282" t="n"/>
      <c r="AN638" s="282" t="n"/>
      <c r="AO638" s="282" t="n"/>
      <c r="AP638" s="282" t="n"/>
      <c r="AQ638" s="282" t="n"/>
      <c r="AR638" s="535" t="n"/>
      <c r="AS638" s="535" t="n"/>
      <c r="AT638" s="282" t="n"/>
      <c r="AU638" s="282" t="n"/>
    </row>
    <row customHeight="1" ht="15.75" r="639" s="452" spans="1:48">
      <c r="A639" s="44" t="n"/>
      <c r="D639" s="535" t="n"/>
      <c r="E639" s="535" t="n"/>
      <c r="F639" s="282" t="n"/>
      <c r="G639" s="282" t="n"/>
      <c r="H639" s="536" t="n"/>
      <c r="I639" s="535" t="n"/>
      <c r="J639" s="282" t="n"/>
      <c r="K639" s="282" t="n"/>
      <c r="L639" s="536" t="n"/>
      <c r="M639" s="535" t="n"/>
      <c r="N639" s="282" t="n"/>
      <c r="O639" s="282" t="n"/>
      <c r="P639" s="535" t="n"/>
      <c r="Q639" s="535" t="n"/>
      <c r="R639" s="282" t="n"/>
      <c r="S639" s="282" t="n"/>
      <c r="T639" s="535" t="n"/>
      <c r="U639" s="535" t="n"/>
      <c r="V639" s="282" t="n"/>
      <c r="W639" s="282" t="n"/>
      <c r="X639" s="536" t="n"/>
      <c r="Y639" s="536" t="n"/>
      <c r="Z639" s="282" t="n"/>
      <c r="AA639" s="282" t="n"/>
      <c r="AB639" s="536" t="n"/>
      <c r="AC639" s="536" t="n"/>
      <c r="AD639" s="282" t="n"/>
      <c r="AE639" s="282" t="n"/>
      <c r="AF639" s="537" t="n"/>
      <c r="AG639" s="537" t="n"/>
      <c r="AH639" s="282" t="n"/>
      <c r="AI639" s="282" t="n"/>
      <c r="AJ639" s="537" t="n"/>
      <c r="AK639" s="537" t="n"/>
      <c r="AL639" s="282" t="n"/>
      <c r="AM639" s="282" t="n"/>
      <c r="AN639" s="282" t="n"/>
      <c r="AO639" s="282" t="n"/>
      <c r="AP639" s="282" t="n"/>
      <c r="AQ639" s="282" t="n"/>
      <c r="AR639" s="535" t="n"/>
      <c r="AS639" s="535" t="n"/>
      <c r="AT639" s="282" t="n"/>
      <c r="AU639" s="282" t="n"/>
    </row>
    <row customHeight="1" ht="15.75" r="640" s="452" spans="1:48">
      <c r="A640" s="44" t="n"/>
      <c r="D640" s="535" t="n"/>
      <c r="E640" s="535" t="n"/>
      <c r="F640" s="282" t="n"/>
      <c r="G640" s="282" t="n"/>
      <c r="H640" s="536" t="n"/>
      <c r="I640" s="535" t="n"/>
      <c r="J640" s="282" t="n"/>
      <c r="K640" s="282" t="n"/>
      <c r="L640" s="536" t="n"/>
      <c r="M640" s="535" t="n"/>
      <c r="N640" s="282" t="n"/>
      <c r="O640" s="282" t="n"/>
      <c r="P640" s="535" t="n"/>
      <c r="Q640" s="535" t="n"/>
      <c r="R640" s="282" t="n"/>
      <c r="S640" s="282" t="n"/>
      <c r="T640" s="535" t="n"/>
      <c r="U640" s="535" t="n"/>
      <c r="V640" s="282" t="n"/>
      <c r="W640" s="282" t="n"/>
      <c r="X640" s="536" t="n"/>
      <c r="Y640" s="536" t="n"/>
      <c r="Z640" s="282" t="n"/>
      <c r="AA640" s="282" t="n"/>
      <c r="AB640" s="536" t="n"/>
      <c r="AC640" s="536" t="n"/>
      <c r="AD640" s="282" t="n"/>
      <c r="AE640" s="282" t="n"/>
      <c r="AF640" s="537" t="n"/>
      <c r="AG640" s="537" t="n"/>
      <c r="AH640" s="282" t="n"/>
      <c r="AI640" s="282" t="n"/>
      <c r="AJ640" s="537" t="n"/>
      <c r="AK640" s="537" t="n"/>
      <c r="AL640" s="282" t="n"/>
      <c r="AM640" s="282" t="n"/>
      <c r="AN640" s="282" t="n"/>
      <c r="AO640" s="282" t="n"/>
      <c r="AP640" s="282" t="n"/>
      <c r="AQ640" s="282" t="n"/>
      <c r="AR640" s="535" t="n"/>
      <c r="AS640" s="535" t="n"/>
      <c r="AT640" s="282" t="n"/>
      <c r="AU640" s="282" t="n"/>
    </row>
    <row customHeight="1" ht="15.75" r="641" s="452" spans="1:48">
      <c r="A641" s="44" t="n"/>
      <c r="D641" s="535" t="n"/>
      <c r="E641" s="535" t="n"/>
      <c r="F641" s="282" t="n"/>
      <c r="G641" s="282" t="n"/>
      <c r="H641" s="536" t="n"/>
      <c r="I641" s="535" t="n"/>
      <c r="J641" s="282" t="n"/>
      <c r="K641" s="282" t="n"/>
      <c r="L641" s="536" t="n"/>
      <c r="M641" s="535" t="n"/>
      <c r="N641" s="282" t="n"/>
      <c r="O641" s="282" t="n"/>
      <c r="P641" s="535" t="n"/>
      <c r="Q641" s="535" t="n"/>
      <c r="R641" s="282" t="n"/>
      <c r="S641" s="282" t="n"/>
      <c r="T641" s="535" t="n"/>
      <c r="U641" s="535" t="n"/>
      <c r="V641" s="282" t="n"/>
      <c r="W641" s="282" t="n"/>
      <c r="X641" s="536" t="n"/>
      <c r="Y641" s="536" t="n"/>
      <c r="Z641" s="282" t="n"/>
      <c r="AA641" s="282" t="n"/>
      <c r="AB641" s="536" t="n"/>
      <c r="AC641" s="536" t="n"/>
      <c r="AD641" s="282" t="n"/>
      <c r="AE641" s="282" t="n"/>
      <c r="AF641" s="537" t="n"/>
      <c r="AG641" s="537" t="n"/>
      <c r="AH641" s="282" t="n"/>
      <c r="AI641" s="282" t="n"/>
      <c r="AJ641" s="537" t="n"/>
      <c r="AK641" s="537" t="n"/>
      <c r="AL641" s="282" t="n"/>
      <c r="AM641" s="282" t="n"/>
      <c r="AN641" s="282" t="n"/>
      <c r="AO641" s="282" t="n"/>
      <c r="AP641" s="282" t="n"/>
      <c r="AQ641" s="282" t="n"/>
      <c r="AR641" s="535" t="n"/>
      <c r="AS641" s="535" t="n"/>
      <c r="AT641" s="282" t="n"/>
      <c r="AU641" s="282" t="n"/>
    </row>
    <row customHeight="1" ht="15.75" r="642" s="452" spans="1:48">
      <c r="A642" s="44" t="n"/>
      <c r="D642" s="535" t="n"/>
      <c r="E642" s="535" t="n"/>
      <c r="F642" s="282" t="n"/>
      <c r="G642" s="282" t="n"/>
      <c r="H642" s="536" t="n"/>
      <c r="I642" s="535" t="n"/>
      <c r="J642" s="282" t="n"/>
      <c r="K642" s="282" t="n"/>
      <c r="L642" s="536" t="n"/>
      <c r="M642" s="535" t="n"/>
      <c r="N642" s="282" t="n"/>
      <c r="O642" s="282" t="n"/>
      <c r="P642" s="535" t="n"/>
      <c r="Q642" s="535" t="n"/>
      <c r="R642" s="282" t="n"/>
      <c r="S642" s="282" t="n"/>
      <c r="T642" s="535" t="n"/>
      <c r="U642" s="535" t="n"/>
      <c r="V642" s="282" t="n"/>
      <c r="W642" s="282" t="n"/>
      <c r="X642" s="536" t="n"/>
      <c r="Y642" s="536" t="n"/>
      <c r="Z642" s="282" t="n"/>
      <c r="AA642" s="282" t="n"/>
      <c r="AB642" s="536" t="n"/>
      <c r="AC642" s="536" t="n"/>
      <c r="AD642" s="282" t="n"/>
      <c r="AE642" s="282" t="n"/>
      <c r="AF642" s="537" t="n"/>
      <c r="AG642" s="537" t="n"/>
      <c r="AH642" s="282" t="n"/>
      <c r="AI642" s="282" t="n"/>
      <c r="AJ642" s="537" t="n"/>
      <c r="AK642" s="537" t="n"/>
      <c r="AL642" s="282" t="n"/>
      <c r="AM642" s="282" t="n"/>
      <c r="AN642" s="282" t="n"/>
      <c r="AO642" s="282" t="n"/>
      <c r="AP642" s="282" t="n"/>
      <c r="AQ642" s="282" t="n"/>
      <c r="AR642" s="535" t="n"/>
      <c r="AS642" s="535" t="n"/>
      <c r="AT642" s="282" t="n"/>
      <c r="AU642" s="282" t="n"/>
    </row>
    <row customHeight="1" ht="15.75" r="643" s="452" spans="1:48">
      <c r="A643" s="44" t="n"/>
      <c r="D643" s="535" t="n"/>
      <c r="E643" s="535" t="n"/>
      <c r="F643" s="282" t="n"/>
      <c r="G643" s="282" t="n"/>
      <c r="H643" s="536" t="n"/>
      <c r="I643" s="535" t="n"/>
      <c r="J643" s="282" t="n"/>
      <c r="K643" s="282" t="n"/>
      <c r="L643" s="536" t="n"/>
      <c r="M643" s="535" t="n"/>
      <c r="N643" s="282" t="n"/>
      <c r="O643" s="282" t="n"/>
      <c r="P643" s="535" t="n"/>
      <c r="Q643" s="535" t="n"/>
      <c r="R643" s="282" t="n"/>
      <c r="S643" s="282" t="n"/>
      <c r="T643" s="535" t="n"/>
      <c r="U643" s="535" t="n"/>
      <c r="V643" s="282" t="n"/>
      <c r="W643" s="282" t="n"/>
      <c r="X643" s="536" t="n"/>
      <c r="Y643" s="536" t="n"/>
      <c r="Z643" s="282" t="n"/>
      <c r="AA643" s="282" t="n"/>
      <c r="AB643" s="536" t="n"/>
      <c r="AC643" s="536" t="n"/>
      <c r="AD643" s="282" t="n"/>
      <c r="AE643" s="282" t="n"/>
      <c r="AF643" s="537" t="n"/>
      <c r="AG643" s="537" t="n"/>
      <c r="AH643" s="282" t="n"/>
      <c r="AI643" s="282" t="n"/>
      <c r="AJ643" s="537" t="n"/>
      <c r="AK643" s="537" t="n"/>
      <c r="AL643" s="282" t="n"/>
      <c r="AM643" s="282" t="n"/>
      <c r="AN643" s="282" t="n"/>
      <c r="AO643" s="282" t="n"/>
      <c r="AP643" s="282" t="n"/>
      <c r="AQ643" s="282" t="n"/>
      <c r="AR643" s="535" t="n"/>
      <c r="AS643" s="535" t="n"/>
      <c r="AT643" s="282" t="n"/>
      <c r="AU643" s="282" t="n"/>
    </row>
    <row customHeight="1" ht="15.75" r="644" s="452" spans="1:48">
      <c r="A644" s="44" t="n"/>
      <c r="D644" s="535" t="n"/>
      <c r="E644" s="535" t="n"/>
      <c r="F644" s="282" t="n"/>
      <c r="G644" s="282" t="n"/>
      <c r="H644" s="536" t="n"/>
      <c r="I644" s="535" t="n"/>
      <c r="J644" s="282" t="n"/>
      <c r="K644" s="282" t="n"/>
      <c r="L644" s="536" t="n"/>
      <c r="M644" s="535" t="n"/>
      <c r="N644" s="282" t="n"/>
      <c r="O644" s="282" t="n"/>
      <c r="P644" s="535" t="n"/>
      <c r="Q644" s="535" t="n"/>
      <c r="R644" s="282" t="n"/>
      <c r="S644" s="282" t="n"/>
      <c r="T644" s="535" t="n"/>
      <c r="U644" s="535" t="n"/>
      <c r="V644" s="282" t="n"/>
      <c r="W644" s="282" t="n"/>
      <c r="X644" s="536" t="n"/>
      <c r="Y644" s="536" t="n"/>
      <c r="Z644" s="282" t="n"/>
      <c r="AA644" s="282" t="n"/>
      <c r="AB644" s="536" t="n"/>
      <c r="AC644" s="536" t="n"/>
      <c r="AD644" s="282" t="n"/>
      <c r="AE644" s="282" t="n"/>
      <c r="AF644" s="537" t="n"/>
      <c r="AG644" s="537" t="n"/>
      <c r="AH644" s="282" t="n"/>
      <c r="AI644" s="282" t="n"/>
      <c r="AJ644" s="537" t="n"/>
      <c r="AK644" s="537" t="n"/>
      <c r="AL644" s="282" t="n"/>
      <c r="AM644" s="282" t="n"/>
      <c r="AN644" s="282" t="n"/>
      <c r="AO644" s="282" t="n"/>
      <c r="AP644" s="282" t="n"/>
      <c r="AQ644" s="282" t="n"/>
      <c r="AR644" s="535" t="n"/>
      <c r="AS644" s="535" t="n"/>
      <c r="AT644" s="282" t="n"/>
      <c r="AU644" s="282" t="n"/>
    </row>
    <row customHeight="1" ht="15.75" r="645" s="452" spans="1:48">
      <c r="A645" s="44" t="n"/>
      <c r="D645" s="535" t="n"/>
      <c r="E645" s="535" t="n"/>
      <c r="F645" s="282" t="n"/>
      <c r="G645" s="282" t="n"/>
      <c r="H645" s="536" t="n"/>
      <c r="I645" s="535" t="n"/>
      <c r="J645" s="282" t="n"/>
      <c r="K645" s="282" t="n"/>
      <c r="L645" s="536" t="n"/>
      <c r="M645" s="535" t="n"/>
      <c r="N645" s="282" t="n"/>
      <c r="O645" s="282" t="n"/>
      <c r="P645" s="535" t="n"/>
      <c r="Q645" s="535" t="n"/>
      <c r="R645" s="282" t="n"/>
      <c r="S645" s="282" t="n"/>
      <c r="T645" s="535" t="n"/>
      <c r="U645" s="535" t="n"/>
      <c r="V645" s="282" t="n"/>
      <c r="W645" s="282" t="n"/>
      <c r="X645" s="536" t="n"/>
      <c r="Y645" s="536" t="n"/>
      <c r="Z645" s="282" t="n"/>
      <c r="AA645" s="282" t="n"/>
      <c r="AB645" s="536" t="n"/>
      <c r="AC645" s="536" t="n"/>
      <c r="AD645" s="282" t="n"/>
      <c r="AE645" s="282" t="n"/>
      <c r="AF645" s="537" t="n"/>
      <c r="AG645" s="537" t="n"/>
      <c r="AH645" s="282" t="n"/>
      <c r="AI645" s="282" t="n"/>
      <c r="AJ645" s="537" t="n"/>
      <c r="AK645" s="537" t="n"/>
      <c r="AL645" s="282" t="n"/>
      <c r="AM645" s="282" t="n"/>
      <c r="AN645" s="282" t="n"/>
      <c r="AO645" s="282" t="n"/>
      <c r="AP645" s="282" t="n"/>
      <c r="AQ645" s="282" t="n"/>
      <c r="AR645" s="535" t="n"/>
      <c r="AS645" s="535" t="n"/>
      <c r="AT645" s="282" t="n"/>
      <c r="AU645" s="282" t="n"/>
    </row>
    <row customHeight="1" ht="15.75" r="646" s="452" spans="1:48">
      <c r="A646" s="44" t="n"/>
      <c r="D646" s="535" t="n"/>
      <c r="E646" s="535" t="n"/>
      <c r="F646" s="282" t="n"/>
      <c r="G646" s="282" t="n"/>
      <c r="H646" s="536" t="n"/>
      <c r="I646" s="535" t="n"/>
      <c r="J646" s="282" t="n"/>
      <c r="K646" s="282" t="n"/>
      <c r="L646" s="536" t="n"/>
      <c r="M646" s="535" t="n"/>
      <c r="N646" s="282" t="n"/>
      <c r="O646" s="282" t="n"/>
      <c r="P646" s="535" t="n"/>
      <c r="Q646" s="535" t="n"/>
      <c r="R646" s="282" t="n"/>
      <c r="S646" s="282" t="n"/>
      <c r="T646" s="535" t="n"/>
      <c r="U646" s="535" t="n"/>
      <c r="V646" s="282" t="n"/>
      <c r="W646" s="282" t="n"/>
      <c r="X646" s="536" t="n"/>
      <c r="Y646" s="536" t="n"/>
      <c r="Z646" s="282" t="n"/>
      <c r="AA646" s="282" t="n"/>
      <c r="AB646" s="536" t="n"/>
      <c r="AC646" s="536" t="n"/>
      <c r="AD646" s="282" t="n"/>
      <c r="AE646" s="282" t="n"/>
      <c r="AF646" s="537" t="n"/>
      <c r="AG646" s="537" t="n"/>
      <c r="AH646" s="282" t="n"/>
      <c r="AI646" s="282" t="n"/>
      <c r="AJ646" s="537" t="n"/>
      <c r="AK646" s="537" t="n"/>
      <c r="AL646" s="282" t="n"/>
      <c r="AM646" s="282" t="n"/>
      <c r="AN646" s="282" t="n"/>
      <c r="AO646" s="282" t="n"/>
      <c r="AP646" s="282" t="n"/>
      <c r="AQ646" s="282" t="n"/>
      <c r="AR646" s="535" t="n"/>
      <c r="AS646" s="535" t="n"/>
      <c r="AT646" s="282" t="n"/>
      <c r="AU646" s="282" t="n"/>
    </row>
    <row customHeight="1" ht="15.75" r="647" s="452" spans="1:48">
      <c r="A647" s="44" t="n"/>
      <c r="D647" s="535" t="n"/>
      <c r="E647" s="535" t="n"/>
      <c r="F647" s="282" t="n"/>
      <c r="G647" s="282" t="n"/>
      <c r="H647" s="536" t="n"/>
      <c r="I647" s="535" t="n"/>
      <c r="J647" s="282" t="n"/>
      <c r="K647" s="282" t="n"/>
      <c r="L647" s="536" t="n"/>
      <c r="M647" s="535" t="n"/>
      <c r="N647" s="282" t="n"/>
      <c r="O647" s="282" t="n"/>
      <c r="P647" s="535" t="n"/>
      <c r="Q647" s="535" t="n"/>
      <c r="R647" s="282" t="n"/>
      <c r="S647" s="282" t="n"/>
      <c r="T647" s="535" t="n"/>
      <c r="U647" s="535" t="n"/>
      <c r="V647" s="282" t="n"/>
      <c r="W647" s="282" t="n"/>
      <c r="X647" s="536" t="n"/>
      <c r="Y647" s="536" t="n"/>
      <c r="Z647" s="282" t="n"/>
      <c r="AA647" s="282" t="n"/>
      <c r="AB647" s="536" t="n"/>
      <c r="AC647" s="536" t="n"/>
      <c r="AD647" s="282" t="n"/>
      <c r="AE647" s="282" t="n"/>
      <c r="AF647" s="537" t="n"/>
      <c r="AG647" s="537" t="n"/>
      <c r="AH647" s="282" t="n"/>
      <c r="AI647" s="282" t="n"/>
      <c r="AJ647" s="537" t="n"/>
      <c r="AK647" s="537" t="n"/>
      <c r="AL647" s="282" t="n"/>
      <c r="AM647" s="282" t="n"/>
      <c r="AN647" s="282" t="n"/>
      <c r="AO647" s="282" t="n"/>
      <c r="AP647" s="282" t="n"/>
      <c r="AQ647" s="282" t="n"/>
      <c r="AR647" s="535" t="n"/>
      <c r="AS647" s="535" t="n"/>
      <c r="AT647" s="282" t="n"/>
      <c r="AU647" s="282" t="n"/>
    </row>
    <row customHeight="1" ht="15.75" r="648" s="452" spans="1:48">
      <c r="A648" s="44" t="n"/>
      <c r="D648" s="535" t="n"/>
      <c r="E648" s="535" t="n"/>
      <c r="F648" s="282" t="n"/>
      <c r="G648" s="282" t="n"/>
      <c r="H648" s="536" t="n"/>
      <c r="I648" s="535" t="n"/>
      <c r="J648" s="282" t="n"/>
      <c r="K648" s="282" t="n"/>
      <c r="L648" s="536" t="n"/>
      <c r="M648" s="535" t="n"/>
      <c r="N648" s="282" t="n"/>
      <c r="O648" s="282" t="n"/>
      <c r="P648" s="535" t="n"/>
      <c r="Q648" s="535" t="n"/>
      <c r="R648" s="282" t="n"/>
      <c r="S648" s="282" t="n"/>
      <c r="T648" s="535" t="n"/>
      <c r="U648" s="535" t="n"/>
      <c r="V648" s="282" t="n"/>
      <c r="W648" s="282" t="n"/>
      <c r="X648" s="536" t="n"/>
      <c r="Y648" s="536" t="n"/>
      <c r="Z648" s="282" t="n"/>
      <c r="AA648" s="282" t="n"/>
      <c r="AB648" s="536" t="n"/>
      <c r="AC648" s="536" t="n"/>
      <c r="AD648" s="282" t="n"/>
      <c r="AE648" s="282" t="n"/>
      <c r="AF648" s="537" t="n"/>
      <c r="AG648" s="537" t="n"/>
      <c r="AH648" s="282" t="n"/>
      <c r="AI648" s="282" t="n"/>
      <c r="AJ648" s="537" t="n"/>
      <c r="AK648" s="537" t="n"/>
      <c r="AL648" s="282" t="n"/>
      <c r="AM648" s="282" t="n"/>
      <c r="AN648" s="282" t="n"/>
      <c r="AO648" s="282" t="n"/>
      <c r="AP648" s="282" t="n"/>
      <c r="AQ648" s="282" t="n"/>
      <c r="AR648" s="535" t="n"/>
      <c r="AS648" s="535" t="n"/>
      <c r="AT648" s="282" t="n"/>
      <c r="AU648" s="282" t="n"/>
    </row>
    <row customHeight="1" ht="15.75" r="649" s="452" spans="1:48">
      <c r="A649" s="44" t="n"/>
      <c r="D649" s="535" t="n"/>
      <c r="E649" s="535" t="n"/>
      <c r="F649" s="282" t="n"/>
      <c r="G649" s="282" t="n"/>
      <c r="H649" s="536" t="n"/>
      <c r="I649" s="535" t="n"/>
      <c r="J649" s="282" t="n"/>
      <c r="K649" s="282" t="n"/>
      <c r="L649" s="536" t="n"/>
      <c r="M649" s="535" t="n"/>
      <c r="N649" s="282" t="n"/>
      <c r="O649" s="282" t="n"/>
      <c r="P649" s="535" t="n"/>
      <c r="Q649" s="535" t="n"/>
      <c r="R649" s="282" t="n"/>
      <c r="S649" s="282" t="n"/>
      <c r="T649" s="535" t="n"/>
      <c r="U649" s="535" t="n"/>
      <c r="V649" s="282" t="n"/>
      <c r="W649" s="282" t="n"/>
      <c r="X649" s="536" t="n"/>
      <c r="Y649" s="536" t="n"/>
      <c r="Z649" s="282" t="n"/>
      <c r="AA649" s="282" t="n"/>
      <c r="AB649" s="536" t="n"/>
      <c r="AC649" s="536" t="n"/>
      <c r="AD649" s="282" t="n"/>
      <c r="AE649" s="282" t="n"/>
      <c r="AF649" s="537" t="n"/>
      <c r="AG649" s="537" t="n"/>
      <c r="AH649" s="282" t="n"/>
      <c r="AI649" s="282" t="n"/>
      <c r="AJ649" s="537" t="n"/>
      <c r="AK649" s="537" t="n"/>
      <c r="AL649" s="282" t="n"/>
      <c r="AM649" s="282" t="n"/>
      <c r="AN649" s="282" t="n"/>
      <c r="AO649" s="282" t="n"/>
      <c r="AP649" s="282" t="n"/>
      <c r="AQ649" s="282" t="n"/>
      <c r="AR649" s="535" t="n"/>
      <c r="AS649" s="535" t="n"/>
      <c r="AT649" s="282" t="n"/>
      <c r="AU649" s="282" t="n"/>
    </row>
    <row customHeight="1" ht="15.75" r="650" s="452" spans="1:48">
      <c r="A650" s="44" t="n"/>
      <c r="D650" s="535" t="n"/>
      <c r="E650" s="535" t="n"/>
      <c r="F650" s="282" t="n"/>
      <c r="G650" s="282" t="n"/>
      <c r="H650" s="536" t="n"/>
      <c r="I650" s="535" t="n"/>
      <c r="J650" s="282" t="n"/>
      <c r="K650" s="282" t="n"/>
      <c r="L650" s="536" t="n"/>
      <c r="M650" s="535" t="n"/>
      <c r="N650" s="282" t="n"/>
      <c r="O650" s="282" t="n"/>
      <c r="P650" s="535" t="n"/>
      <c r="Q650" s="535" t="n"/>
      <c r="R650" s="282" t="n"/>
      <c r="S650" s="282" t="n"/>
      <c r="T650" s="535" t="n"/>
      <c r="U650" s="535" t="n"/>
      <c r="V650" s="282" t="n"/>
      <c r="W650" s="282" t="n"/>
      <c r="X650" s="536" t="n"/>
      <c r="Y650" s="536" t="n"/>
      <c r="Z650" s="282" t="n"/>
      <c r="AA650" s="282" t="n"/>
      <c r="AB650" s="536" t="n"/>
      <c r="AC650" s="536" t="n"/>
      <c r="AD650" s="282" t="n"/>
      <c r="AE650" s="282" t="n"/>
      <c r="AF650" s="537" t="n"/>
      <c r="AG650" s="537" t="n"/>
      <c r="AH650" s="282" t="n"/>
      <c r="AI650" s="282" t="n"/>
      <c r="AJ650" s="537" t="n"/>
      <c r="AK650" s="537" t="n"/>
      <c r="AL650" s="282" t="n"/>
      <c r="AM650" s="282" t="n"/>
      <c r="AN650" s="282" t="n"/>
      <c r="AO650" s="282" t="n"/>
      <c r="AP650" s="282" t="n"/>
      <c r="AQ650" s="282" t="n"/>
      <c r="AR650" s="535" t="n"/>
      <c r="AS650" s="535" t="n"/>
      <c r="AT650" s="282" t="n"/>
      <c r="AU650" s="282" t="n"/>
    </row>
    <row customHeight="1" ht="15.75" r="651" s="452" spans="1:48">
      <c r="A651" s="44" t="n"/>
      <c r="D651" s="535" t="n"/>
      <c r="E651" s="535" t="n"/>
      <c r="F651" s="282" t="n"/>
      <c r="G651" s="282" t="n"/>
      <c r="H651" s="536" t="n"/>
      <c r="I651" s="535" t="n"/>
      <c r="J651" s="282" t="n"/>
      <c r="K651" s="282" t="n"/>
      <c r="L651" s="536" t="n"/>
      <c r="M651" s="535" t="n"/>
      <c r="N651" s="282" t="n"/>
      <c r="O651" s="282" t="n"/>
      <c r="P651" s="535" t="n"/>
      <c r="Q651" s="535" t="n"/>
      <c r="R651" s="282" t="n"/>
      <c r="S651" s="282" t="n"/>
      <c r="T651" s="535" t="n"/>
      <c r="U651" s="535" t="n"/>
      <c r="V651" s="282" t="n"/>
      <c r="W651" s="282" t="n"/>
      <c r="X651" s="536" t="n"/>
      <c r="Y651" s="536" t="n"/>
      <c r="Z651" s="282" t="n"/>
      <c r="AA651" s="282" t="n"/>
      <c r="AB651" s="536" t="n"/>
      <c r="AC651" s="536" t="n"/>
      <c r="AD651" s="282" t="n"/>
      <c r="AE651" s="282" t="n"/>
      <c r="AF651" s="537" t="n"/>
      <c r="AG651" s="537" t="n"/>
      <c r="AH651" s="282" t="n"/>
      <c r="AI651" s="282" t="n"/>
      <c r="AJ651" s="537" t="n"/>
      <c r="AK651" s="537" t="n"/>
      <c r="AL651" s="282" t="n"/>
      <c r="AM651" s="282" t="n"/>
      <c r="AN651" s="282" t="n"/>
      <c r="AO651" s="282" t="n"/>
      <c r="AP651" s="282" t="n"/>
      <c r="AQ651" s="282" t="n"/>
      <c r="AR651" s="535" t="n"/>
      <c r="AS651" s="535" t="n"/>
      <c r="AT651" s="282" t="n"/>
      <c r="AU651" s="282" t="n"/>
    </row>
    <row customHeight="1" ht="15.75" r="652" s="452" spans="1:48">
      <c r="A652" s="44" t="n"/>
      <c r="D652" s="535" t="n"/>
      <c r="E652" s="535" t="n"/>
      <c r="F652" s="282" t="n"/>
      <c r="G652" s="282" t="n"/>
      <c r="H652" s="536" t="n"/>
      <c r="I652" s="535" t="n"/>
      <c r="J652" s="282" t="n"/>
      <c r="K652" s="282" t="n"/>
      <c r="L652" s="536" t="n"/>
      <c r="M652" s="535" t="n"/>
      <c r="N652" s="282" t="n"/>
      <c r="O652" s="282" t="n"/>
      <c r="P652" s="535" t="n"/>
      <c r="Q652" s="535" t="n"/>
      <c r="R652" s="282" t="n"/>
      <c r="S652" s="282" t="n"/>
      <c r="T652" s="535" t="n"/>
      <c r="U652" s="535" t="n"/>
      <c r="V652" s="282" t="n"/>
      <c r="W652" s="282" t="n"/>
      <c r="X652" s="536" t="n"/>
      <c r="Y652" s="536" t="n"/>
      <c r="Z652" s="282" t="n"/>
      <c r="AA652" s="282" t="n"/>
      <c r="AB652" s="536" t="n"/>
      <c r="AC652" s="536" t="n"/>
      <c r="AD652" s="282" t="n"/>
      <c r="AE652" s="282" t="n"/>
      <c r="AF652" s="537" t="n"/>
      <c r="AG652" s="537" t="n"/>
      <c r="AH652" s="282" t="n"/>
      <c r="AI652" s="282" t="n"/>
      <c r="AJ652" s="537" t="n"/>
      <c r="AK652" s="537" t="n"/>
      <c r="AL652" s="282" t="n"/>
      <c r="AM652" s="282" t="n"/>
      <c r="AN652" s="282" t="n"/>
      <c r="AO652" s="282" t="n"/>
      <c r="AP652" s="282" t="n"/>
      <c r="AQ652" s="282" t="n"/>
      <c r="AR652" s="535" t="n"/>
      <c r="AS652" s="535" t="n"/>
      <c r="AT652" s="282" t="n"/>
      <c r="AU652" s="282" t="n"/>
    </row>
    <row customHeight="1" ht="15.75" r="653" s="452" spans="1:48">
      <c r="A653" s="44" t="n"/>
      <c r="D653" s="535" t="n"/>
      <c r="E653" s="535" t="n"/>
      <c r="F653" s="282" t="n"/>
      <c r="G653" s="282" t="n"/>
      <c r="H653" s="536" t="n"/>
      <c r="I653" s="535" t="n"/>
      <c r="J653" s="282" t="n"/>
      <c r="K653" s="282" t="n"/>
      <c r="L653" s="536" t="n"/>
      <c r="M653" s="535" t="n"/>
      <c r="N653" s="282" t="n"/>
      <c r="O653" s="282" t="n"/>
      <c r="P653" s="535" t="n"/>
      <c r="Q653" s="535" t="n"/>
      <c r="R653" s="282" t="n"/>
      <c r="S653" s="282" t="n"/>
      <c r="T653" s="535" t="n"/>
      <c r="U653" s="535" t="n"/>
      <c r="V653" s="282" t="n"/>
      <c r="W653" s="282" t="n"/>
      <c r="X653" s="536" t="n"/>
      <c r="Y653" s="536" t="n"/>
      <c r="Z653" s="282" t="n"/>
      <c r="AA653" s="282" t="n"/>
      <c r="AB653" s="536" t="n"/>
      <c r="AC653" s="536" t="n"/>
      <c r="AD653" s="282" t="n"/>
      <c r="AE653" s="282" t="n"/>
      <c r="AF653" s="537" t="n"/>
      <c r="AG653" s="537" t="n"/>
      <c r="AH653" s="282" t="n"/>
      <c r="AI653" s="282" t="n"/>
      <c r="AJ653" s="537" t="n"/>
      <c r="AK653" s="537" t="n"/>
      <c r="AL653" s="282" t="n"/>
      <c r="AM653" s="282" t="n"/>
      <c r="AN653" s="282" t="n"/>
      <c r="AO653" s="282" t="n"/>
      <c r="AP653" s="282" t="n"/>
      <c r="AQ653" s="282" t="n"/>
      <c r="AR653" s="535" t="n"/>
      <c r="AS653" s="535" t="n"/>
      <c r="AT653" s="282" t="n"/>
      <c r="AU653" s="282" t="n"/>
    </row>
    <row customHeight="1" ht="15.75" r="654" s="452" spans="1:48">
      <c r="A654" s="44" t="n"/>
      <c r="D654" s="535" t="n"/>
      <c r="E654" s="535" t="n"/>
      <c r="F654" s="282" t="n"/>
      <c r="G654" s="282" t="n"/>
      <c r="H654" s="536" t="n"/>
      <c r="I654" s="535" t="n"/>
      <c r="J654" s="282" t="n"/>
      <c r="K654" s="282" t="n"/>
      <c r="L654" s="536" t="n"/>
      <c r="M654" s="535" t="n"/>
      <c r="N654" s="282" t="n"/>
      <c r="O654" s="282" t="n"/>
      <c r="P654" s="535" t="n"/>
      <c r="Q654" s="535" t="n"/>
      <c r="R654" s="282" t="n"/>
      <c r="S654" s="282" t="n"/>
      <c r="T654" s="535" t="n"/>
      <c r="U654" s="535" t="n"/>
      <c r="V654" s="282" t="n"/>
      <c r="W654" s="282" t="n"/>
      <c r="X654" s="536" t="n"/>
      <c r="Y654" s="536" t="n"/>
      <c r="Z654" s="282" t="n"/>
      <c r="AA654" s="282" t="n"/>
      <c r="AB654" s="536" t="n"/>
      <c r="AC654" s="536" t="n"/>
      <c r="AD654" s="282" t="n"/>
      <c r="AE654" s="282" t="n"/>
      <c r="AF654" s="537" t="n"/>
      <c r="AG654" s="537" t="n"/>
      <c r="AH654" s="282" t="n"/>
      <c r="AI654" s="282" t="n"/>
      <c r="AJ654" s="537" t="n"/>
      <c r="AK654" s="537" t="n"/>
      <c r="AL654" s="282" t="n"/>
      <c r="AM654" s="282" t="n"/>
      <c r="AN654" s="282" t="n"/>
      <c r="AO654" s="282" t="n"/>
      <c r="AP654" s="282" t="n"/>
      <c r="AQ654" s="282" t="n"/>
      <c r="AR654" s="535" t="n"/>
      <c r="AS654" s="535" t="n"/>
      <c r="AT654" s="282" t="n"/>
      <c r="AU654" s="282" t="n"/>
    </row>
    <row customHeight="1" ht="15.75" r="655" s="452" spans="1:48">
      <c r="A655" s="44" t="n"/>
      <c r="D655" s="535" t="n"/>
      <c r="E655" s="535" t="n"/>
      <c r="F655" s="282" t="n"/>
      <c r="G655" s="282" t="n"/>
      <c r="H655" s="536" t="n"/>
      <c r="I655" s="535" t="n"/>
      <c r="J655" s="282" t="n"/>
      <c r="K655" s="282" t="n"/>
      <c r="L655" s="536" t="n"/>
      <c r="M655" s="535" t="n"/>
      <c r="N655" s="282" t="n"/>
      <c r="O655" s="282" t="n"/>
      <c r="P655" s="535" t="n"/>
      <c r="Q655" s="535" t="n"/>
      <c r="R655" s="282" t="n"/>
      <c r="S655" s="282" t="n"/>
      <c r="T655" s="535" t="n"/>
      <c r="U655" s="535" t="n"/>
      <c r="V655" s="282" t="n"/>
      <c r="W655" s="282" t="n"/>
      <c r="X655" s="536" t="n"/>
      <c r="Y655" s="536" t="n"/>
      <c r="Z655" s="282" t="n"/>
      <c r="AA655" s="282" t="n"/>
      <c r="AB655" s="536" t="n"/>
      <c r="AC655" s="536" t="n"/>
      <c r="AD655" s="282" t="n"/>
      <c r="AE655" s="282" t="n"/>
      <c r="AF655" s="537" t="n"/>
      <c r="AG655" s="537" t="n"/>
      <c r="AH655" s="282" t="n"/>
      <c r="AI655" s="282" t="n"/>
      <c r="AJ655" s="537" t="n"/>
      <c r="AK655" s="537" t="n"/>
      <c r="AL655" s="282" t="n"/>
      <c r="AM655" s="282" t="n"/>
      <c r="AN655" s="282" t="n"/>
      <c r="AO655" s="282" t="n"/>
      <c r="AP655" s="282" t="n"/>
      <c r="AQ655" s="282" t="n"/>
      <c r="AR655" s="535" t="n"/>
      <c r="AS655" s="535" t="n"/>
      <c r="AT655" s="282" t="n"/>
      <c r="AU655" s="282" t="n"/>
    </row>
    <row customHeight="1" ht="15.75" r="656" s="452" spans="1:48">
      <c r="A656" s="44" t="n"/>
      <c r="D656" s="535" t="n"/>
      <c r="E656" s="535" t="n"/>
      <c r="F656" s="282" t="n"/>
      <c r="G656" s="282" t="n"/>
      <c r="H656" s="536" t="n"/>
      <c r="I656" s="535" t="n"/>
      <c r="J656" s="282" t="n"/>
      <c r="K656" s="282" t="n"/>
      <c r="L656" s="536" t="n"/>
      <c r="M656" s="535" t="n"/>
      <c r="N656" s="282" t="n"/>
      <c r="O656" s="282" t="n"/>
      <c r="P656" s="535" t="n"/>
      <c r="Q656" s="535" t="n"/>
      <c r="R656" s="282" t="n"/>
      <c r="S656" s="282" t="n"/>
      <c r="T656" s="535" t="n"/>
      <c r="U656" s="535" t="n"/>
      <c r="V656" s="282" t="n"/>
      <c r="W656" s="282" t="n"/>
      <c r="X656" s="536" t="n"/>
      <c r="Y656" s="536" t="n"/>
      <c r="Z656" s="282" t="n"/>
      <c r="AA656" s="282" t="n"/>
      <c r="AB656" s="536" t="n"/>
      <c r="AC656" s="536" t="n"/>
      <c r="AD656" s="282" t="n"/>
      <c r="AE656" s="282" t="n"/>
      <c r="AF656" s="537" t="n"/>
      <c r="AG656" s="537" t="n"/>
      <c r="AH656" s="282" t="n"/>
      <c r="AI656" s="282" t="n"/>
      <c r="AJ656" s="537" t="n"/>
      <c r="AK656" s="537" t="n"/>
      <c r="AL656" s="282" t="n"/>
      <c r="AM656" s="282" t="n"/>
      <c r="AN656" s="282" t="n"/>
      <c r="AO656" s="282" t="n"/>
      <c r="AP656" s="282" t="n"/>
      <c r="AQ656" s="282" t="n"/>
      <c r="AR656" s="535" t="n"/>
      <c r="AS656" s="535" t="n"/>
      <c r="AT656" s="282" t="n"/>
      <c r="AU656" s="282" t="n"/>
    </row>
    <row customHeight="1" ht="15.75" r="657" s="452" spans="1:48">
      <c r="A657" s="44" t="n"/>
      <c r="D657" s="535" t="n"/>
      <c r="E657" s="535" t="n"/>
      <c r="F657" s="282" t="n"/>
      <c r="G657" s="282" t="n"/>
      <c r="H657" s="536" t="n"/>
      <c r="I657" s="535" t="n"/>
      <c r="J657" s="282" t="n"/>
      <c r="K657" s="282" t="n"/>
      <c r="L657" s="536" t="n"/>
      <c r="M657" s="535" t="n"/>
      <c r="N657" s="282" t="n"/>
      <c r="O657" s="282" t="n"/>
      <c r="P657" s="535" t="n"/>
      <c r="Q657" s="535" t="n"/>
      <c r="R657" s="282" t="n"/>
      <c r="S657" s="282" t="n"/>
      <c r="T657" s="535" t="n"/>
      <c r="U657" s="535" t="n"/>
      <c r="V657" s="282" t="n"/>
      <c r="W657" s="282" t="n"/>
      <c r="X657" s="536" t="n"/>
      <c r="Y657" s="536" t="n"/>
      <c r="Z657" s="282" t="n"/>
      <c r="AA657" s="282" t="n"/>
      <c r="AB657" s="536" t="n"/>
      <c r="AC657" s="536" t="n"/>
      <c r="AD657" s="282" t="n"/>
      <c r="AE657" s="282" t="n"/>
      <c r="AF657" s="537" t="n"/>
      <c r="AG657" s="537" t="n"/>
      <c r="AH657" s="282" t="n"/>
      <c r="AI657" s="282" t="n"/>
      <c r="AJ657" s="537" t="n"/>
      <c r="AK657" s="537" t="n"/>
      <c r="AL657" s="282" t="n"/>
      <c r="AM657" s="282" t="n"/>
      <c r="AN657" s="282" t="n"/>
      <c r="AO657" s="282" t="n"/>
      <c r="AP657" s="282" t="n"/>
      <c r="AQ657" s="282" t="n"/>
      <c r="AR657" s="535" t="n"/>
      <c r="AS657" s="535" t="n"/>
      <c r="AT657" s="282" t="n"/>
      <c r="AU657" s="282" t="n"/>
    </row>
    <row customHeight="1" ht="15.75" r="658" s="452" spans="1:48">
      <c r="A658" s="44" t="n"/>
      <c r="D658" s="535" t="n"/>
      <c r="E658" s="535" t="n"/>
      <c r="F658" s="282" t="n"/>
      <c r="G658" s="282" t="n"/>
      <c r="H658" s="536" t="n"/>
      <c r="I658" s="535" t="n"/>
      <c r="J658" s="282" t="n"/>
      <c r="K658" s="282" t="n"/>
      <c r="L658" s="536" t="n"/>
      <c r="M658" s="535" t="n"/>
      <c r="N658" s="282" t="n"/>
      <c r="O658" s="282" t="n"/>
      <c r="P658" s="535" t="n"/>
      <c r="Q658" s="535" t="n"/>
      <c r="R658" s="282" t="n"/>
      <c r="S658" s="282" t="n"/>
      <c r="T658" s="535" t="n"/>
      <c r="U658" s="535" t="n"/>
      <c r="V658" s="282" t="n"/>
      <c r="W658" s="282" t="n"/>
      <c r="X658" s="536" t="n"/>
      <c r="Y658" s="536" t="n"/>
      <c r="Z658" s="282" t="n"/>
      <c r="AA658" s="282" t="n"/>
      <c r="AB658" s="536" t="n"/>
      <c r="AC658" s="536" t="n"/>
      <c r="AD658" s="282" t="n"/>
      <c r="AE658" s="282" t="n"/>
      <c r="AF658" s="537" t="n"/>
      <c r="AG658" s="537" t="n"/>
      <c r="AH658" s="282" t="n"/>
      <c r="AI658" s="282" t="n"/>
      <c r="AJ658" s="537" t="n"/>
      <c r="AK658" s="537" t="n"/>
      <c r="AL658" s="282" t="n"/>
      <c r="AM658" s="282" t="n"/>
      <c r="AN658" s="282" t="n"/>
      <c r="AO658" s="282" t="n"/>
      <c r="AP658" s="282" t="n"/>
      <c r="AQ658" s="282" t="n"/>
      <c r="AR658" s="535" t="n"/>
      <c r="AS658" s="535" t="n"/>
      <c r="AT658" s="282" t="n"/>
      <c r="AU658" s="282" t="n"/>
    </row>
    <row customHeight="1" ht="15.75" r="659" s="452" spans="1:48">
      <c r="A659" s="44" t="n"/>
      <c r="D659" s="535" t="n"/>
      <c r="E659" s="535" t="n"/>
      <c r="F659" s="282" t="n"/>
      <c r="G659" s="282" t="n"/>
      <c r="H659" s="536" t="n"/>
      <c r="I659" s="535" t="n"/>
      <c r="J659" s="282" t="n"/>
      <c r="K659" s="282" t="n"/>
      <c r="L659" s="536" t="n"/>
      <c r="M659" s="535" t="n"/>
      <c r="N659" s="282" t="n"/>
      <c r="O659" s="282" t="n"/>
      <c r="P659" s="535" t="n"/>
      <c r="Q659" s="535" t="n"/>
      <c r="R659" s="282" t="n"/>
      <c r="S659" s="282" t="n"/>
      <c r="T659" s="535" t="n"/>
      <c r="U659" s="535" t="n"/>
      <c r="V659" s="282" t="n"/>
      <c r="W659" s="282" t="n"/>
      <c r="X659" s="536" t="n"/>
      <c r="Y659" s="536" t="n"/>
      <c r="Z659" s="282" t="n"/>
      <c r="AA659" s="282" t="n"/>
      <c r="AB659" s="536" t="n"/>
      <c r="AC659" s="536" t="n"/>
      <c r="AD659" s="282" t="n"/>
      <c r="AE659" s="282" t="n"/>
      <c r="AF659" s="537" t="n"/>
      <c r="AG659" s="537" t="n"/>
      <c r="AH659" s="282" t="n"/>
      <c r="AI659" s="282" t="n"/>
      <c r="AJ659" s="537" t="n"/>
      <c r="AK659" s="537" t="n"/>
      <c r="AL659" s="282" t="n"/>
      <c r="AM659" s="282" t="n"/>
      <c r="AN659" s="282" t="n"/>
      <c r="AO659" s="282" t="n"/>
      <c r="AP659" s="282" t="n"/>
      <c r="AQ659" s="282" t="n"/>
      <c r="AR659" s="535" t="n"/>
      <c r="AS659" s="535" t="n"/>
      <c r="AT659" s="282" t="n"/>
      <c r="AU659" s="282" t="n"/>
    </row>
    <row customHeight="1" ht="15.75" r="660" s="452" spans="1:48">
      <c r="A660" s="44" t="n"/>
      <c r="D660" s="535" t="n"/>
      <c r="E660" s="535" t="n"/>
      <c r="F660" s="282" t="n"/>
      <c r="G660" s="282" t="n"/>
      <c r="H660" s="536" t="n"/>
      <c r="I660" s="535" t="n"/>
      <c r="J660" s="282" t="n"/>
      <c r="K660" s="282" t="n"/>
      <c r="L660" s="536" t="n"/>
      <c r="M660" s="535" t="n"/>
      <c r="N660" s="282" t="n"/>
      <c r="O660" s="282" t="n"/>
      <c r="P660" s="535" t="n"/>
      <c r="Q660" s="535" t="n"/>
      <c r="R660" s="282" t="n"/>
      <c r="S660" s="282" t="n"/>
      <c r="T660" s="535" t="n"/>
      <c r="U660" s="535" t="n"/>
      <c r="V660" s="282" t="n"/>
      <c r="W660" s="282" t="n"/>
      <c r="X660" s="536" t="n"/>
      <c r="Y660" s="536" t="n"/>
      <c r="Z660" s="282" t="n"/>
      <c r="AA660" s="282" t="n"/>
      <c r="AB660" s="536" t="n"/>
      <c r="AC660" s="536" t="n"/>
      <c r="AD660" s="282" t="n"/>
      <c r="AE660" s="282" t="n"/>
      <c r="AF660" s="537" t="n"/>
      <c r="AG660" s="537" t="n"/>
      <c r="AH660" s="282" t="n"/>
      <c r="AI660" s="282" t="n"/>
      <c r="AJ660" s="537" t="n"/>
      <c r="AK660" s="537" t="n"/>
      <c r="AL660" s="282" t="n"/>
      <c r="AM660" s="282" t="n"/>
      <c r="AN660" s="282" t="n"/>
      <c r="AO660" s="282" t="n"/>
      <c r="AP660" s="282" t="n"/>
      <c r="AQ660" s="282" t="n"/>
      <c r="AR660" s="535" t="n"/>
      <c r="AS660" s="535" t="n"/>
      <c r="AT660" s="282" t="n"/>
      <c r="AU660" s="282" t="n"/>
    </row>
    <row customHeight="1" ht="15.75" r="661" s="452" spans="1:48">
      <c r="A661" s="44" t="n"/>
      <c r="D661" s="535" t="n"/>
      <c r="E661" s="535" t="n"/>
      <c r="F661" s="282" t="n"/>
      <c r="G661" s="282" t="n"/>
      <c r="H661" s="536" t="n"/>
      <c r="I661" s="535" t="n"/>
      <c r="J661" s="282" t="n"/>
      <c r="K661" s="282" t="n"/>
      <c r="L661" s="536" t="n"/>
      <c r="M661" s="535" t="n"/>
      <c r="N661" s="282" t="n"/>
      <c r="O661" s="282" t="n"/>
      <c r="P661" s="535" t="n"/>
      <c r="Q661" s="535" t="n"/>
      <c r="R661" s="282" t="n"/>
      <c r="S661" s="282" t="n"/>
      <c r="T661" s="535" t="n"/>
      <c r="U661" s="535" t="n"/>
      <c r="V661" s="282" t="n"/>
      <c r="W661" s="282" t="n"/>
      <c r="X661" s="536" t="n"/>
      <c r="Y661" s="536" t="n"/>
      <c r="Z661" s="282" t="n"/>
      <c r="AA661" s="282" t="n"/>
      <c r="AB661" s="536" t="n"/>
      <c r="AC661" s="536" t="n"/>
      <c r="AD661" s="282" t="n"/>
      <c r="AE661" s="282" t="n"/>
      <c r="AF661" s="537" t="n"/>
      <c r="AG661" s="537" t="n"/>
      <c r="AH661" s="282" t="n"/>
      <c r="AI661" s="282" t="n"/>
      <c r="AJ661" s="537" t="n"/>
      <c r="AK661" s="537" t="n"/>
      <c r="AL661" s="282" t="n"/>
      <c r="AM661" s="282" t="n"/>
      <c r="AN661" s="282" t="n"/>
      <c r="AO661" s="282" t="n"/>
      <c r="AP661" s="282" t="n"/>
      <c r="AQ661" s="282" t="n"/>
      <c r="AR661" s="535" t="n"/>
      <c r="AS661" s="535" t="n"/>
      <c r="AT661" s="282" t="n"/>
      <c r="AU661" s="282" t="n"/>
    </row>
    <row customHeight="1" ht="15.75" r="662" s="452" spans="1:48">
      <c r="A662" s="44" t="n"/>
      <c r="D662" s="535" t="n"/>
      <c r="E662" s="535" t="n"/>
      <c r="F662" s="282" t="n"/>
      <c r="G662" s="282" t="n"/>
      <c r="H662" s="536" t="n"/>
      <c r="I662" s="535" t="n"/>
      <c r="J662" s="282" t="n"/>
      <c r="K662" s="282" t="n"/>
      <c r="L662" s="536" t="n"/>
      <c r="M662" s="535" t="n"/>
      <c r="N662" s="282" t="n"/>
      <c r="O662" s="282" t="n"/>
      <c r="P662" s="535" t="n"/>
      <c r="Q662" s="535" t="n"/>
      <c r="R662" s="282" t="n"/>
      <c r="S662" s="282" t="n"/>
      <c r="T662" s="535" t="n"/>
      <c r="U662" s="535" t="n"/>
      <c r="V662" s="282" t="n"/>
      <c r="W662" s="282" t="n"/>
      <c r="X662" s="536" t="n"/>
      <c r="Y662" s="536" t="n"/>
      <c r="Z662" s="282" t="n"/>
      <c r="AA662" s="282" t="n"/>
      <c r="AB662" s="536" t="n"/>
      <c r="AC662" s="536" t="n"/>
      <c r="AD662" s="282" t="n"/>
      <c r="AE662" s="282" t="n"/>
      <c r="AF662" s="537" t="n"/>
      <c r="AG662" s="537" t="n"/>
      <c r="AH662" s="282" t="n"/>
      <c r="AI662" s="282" t="n"/>
      <c r="AJ662" s="537" t="n"/>
      <c r="AK662" s="537" t="n"/>
      <c r="AL662" s="282" t="n"/>
      <c r="AM662" s="282" t="n"/>
      <c r="AN662" s="282" t="n"/>
      <c r="AO662" s="282" t="n"/>
      <c r="AP662" s="282" t="n"/>
      <c r="AQ662" s="282" t="n"/>
      <c r="AR662" s="535" t="n"/>
      <c r="AS662" s="535" t="n"/>
      <c r="AT662" s="282" t="n"/>
      <c r="AU662" s="282" t="n"/>
    </row>
    <row customHeight="1" ht="15.75" r="663" s="452" spans="1:48">
      <c r="A663" s="44" t="n"/>
      <c r="D663" s="535" t="n"/>
      <c r="E663" s="535" t="n"/>
      <c r="F663" s="282" t="n"/>
      <c r="G663" s="282" t="n"/>
      <c r="H663" s="536" t="n"/>
      <c r="I663" s="535" t="n"/>
      <c r="J663" s="282" t="n"/>
      <c r="K663" s="282" t="n"/>
      <c r="L663" s="536" t="n"/>
      <c r="M663" s="535" t="n"/>
      <c r="N663" s="282" t="n"/>
      <c r="O663" s="282" t="n"/>
      <c r="P663" s="535" t="n"/>
      <c r="Q663" s="535" t="n"/>
      <c r="R663" s="282" t="n"/>
      <c r="S663" s="282" t="n"/>
      <c r="T663" s="535" t="n"/>
      <c r="U663" s="535" t="n"/>
      <c r="V663" s="282" t="n"/>
      <c r="W663" s="282" t="n"/>
      <c r="X663" s="536" t="n"/>
      <c r="Y663" s="536" t="n"/>
      <c r="Z663" s="282" t="n"/>
      <c r="AA663" s="282" t="n"/>
      <c r="AB663" s="536" t="n"/>
      <c r="AC663" s="536" t="n"/>
      <c r="AD663" s="282" t="n"/>
      <c r="AE663" s="282" t="n"/>
      <c r="AF663" s="537" t="n"/>
      <c r="AG663" s="537" t="n"/>
      <c r="AH663" s="282" t="n"/>
      <c r="AI663" s="282" t="n"/>
      <c r="AJ663" s="537" t="n"/>
      <c r="AK663" s="537" t="n"/>
      <c r="AL663" s="282" t="n"/>
      <c r="AM663" s="282" t="n"/>
      <c r="AN663" s="282" t="n"/>
      <c r="AO663" s="282" t="n"/>
      <c r="AP663" s="282" t="n"/>
      <c r="AQ663" s="282" t="n"/>
      <c r="AR663" s="535" t="n"/>
      <c r="AS663" s="535" t="n"/>
      <c r="AT663" s="282" t="n"/>
      <c r="AU663" s="282" t="n"/>
    </row>
    <row customHeight="1" ht="15.75" r="664" s="452" spans="1:48">
      <c r="A664" s="44" t="n"/>
      <c r="D664" s="535" t="n"/>
      <c r="E664" s="535" t="n"/>
      <c r="F664" s="282" t="n"/>
      <c r="G664" s="282" t="n"/>
      <c r="H664" s="536" t="n"/>
      <c r="I664" s="535" t="n"/>
      <c r="J664" s="282" t="n"/>
      <c r="K664" s="282" t="n"/>
      <c r="L664" s="536" t="n"/>
      <c r="M664" s="535" t="n"/>
      <c r="N664" s="282" t="n"/>
      <c r="O664" s="282" t="n"/>
      <c r="P664" s="535" t="n"/>
      <c r="Q664" s="535" t="n"/>
      <c r="R664" s="282" t="n"/>
      <c r="S664" s="282" t="n"/>
      <c r="T664" s="535" t="n"/>
      <c r="U664" s="535" t="n"/>
      <c r="V664" s="282" t="n"/>
      <c r="W664" s="282" t="n"/>
      <c r="X664" s="536" t="n"/>
      <c r="Y664" s="536" t="n"/>
      <c r="Z664" s="282" t="n"/>
      <c r="AA664" s="282" t="n"/>
      <c r="AB664" s="536" t="n"/>
      <c r="AC664" s="536" t="n"/>
      <c r="AD664" s="282" t="n"/>
      <c r="AE664" s="282" t="n"/>
      <c r="AF664" s="537" t="n"/>
      <c r="AG664" s="537" t="n"/>
      <c r="AH664" s="282" t="n"/>
      <c r="AI664" s="282" t="n"/>
      <c r="AJ664" s="537" t="n"/>
      <c r="AK664" s="537" t="n"/>
      <c r="AL664" s="282" t="n"/>
      <c r="AM664" s="282" t="n"/>
      <c r="AN664" s="282" t="n"/>
      <c r="AO664" s="282" t="n"/>
      <c r="AP664" s="282" t="n"/>
      <c r="AQ664" s="282" t="n"/>
      <c r="AR664" s="535" t="n"/>
      <c r="AS664" s="535" t="n"/>
      <c r="AT664" s="282" t="n"/>
      <c r="AU664" s="282" t="n"/>
    </row>
    <row customHeight="1" ht="15.75" r="665" s="452" spans="1:48">
      <c r="A665" s="44" t="n"/>
      <c r="D665" s="535" t="n"/>
      <c r="E665" s="535" t="n"/>
      <c r="F665" s="282" t="n"/>
      <c r="G665" s="282" t="n"/>
      <c r="H665" s="536" t="n"/>
      <c r="I665" s="535" t="n"/>
      <c r="J665" s="282" t="n"/>
      <c r="K665" s="282" t="n"/>
      <c r="L665" s="536" t="n"/>
      <c r="M665" s="535" t="n"/>
      <c r="N665" s="282" t="n"/>
      <c r="O665" s="282" t="n"/>
      <c r="P665" s="535" t="n"/>
      <c r="Q665" s="535" t="n"/>
      <c r="R665" s="282" t="n"/>
      <c r="S665" s="282" t="n"/>
      <c r="T665" s="535" t="n"/>
      <c r="U665" s="535" t="n"/>
      <c r="V665" s="282" t="n"/>
      <c r="W665" s="282" t="n"/>
      <c r="X665" s="536" t="n"/>
      <c r="Y665" s="536" t="n"/>
      <c r="Z665" s="282" t="n"/>
      <c r="AA665" s="282" t="n"/>
      <c r="AB665" s="536" t="n"/>
      <c r="AC665" s="536" t="n"/>
      <c r="AD665" s="282" t="n"/>
      <c r="AE665" s="282" t="n"/>
      <c r="AF665" s="537" t="n"/>
      <c r="AG665" s="537" t="n"/>
      <c r="AH665" s="282" t="n"/>
      <c r="AI665" s="282" t="n"/>
      <c r="AJ665" s="537" t="n"/>
      <c r="AK665" s="537" t="n"/>
      <c r="AL665" s="282" t="n"/>
      <c r="AM665" s="282" t="n"/>
      <c r="AN665" s="282" t="n"/>
      <c r="AO665" s="282" t="n"/>
      <c r="AP665" s="282" t="n"/>
      <c r="AQ665" s="282" t="n"/>
      <c r="AR665" s="535" t="n"/>
      <c r="AS665" s="535" t="n"/>
      <c r="AT665" s="282" t="n"/>
      <c r="AU665" s="282" t="n"/>
    </row>
    <row customHeight="1" ht="15.75" r="666" s="452" spans="1:48">
      <c r="A666" s="44" t="n"/>
      <c r="D666" s="535" t="n"/>
      <c r="E666" s="535" t="n"/>
      <c r="F666" s="282" t="n"/>
      <c r="G666" s="282" t="n"/>
      <c r="H666" s="536" t="n"/>
      <c r="I666" s="535" t="n"/>
      <c r="J666" s="282" t="n"/>
      <c r="K666" s="282" t="n"/>
      <c r="L666" s="536" t="n"/>
      <c r="M666" s="535" t="n"/>
      <c r="N666" s="282" t="n"/>
      <c r="O666" s="282" t="n"/>
      <c r="P666" s="535" t="n"/>
      <c r="Q666" s="535" t="n"/>
      <c r="R666" s="282" t="n"/>
      <c r="S666" s="282" t="n"/>
      <c r="T666" s="535" t="n"/>
      <c r="U666" s="535" t="n"/>
      <c r="V666" s="282" t="n"/>
      <c r="W666" s="282" t="n"/>
      <c r="X666" s="536" t="n"/>
      <c r="Y666" s="536" t="n"/>
      <c r="Z666" s="282" t="n"/>
      <c r="AA666" s="282" t="n"/>
      <c r="AB666" s="536" t="n"/>
      <c r="AC666" s="536" t="n"/>
      <c r="AD666" s="282" t="n"/>
      <c r="AE666" s="282" t="n"/>
      <c r="AF666" s="537" t="n"/>
      <c r="AG666" s="537" t="n"/>
      <c r="AH666" s="282" t="n"/>
      <c r="AI666" s="282" t="n"/>
      <c r="AJ666" s="537" t="n"/>
      <c r="AK666" s="537" t="n"/>
      <c r="AL666" s="282" t="n"/>
      <c r="AM666" s="282" t="n"/>
      <c r="AN666" s="282" t="n"/>
      <c r="AO666" s="282" t="n"/>
      <c r="AP666" s="282" t="n"/>
      <c r="AQ666" s="282" t="n"/>
      <c r="AR666" s="535" t="n"/>
      <c r="AS666" s="535" t="n"/>
      <c r="AT666" s="282" t="n"/>
      <c r="AU666" s="282" t="n"/>
    </row>
    <row customHeight="1" ht="15.75" r="667" s="452" spans="1:48">
      <c r="A667" s="44" t="n"/>
      <c r="D667" s="535" t="n"/>
      <c r="E667" s="535" t="n"/>
      <c r="F667" s="282" t="n"/>
      <c r="G667" s="282" t="n"/>
      <c r="H667" s="536" t="n"/>
      <c r="I667" s="535" t="n"/>
      <c r="J667" s="282" t="n"/>
      <c r="K667" s="282" t="n"/>
      <c r="L667" s="536" t="n"/>
      <c r="M667" s="535" t="n"/>
      <c r="N667" s="282" t="n"/>
      <c r="O667" s="282" t="n"/>
      <c r="P667" s="535" t="n"/>
      <c r="Q667" s="535" t="n"/>
      <c r="R667" s="282" t="n"/>
      <c r="S667" s="282" t="n"/>
      <c r="T667" s="535" t="n"/>
      <c r="U667" s="535" t="n"/>
      <c r="V667" s="282" t="n"/>
      <c r="W667" s="282" t="n"/>
      <c r="X667" s="536" t="n"/>
      <c r="Y667" s="536" t="n"/>
      <c r="Z667" s="282" t="n"/>
      <c r="AA667" s="282" t="n"/>
      <c r="AB667" s="536" t="n"/>
      <c r="AC667" s="536" t="n"/>
      <c r="AD667" s="282" t="n"/>
      <c r="AE667" s="282" t="n"/>
      <c r="AF667" s="537" t="n"/>
      <c r="AG667" s="537" t="n"/>
      <c r="AH667" s="282" t="n"/>
      <c r="AI667" s="282" t="n"/>
      <c r="AJ667" s="537" t="n"/>
      <c r="AK667" s="537" t="n"/>
      <c r="AL667" s="282" t="n"/>
      <c r="AM667" s="282" t="n"/>
      <c r="AN667" s="282" t="n"/>
      <c r="AO667" s="282" t="n"/>
      <c r="AP667" s="282" t="n"/>
      <c r="AQ667" s="282" t="n"/>
      <c r="AR667" s="535" t="n"/>
      <c r="AS667" s="535" t="n"/>
      <c r="AT667" s="282" t="n"/>
      <c r="AU667" s="282" t="n"/>
    </row>
    <row customHeight="1" ht="15.75" r="668" s="452" spans="1:48">
      <c r="A668" s="44" t="n"/>
      <c r="D668" s="535" t="n"/>
      <c r="E668" s="535" t="n"/>
      <c r="F668" s="282" t="n"/>
      <c r="G668" s="282" t="n"/>
      <c r="H668" s="536" t="n"/>
      <c r="I668" s="535" t="n"/>
      <c r="J668" s="282" t="n"/>
      <c r="K668" s="282" t="n"/>
      <c r="L668" s="536" t="n"/>
      <c r="M668" s="535" t="n"/>
      <c r="N668" s="282" t="n"/>
      <c r="O668" s="282" t="n"/>
      <c r="P668" s="535" t="n"/>
      <c r="Q668" s="535" t="n"/>
      <c r="R668" s="282" t="n"/>
      <c r="S668" s="282" t="n"/>
      <c r="T668" s="535" t="n"/>
      <c r="U668" s="535" t="n"/>
      <c r="V668" s="282" t="n"/>
      <c r="W668" s="282" t="n"/>
      <c r="X668" s="536" t="n"/>
      <c r="Y668" s="536" t="n"/>
      <c r="Z668" s="282" t="n"/>
      <c r="AA668" s="282" t="n"/>
      <c r="AB668" s="536" t="n"/>
      <c r="AC668" s="536" t="n"/>
      <c r="AD668" s="282" t="n"/>
      <c r="AE668" s="282" t="n"/>
      <c r="AF668" s="537" t="n"/>
      <c r="AG668" s="537" t="n"/>
      <c r="AH668" s="282" t="n"/>
      <c r="AI668" s="282" t="n"/>
      <c r="AJ668" s="537" t="n"/>
      <c r="AK668" s="537" t="n"/>
      <c r="AL668" s="282" t="n"/>
      <c r="AM668" s="282" t="n"/>
      <c r="AN668" s="282" t="n"/>
      <c r="AO668" s="282" t="n"/>
      <c r="AP668" s="282" t="n"/>
      <c r="AQ668" s="282" t="n"/>
      <c r="AR668" s="535" t="n"/>
      <c r="AS668" s="535" t="n"/>
      <c r="AT668" s="282" t="n"/>
      <c r="AU668" s="282" t="n"/>
    </row>
    <row customHeight="1" ht="15.75" r="669" s="452" spans="1:48">
      <c r="A669" s="44" t="n"/>
      <c r="D669" s="535" t="n"/>
      <c r="E669" s="535" t="n"/>
      <c r="F669" s="282" t="n"/>
      <c r="G669" s="282" t="n"/>
      <c r="H669" s="536" t="n"/>
      <c r="I669" s="535" t="n"/>
      <c r="J669" s="282" t="n"/>
      <c r="K669" s="282" t="n"/>
      <c r="L669" s="536" t="n"/>
      <c r="M669" s="535" t="n"/>
      <c r="N669" s="282" t="n"/>
      <c r="O669" s="282" t="n"/>
      <c r="P669" s="535" t="n"/>
      <c r="Q669" s="535" t="n"/>
      <c r="R669" s="282" t="n"/>
      <c r="S669" s="282" t="n"/>
      <c r="T669" s="535" t="n"/>
      <c r="U669" s="535" t="n"/>
      <c r="V669" s="282" t="n"/>
      <c r="W669" s="282" t="n"/>
      <c r="X669" s="536" t="n"/>
      <c r="Y669" s="536" t="n"/>
      <c r="Z669" s="282" t="n"/>
      <c r="AA669" s="282" t="n"/>
      <c r="AB669" s="536" t="n"/>
      <c r="AC669" s="536" t="n"/>
      <c r="AD669" s="282" t="n"/>
      <c r="AE669" s="282" t="n"/>
      <c r="AF669" s="537" t="n"/>
      <c r="AG669" s="537" t="n"/>
      <c r="AH669" s="282" t="n"/>
      <c r="AI669" s="282" t="n"/>
      <c r="AJ669" s="537" t="n"/>
      <c r="AK669" s="537" t="n"/>
      <c r="AL669" s="282" t="n"/>
      <c r="AM669" s="282" t="n"/>
      <c r="AN669" s="282" t="n"/>
      <c r="AO669" s="282" t="n"/>
      <c r="AP669" s="282" t="n"/>
      <c r="AQ669" s="282" t="n"/>
      <c r="AR669" s="535" t="n"/>
      <c r="AS669" s="535" t="n"/>
      <c r="AT669" s="282" t="n"/>
      <c r="AU669" s="282" t="n"/>
    </row>
    <row customHeight="1" ht="15.75" r="670" s="452" spans="1:48">
      <c r="A670" s="44" t="n"/>
      <c r="D670" s="535" t="n"/>
      <c r="E670" s="535" t="n"/>
      <c r="F670" s="282" t="n"/>
      <c r="G670" s="282" t="n"/>
      <c r="H670" s="536" t="n"/>
      <c r="I670" s="535" t="n"/>
      <c r="J670" s="282" t="n"/>
      <c r="K670" s="282" t="n"/>
      <c r="L670" s="536" t="n"/>
      <c r="M670" s="535" t="n"/>
      <c r="N670" s="282" t="n"/>
      <c r="O670" s="282" t="n"/>
      <c r="P670" s="535" t="n"/>
      <c r="Q670" s="535" t="n"/>
      <c r="R670" s="282" t="n"/>
      <c r="S670" s="282" t="n"/>
      <c r="T670" s="535" t="n"/>
      <c r="U670" s="535" t="n"/>
      <c r="V670" s="282" t="n"/>
      <c r="W670" s="282" t="n"/>
      <c r="X670" s="536" t="n"/>
      <c r="Y670" s="536" t="n"/>
      <c r="Z670" s="282" t="n"/>
      <c r="AA670" s="282" t="n"/>
      <c r="AB670" s="536" t="n"/>
      <c r="AC670" s="536" t="n"/>
      <c r="AD670" s="282" t="n"/>
      <c r="AE670" s="282" t="n"/>
      <c r="AF670" s="537" t="n"/>
      <c r="AG670" s="537" t="n"/>
      <c r="AH670" s="282" t="n"/>
      <c r="AI670" s="282" t="n"/>
      <c r="AJ670" s="537" t="n"/>
      <c r="AK670" s="537" t="n"/>
      <c r="AL670" s="282" t="n"/>
      <c r="AM670" s="282" t="n"/>
      <c r="AN670" s="282" t="n"/>
      <c r="AO670" s="282" t="n"/>
      <c r="AP670" s="282" t="n"/>
      <c r="AQ670" s="282" t="n"/>
      <c r="AR670" s="535" t="n"/>
      <c r="AS670" s="535" t="n"/>
      <c r="AT670" s="282" t="n"/>
      <c r="AU670" s="282" t="n"/>
    </row>
    <row customHeight="1" ht="15.75" r="671" s="452" spans="1:48">
      <c r="A671" s="44" t="n"/>
      <c r="D671" s="535" t="n"/>
      <c r="E671" s="535" t="n"/>
      <c r="F671" s="282" t="n"/>
      <c r="G671" s="282" t="n"/>
      <c r="H671" s="536" t="n"/>
      <c r="I671" s="535" t="n"/>
      <c r="J671" s="282" t="n"/>
      <c r="K671" s="282" t="n"/>
      <c r="L671" s="536" t="n"/>
      <c r="M671" s="535" t="n"/>
      <c r="N671" s="282" t="n"/>
      <c r="O671" s="282" t="n"/>
      <c r="P671" s="535" t="n"/>
      <c r="Q671" s="535" t="n"/>
      <c r="R671" s="282" t="n"/>
      <c r="S671" s="282" t="n"/>
      <c r="T671" s="535" t="n"/>
      <c r="U671" s="535" t="n"/>
      <c r="V671" s="282" t="n"/>
      <c r="W671" s="282" t="n"/>
      <c r="X671" s="536" t="n"/>
      <c r="Y671" s="536" t="n"/>
      <c r="Z671" s="282" t="n"/>
      <c r="AA671" s="282" t="n"/>
      <c r="AB671" s="536" t="n"/>
      <c r="AC671" s="536" t="n"/>
      <c r="AD671" s="282" t="n"/>
      <c r="AE671" s="282" t="n"/>
      <c r="AF671" s="537" t="n"/>
      <c r="AG671" s="537" t="n"/>
      <c r="AH671" s="282" t="n"/>
      <c r="AI671" s="282" t="n"/>
      <c r="AJ671" s="537" t="n"/>
      <c r="AK671" s="537" t="n"/>
      <c r="AL671" s="282" t="n"/>
      <c r="AM671" s="282" t="n"/>
      <c r="AN671" s="282" t="n"/>
      <c r="AO671" s="282" t="n"/>
      <c r="AP671" s="282" t="n"/>
      <c r="AQ671" s="282" t="n"/>
      <c r="AR671" s="535" t="n"/>
      <c r="AS671" s="535" t="n"/>
      <c r="AT671" s="282" t="n"/>
      <c r="AU671" s="282" t="n"/>
    </row>
    <row customHeight="1" ht="15.75" r="672" s="452" spans="1:48">
      <c r="A672" s="44" t="n"/>
      <c r="D672" s="535" t="n"/>
      <c r="E672" s="535" t="n"/>
      <c r="F672" s="282" t="n"/>
      <c r="G672" s="282" t="n"/>
      <c r="H672" s="536" t="n"/>
      <c r="I672" s="535" t="n"/>
      <c r="J672" s="282" t="n"/>
      <c r="K672" s="282" t="n"/>
      <c r="L672" s="536" t="n"/>
      <c r="M672" s="535" t="n"/>
      <c r="N672" s="282" t="n"/>
      <c r="O672" s="282" t="n"/>
      <c r="P672" s="535" t="n"/>
      <c r="Q672" s="535" t="n"/>
      <c r="R672" s="282" t="n"/>
      <c r="S672" s="282" t="n"/>
      <c r="T672" s="535" t="n"/>
      <c r="U672" s="535" t="n"/>
      <c r="V672" s="282" t="n"/>
      <c r="W672" s="282" t="n"/>
      <c r="X672" s="536" t="n"/>
      <c r="Y672" s="536" t="n"/>
      <c r="Z672" s="282" t="n"/>
      <c r="AA672" s="282" t="n"/>
      <c r="AB672" s="536" t="n"/>
      <c r="AC672" s="536" t="n"/>
      <c r="AD672" s="282" t="n"/>
      <c r="AE672" s="282" t="n"/>
      <c r="AF672" s="537" t="n"/>
      <c r="AG672" s="537" t="n"/>
      <c r="AH672" s="282" t="n"/>
      <c r="AI672" s="282" t="n"/>
      <c r="AJ672" s="537" t="n"/>
      <c r="AK672" s="537" t="n"/>
      <c r="AL672" s="282" t="n"/>
      <c r="AM672" s="282" t="n"/>
      <c r="AN672" s="282" t="n"/>
      <c r="AO672" s="282" t="n"/>
      <c r="AP672" s="282" t="n"/>
      <c r="AQ672" s="282" t="n"/>
      <c r="AR672" s="535" t="n"/>
      <c r="AS672" s="535" t="n"/>
      <c r="AT672" s="282" t="n"/>
      <c r="AU672" s="282" t="n"/>
    </row>
    <row customHeight="1" ht="15.75" r="673" s="452" spans="1:48">
      <c r="A673" s="44" t="n"/>
      <c r="D673" s="535" t="n"/>
      <c r="E673" s="535" t="n"/>
      <c r="F673" s="282" t="n"/>
      <c r="G673" s="282" t="n"/>
      <c r="H673" s="536" t="n"/>
      <c r="I673" s="535" t="n"/>
      <c r="J673" s="282" t="n"/>
      <c r="K673" s="282" t="n"/>
      <c r="L673" s="536" t="n"/>
      <c r="M673" s="535" t="n"/>
      <c r="N673" s="282" t="n"/>
      <c r="O673" s="282" t="n"/>
      <c r="P673" s="535" t="n"/>
      <c r="Q673" s="535" t="n"/>
      <c r="R673" s="282" t="n"/>
      <c r="S673" s="282" t="n"/>
      <c r="T673" s="535" t="n"/>
      <c r="U673" s="535" t="n"/>
      <c r="V673" s="282" t="n"/>
      <c r="W673" s="282" t="n"/>
      <c r="X673" s="536" t="n"/>
      <c r="Y673" s="536" t="n"/>
      <c r="Z673" s="282" t="n"/>
      <c r="AA673" s="282" t="n"/>
      <c r="AB673" s="536" t="n"/>
      <c r="AC673" s="536" t="n"/>
      <c r="AD673" s="282" t="n"/>
      <c r="AE673" s="282" t="n"/>
      <c r="AF673" s="537" t="n"/>
      <c r="AG673" s="537" t="n"/>
      <c r="AH673" s="282" t="n"/>
      <c r="AI673" s="282" t="n"/>
      <c r="AJ673" s="537" t="n"/>
      <c r="AK673" s="537" t="n"/>
      <c r="AL673" s="282" t="n"/>
      <c r="AM673" s="282" t="n"/>
      <c r="AN673" s="282" t="n"/>
      <c r="AO673" s="282" t="n"/>
      <c r="AP673" s="282" t="n"/>
      <c r="AQ673" s="282" t="n"/>
      <c r="AR673" s="535" t="n"/>
      <c r="AS673" s="535" t="n"/>
      <c r="AT673" s="282" t="n"/>
      <c r="AU673" s="282" t="n"/>
    </row>
    <row customHeight="1" ht="15.75" r="674" s="452" spans="1:48">
      <c r="A674" s="44" t="n"/>
      <c r="D674" s="535" t="n"/>
      <c r="E674" s="535" t="n"/>
      <c r="F674" s="282" t="n"/>
      <c r="G674" s="282" t="n"/>
      <c r="H674" s="536" t="n"/>
      <c r="I674" s="535" t="n"/>
      <c r="J674" s="282" t="n"/>
      <c r="K674" s="282" t="n"/>
      <c r="L674" s="536" t="n"/>
      <c r="M674" s="535" t="n"/>
      <c r="N674" s="282" t="n"/>
      <c r="O674" s="282" t="n"/>
      <c r="P674" s="535" t="n"/>
      <c r="Q674" s="535" t="n"/>
      <c r="R674" s="282" t="n"/>
      <c r="S674" s="282" t="n"/>
      <c r="T674" s="535" t="n"/>
      <c r="U674" s="535" t="n"/>
      <c r="V674" s="282" t="n"/>
      <c r="W674" s="282" t="n"/>
      <c r="X674" s="536" t="n"/>
      <c r="Y674" s="536" t="n"/>
      <c r="Z674" s="282" t="n"/>
      <c r="AA674" s="282" t="n"/>
      <c r="AB674" s="536" t="n"/>
      <c r="AC674" s="536" t="n"/>
      <c r="AD674" s="282" t="n"/>
      <c r="AE674" s="282" t="n"/>
      <c r="AF674" s="537" t="n"/>
      <c r="AG674" s="537" t="n"/>
      <c r="AH674" s="282" t="n"/>
      <c r="AI674" s="282" t="n"/>
      <c r="AJ674" s="537" t="n"/>
      <c r="AK674" s="537" t="n"/>
      <c r="AL674" s="282" t="n"/>
      <c r="AM674" s="282" t="n"/>
      <c r="AN674" s="282" t="n"/>
      <c r="AO674" s="282" t="n"/>
      <c r="AP674" s="282" t="n"/>
      <c r="AQ674" s="282" t="n"/>
      <c r="AR674" s="535" t="n"/>
      <c r="AS674" s="535" t="n"/>
      <c r="AT674" s="282" t="n"/>
      <c r="AU674" s="282" t="n"/>
    </row>
    <row customHeight="1" ht="15.75" r="675" s="452" spans="1:48">
      <c r="A675" s="44" t="n"/>
      <c r="D675" s="535" t="n"/>
      <c r="E675" s="535" t="n"/>
      <c r="F675" s="282" t="n"/>
      <c r="G675" s="282" t="n"/>
      <c r="H675" s="536" t="n"/>
      <c r="I675" s="535" t="n"/>
      <c r="J675" s="282" t="n"/>
      <c r="K675" s="282" t="n"/>
      <c r="L675" s="536" t="n"/>
      <c r="M675" s="535" t="n"/>
      <c r="N675" s="282" t="n"/>
      <c r="O675" s="282" t="n"/>
      <c r="P675" s="535" t="n"/>
      <c r="Q675" s="535" t="n"/>
      <c r="R675" s="282" t="n"/>
      <c r="S675" s="282" t="n"/>
      <c r="T675" s="535" t="n"/>
      <c r="U675" s="535" t="n"/>
      <c r="V675" s="282" t="n"/>
      <c r="W675" s="282" t="n"/>
      <c r="X675" s="536" t="n"/>
      <c r="Y675" s="536" t="n"/>
      <c r="Z675" s="282" t="n"/>
      <c r="AA675" s="282" t="n"/>
      <c r="AB675" s="536" t="n"/>
      <c r="AC675" s="536" t="n"/>
      <c r="AD675" s="282" t="n"/>
      <c r="AE675" s="282" t="n"/>
      <c r="AF675" s="537" t="n"/>
      <c r="AG675" s="537" t="n"/>
      <c r="AH675" s="282" t="n"/>
      <c r="AI675" s="282" t="n"/>
      <c r="AJ675" s="537" t="n"/>
      <c r="AK675" s="537" t="n"/>
      <c r="AL675" s="282" t="n"/>
      <c r="AM675" s="282" t="n"/>
      <c r="AN675" s="282" t="n"/>
      <c r="AO675" s="282" t="n"/>
      <c r="AP675" s="282" t="n"/>
      <c r="AQ675" s="282" t="n"/>
      <c r="AR675" s="535" t="n"/>
      <c r="AS675" s="535" t="n"/>
      <c r="AT675" s="282" t="n"/>
      <c r="AU675" s="282" t="n"/>
    </row>
    <row customHeight="1" ht="15.75" r="676" s="452" spans="1:48">
      <c r="A676" s="44" t="n"/>
      <c r="D676" s="535" t="n"/>
      <c r="E676" s="535" t="n"/>
      <c r="F676" s="282" t="n"/>
      <c r="G676" s="282" t="n"/>
      <c r="H676" s="536" t="n"/>
      <c r="I676" s="535" t="n"/>
      <c r="J676" s="282" t="n"/>
      <c r="K676" s="282" t="n"/>
      <c r="L676" s="536" t="n"/>
      <c r="M676" s="535" t="n"/>
      <c r="N676" s="282" t="n"/>
      <c r="O676" s="282" t="n"/>
      <c r="P676" s="535" t="n"/>
      <c r="Q676" s="535" t="n"/>
      <c r="R676" s="282" t="n"/>
      <c r="S676" s="282" t="n"/>
      <c r="T676" s="535" t="n"/>
      <c r="U676" s="535" t="n"/>
      <c r="V676" s="282" t="n"/>
      <c r="W676" s="282" t="n"/>
      <c r="X676" s="536" t="n"/>
      <c r="Y676" s="536" t="n"/>
      <c r="Z676" s="282" t="n"/>
      <c r="AA676" s="282" t="n"/>
      <c r="AB676" s="536" t="n"/>
      <c r="AC676" s="536" t="n"/>
      <c r="AD676" s="282" t="n"/>
      <c r="AE676" s="282" t="n"/>
      <c r="AF676" s="537" t="n"/>
      <c r="AG676" s="537" t="n"/>
      <c r="AH676" s="282" t="n"/>
      <c r="AI676" s="282" t="n"/>
      <c r="AJ676" s="537" t="n"/>
      <c r="AK676" s="537" t="n"/>
      <c r="AL676" s="282" t="n"/>
      <c r="AM676" s="282" t="n"/>
      <c r="AN676" s="282" t="n"/>
      <c r="AO676" s="282" t="n"/>
      <c r="AP676" s="282" t="n"/>
      <c r="AQ676" s="282" t="n"/>
      <c r="AR676" s="535" t="n"/>
      <c r="AS676" s="535" t="n"/>
      <c r="AT676" s="282" t="n"/>
      <c r="AU676" s="282" t="n"/>
    </row>
    <row customHeight="1" ht="15.75" r="677" s="452" spans="1:48">
      <c r="A677" s="44" t="n"/>
      <c r="D677" s="535" t="n"/>
      <c r="E677" s="535" t="n"/>
      <c r="F677" s="282" t="n"/>
      <c r="G677" s="282" t="n"/>
      <c r="H677" s="536" t="n"/>
      <c r="I677" s="535" t="n"/>
      <c r="J677" s="282" t="n"/>
      <c r="K677" s="282" t="n"/>
      <c r="L677" s="536" t="n"/>
      <c r="M677" s="535" t="n"/>
      <c r="N677" s="282" t="n"/>
      <c r="O677" s="282" t="n"/>
      <c r="P677" s="535" t="n"/>
      <c r="Q677" s="535" t="n"/>
      <c r="R677" s="282" t="n"/>
      <c r="S677" s="282" t="n"/>
      <c r="T677" s="535" t="n"/>
      <c r="U677" s="535" t="n"/>
      <c r="V677" s="282" t="n"/>
      <c r="W677" s="282" t="n"/>
      <c r="X677" s="536" t="n"/>
      <c r="Y677" s="536" t="n"/>
      <c r="Z677" s="282" t="n"/>
      <c r="AA677" s="282" t="n"/>
      <c r="AB677" s="536" t="n"/>
      <c r="AC677" s="536" t="n"/>
      <c r="AD677" s="282" t="n"/>
      <c r="AE677" s="282" t="n"/>
      <c r="AF677" s="537" t="n"/>
      <c r="AG677" s="537" t="n"/>
      <c r="AH677" s="282" t="n"/>
      <c r="AI677" s="282" t="n"/>
      <c r="AJ677" s="537" t="n"/>
      <c r="AK677" s="537" t="n"/>
      <c r="AL677" s="282" t="n"/>
      <c r="AM677" s="282" t="n"/>
      <c r="AN677" s="282" t="n"/>
      <c r="AO677" s="282" t="n"/>
      <c r="AP677" s="282" t="n"/>
      <c r="AQ677" s="282" t="n"/>
      <c r="AR677" s="535" t="n"/>
      <c r="AS677" s="535" t="n"/>
      <c r="AT677" s="282" t="n"/>
      <c r="AU677" s="282" t="n"/>
    </row>
    <row customHeight="1" ht="15.75" r="678" s="452" spans="1:48">
      <c r="A678" s="44" t="n"/>
      <c r="D678" s="535" t="n"/>
      <c r="E678" s="535" t="n"/>
      <c r="F678" s="282" t="n"/>
      <c r="G678" s="282" t="n"/>
      <c r="H678" s="536" t="n"/>
      <c r="I678" s="535" t="n"/>
      <c r="J678" s="282" t="n"/>
      <c r="K678" s="282" t="n"/>
      <c r="L678" s="536" t="n"/>
      <c r="M678" s="535" t="n"/>
      <c r="N678" s="282" t="n"/>
      <c r="O678" s="282" t="n"/>
      <c r="P678" s="535" t="n"/>
      <c r="Q678" s="535" t="n"/>
      <c r="R678" s="282" t="n"/>
      <c r="S678" s="282" t="n"/>
      <c r="T678" s="535" t="n"/>
      <c r="U678" s="535" t="n"/>
      <c r="V678" s="282" t="n"/>
      <c r="W678" s="282" t="n"/>
      <c r="X678" s="536" t="n"/>
      <c r="Y678" s="536" t="n"/>
      <c r="Z678" s="282" t="n"/>
      <c r="AA678" s="282" t="n"/>
      <c r="AB678" s="536" t="n"/>
      <c r="AC678" s="536" t="n"/>
      <c r="AD678" s="282" t="n"/>
      <c r="AE678" s="282" t="n"/>
      <c r="AF678" s="537" t="n"/>
      <c r="AG678" s="537" t="n"/>
      <c r="AH678" s="282" t="n"/>
      <c r="AI678" s="282" t="n"/>
      <c r="AJ678" s="537" t="n"/>
      <c r="AK678" s="537" t="n"/>
      <c r="AL678" s="282" t="n"/>
      <c r="AM678" s="282" t="n"/>
      <c r="AN678" s="282" t="n"/>
      <c r="AO678" s="282" t="n"/>
      <c r="AP678" s="282" t="n"/>
      <c r="AQ678" s="282" t="n"/>
      <c r="AR678" s="535" t="n"/>
      <c r="AS678" s="535" t="n"/>
      <c r="AT678" s="282" t="n"/>
      <c r="AU678" s="282" t="n"/>
    </row>
    <row customHeight="1" ht="15.75" r="679" s="452" spans="1:48">
      <c r="A679" s="44" t="n"/>
      <c r="D679" s="535" t="n"/>
      <c r="E679" s="535" t="n"/>
      <c r="F679" s="282" t="n"/>
      <c r="G679" s="282" t="n"/>
      <c r="H679" s="536" t="n"/>
      <c r="I679" s="535" t="n"/>
      <c r="J679" s="282" t="n"/>
      <c r="K679" s="282" t="n"/>
      <c r="L679" s="536" t="n"/>
      <c r="M679" s="535" t="n"/>
      <c r="N679" s="282" t="n"/>
      <c r="O679" s="282" t="n"/>
      <c r="P679" s="535" t="n"/>
      <c r="Q679" s="535" t="n"/>
      <c r="R679" s="282" t="n"/>
      <c r="S679" s="282" t="n"/>
      <c r="T679" s="535" t="n"/>
      <c r="U679" s="535" t="n"/>
      <c r="V679" s="282" t="n"/>
      <c r="W679" s="282" t="n"/>
      <c r="X679" s="536" t="n"/>
      <c r="Y679" s="536" t="n"/>
      <c r="Z679" s="282" t="n"/>
      <c r="AA679" s="282" t="n"/>
      <c r="AB679" s="536" t="n"/>
      <c r="AC679" s="536" t="n"/>
      <c r="AD679" s="282" t="n"/>
      <c r="AE679" s="282" t="n"/>
      <c r="AF679" s="537" t="n"/>
      <c r="AG679" s="537" t="n"/>
      <c r="AH679" s="282" t="n"/>
      <c r="AI679" s="282" t="n"/>
      <c r="AJ679" s="537" t="n"/>
      <c r="AK679" s="537" t="n"/>
      <c r="AL679" s="282" t="n"/>
      <c r="AM679" s="282" t="n"/>
      <c r="AN679" s="282" t="n"/>
      <c r="AO679" s="282" t="n"/>
      <c r="AP679" s="282" t="n"/>
      <c r="AQ679" s="282" t="n"/>
      <c r="AR679" s="535" t="n"/>
      <c r="AS679" s="535" t="n"/>
      <c r="AT679" s="282" t="n"/>
      <c r="AU679" s="282" t="n"/>
    </row>
    <row customHeight="1" ht="15.75" r="680" s="452" spans="1:48">
      <c r="A680" s="44" t="n"/>
      <c r="D680" s="535" t="n"/>
      <c r="E680" s="535" t="n"/>
      <c r="F680" s="282" t="n"/>
      <c r="G680" s="282" t="n"/>
      <c r="H680" s="536" t="n"/>
      <c r="I680" s="535" t="n"/>
      <c r="J680" s="282" t="n"/>
      <c r="K680" s="282" t="n"/>
      <c r="L680" s="536" t="n"/>
      <c r="M680" s="535" t="n"/>
      <c r="N680" s="282" t="n"/>
      <c r="O680" s="282" t="n"/>
      <c r="P680" s="535" t="n"/>
      <c r="Q680" s="535" t="n"/>
      <c r="R680" s="282" t="n"/>
      <c r="S680" s="282" t="n"/>
      <c r="T680" s="535" t="n"/>
      <c r="U680" s="535" t="n"/>
      <c r="V680" s="282" t="n"/>
      <c r="W680" s="282" t="n"/>
      <c r="X680" s="536" t="n"/>
      <c r="Y680" s="536" t="n"/>
      <c r="Z680" s="282" t="n"/>
      <c r="AA680" s="282" t="n"/>
      <c r="AB680" s="536" t="n"/>
      <c r="AC680" s="536" t="n"/>
      <c r="AD680" s="282" t="n"/>
      <c r="AE680" s="282" t="n"/>
      <c r="AF680" s="537" t="n"/>
      <c r="AG680" s="537" t="n"/>
      <c r="AH680" s="282" t="n"/>
      <c r="AI680" s="282" t="n"/>
      <c r="AJ680" s="537" t="n"/>
      <c r="AK680" s="537" t="n"/>
      <c r="AL680" s="282" t="n"/>
      <c r="AM680" s="282" t="n"/>
      <c r="AN680" s="282" t="n"/>
      <c r="AO680" s="282" t="n"/>
      <c r="AP680" s="282" t="n"/>
      <c r="AQ680" s="282" t="n"/>
      <c r="AR680" s="535" t="n"/>
      <c r="AS680" s="535" t="n"/>
      <c r="AT680" s="282" t="n"/>
      <c r="AU680" s="282" t="n"/>
    </row>
    <row customHeight="1" ht="15.75" r="681" s="452" spans="1:48">
      <c r="A681" s="44" t="n"/>
      <c r="D681" s="535" t="n"/>
      <c r="E681" s="535" t="n"/>
      <c r="F681" s="282" t="n"/>
      <c r="G681" s="282" t="n"/>
      <c r="H681" s="536" t="n"/>
      <c r="I681" s="535" t="n"/>
      <c r="J681" s="282" t="n"/>
      <c r="K681" s="282" t="n"/>
      <c r="L681" s="536" t="n"/>
      <c r="M681" s="535" t="n"/>
      <c r="N681" s="282" t="n"/>
      <c r="O681" s="282" t="n"/>
      <c r="P681" s="535" t="n"/>
      <c r="Q681" s="535" t="n"/>
      <c r="R681" s="282" t="n"/>
      <c r="S681" s="282" t="n"/>
      <c r="T681" s="535" t="n"/>
      <c r="U681" s="535" t="n"/>
      <c r="V681" s="282" t="n"/>
      <c r="W681" s="282" t="n"/>
      <c r="X681" s="536" t="n"/>
      <c r="Y681" s="536" t="n"/>
      <c r="Z681" s="282" t="n"/>
      <c r="AA681" s="282" t="n"/>
      <c r="AB681" s="536" t="n"/>
      <c r="AC681" s="536" t="n"/>
      <c r="AD681" s="282" t="n"/>
      <c r="AE681" s="282" t="n"/>
      <c r="AF681" s="537" t="n"/>
      <c r="AG681" s="537" t="n"/>
      <c r="AH681" s="282" t="n"/>
      <c r="AI681" s="282" t="n"/>
      <c r="AJ681" s="537" t="n"/>
      <c r="AK681" s="537" t="n"/>
      <c r="AL681" s="282" t="n"/>
      <c r="AM681" s="282" t="n"/>
      <c r="AN681" s="282" t="n"/>
      <c r="AO681" s="282" t="n"/>
      <c r="AP681" s="282" t="n"/>
      <c r="AQ681" s="282" t="n"/>
      <c r="AR681" s="535" t="n"/>
      <c r="AS681" s="535" t="n"/>
      <c r="AT681" s="282" t="n"/>
      <c r="AU681" s="282" t="n"/>
    </row>
    <row customHeight="1" ht="15.75" r="682" s="452" spans="1:48">
      <c r="A682" s="44" t="n"/>
      <c r="D682" s="535" t="n"/>
      <c r="E682" s="535" t="n"/>
      <c r="F682" s="282" t="n"/>
      <c r="G682" s="282" t="n"/>
      <c r="H682" s="536" t="n"/>
      <c r="I682" s="535" t="n"/>
      <c r="J682" s="282" t="n"/>
      <c r="K682" s="282" t="n"/>
      <c r="L682" s="536" t="n"/>
      <c r="M682" s="535" t="n"/>
      <c r="N682" s="282" t="n"/>
      <c r="O682" s="282" t="n"/>
      <c r="P682" s="535" t="n"/>
      <c r="Q682" s="535" t="n"/>
      <c r="R682" s="282" t="n"/>
      <c r="S682" s="282" t="n"/>
      <c r="T682" s="535" t="n"/>
      <c r="U682" s="535" t="n"/>
      <c r="V682" s="282" t="n"/>
      <c r="W682" s="282" t="n"/>
      <c r="X682" s="536" t="n"/>
      <c r="Y682" s="536" t="n"/>
      <c r="Z682" s="282" t="n"/>
      <c r="AA682" s="282" t="n"/>
      <c r="AB682" s="536" t="n"/>
      <c r="AC682" s="536" t="n"/>
      <c r="AD682" s="282" t="n"/>
      <c r="AE682" s="282" t="n"/>
      <c r="AF682" s="537" t="n"/>
      <c r="AG682" s="537" t="n"/>
      <c r="AH682" s="282" t="n"/>
      <c r="AI682" s="282" t="n"/>
      <c r="AJ682" s="537" t="n"/>
      <c r="AK682" s="537" t="n"/>
      <c r="AL682" s="282" t="n"/>
      <c r="AM682" s="282" t="n"/>
      <c r="AN682" s="282" t="n"/>
      <c r="AO682" s="282" t="n"/>
      <c r="AP682" s="282" t="n"/>
      <c r="AQ682" s="282" t="n"/>
      <c r="AR682" s="535" t="n"/>
      <c r="AS682" s="535" t="n"/>
      <c r="AT682" s="282" t="n"/>
      <c r="AU682" s="282" t="n"/>
    </row>
    <row customHeight="1" ht="15.75" r="683" s="452" spans="1:48">
      <c r="A683" s="44" t="n"/>
      <c r="D683" s="535" t="n"/>
      <c r="E683" s="535" t="n"/>
      <c r="F683" s="282" t="n"/>
      <c r="G683" s="282" t="n"/>
      <c r="H683" s="536" t="n"/>
      <c r="I683" s="535" t="n"/>
      <c r="J683" s="282" t="n"/>
      <c r="K683" s="282" t="n"/>
      <c r="L683" s="536" t="n"/>
      <c r="M683" s="535" t="n"/>
      <c r="N683" s="282" t="n"/>
      <c r="O683" s="282" t="n"/>
      <c r="P683" s="535" t="n"/>
      <c r="Q683" s="535" t="n"/>
      <c r="R683" s="282" t="n"/>
      <c r="S683" s="282" t="n"/>
      <c r="T683" s="535" t="n"/>
      <c r="U683" s="535" t="n"/>
      <c r="V683" s="282" t="n"/>
      <c r="W683" s="282" t="n"/>
      <c r="X683" s="536" t="n"/>
      <c r="Y683" s="536" t="n"/>
      <c r="Z683" s="282" t="n"/>
      <c r="AA683" s="282" t="n"/>
      <c r="AB683" s="536" t="n"/>
      <c r="AC683" s="536" t="n"/>
      <c r="AD683" s="282" t="n"/>
      <c r="AE683" s="282" t="n"/>
      <c r="AF683" s="537" t="n"/>
      <c r="AG683" s="537" t="n"/>
      <c r="AH683" s="282" t="n"/>
      <c r="AI683" s="282" t="n"/>
      <c r="AJ683" s="537" t="n"/>
      <c r="AK683" s="537" t="n"/>
      <c r="AL683" s="282" t="n"/>
      <c r="AM683" s="282" t="n"/>
      <c r="AN683" s="282" t="n"/>
      <c r="AO683" s="282" t="n"/>
      <c r="AP683" s="282" t="n"/>
      <c r="AQ683" s="282" t="n"/>
      <c r="AR683" s="535" t="n"/>
      <c r="AS683" s="535" t="n"/>
      <c r="AT683" s="282" t="n"/>
      <c r="AU683" s="282" t="n"/>
    </row>
    <row customHeight="1" ht="15.75" r="684" s="452" spans="1:48">
      <c r="A684" s="44" t="n"/>
      <c r="D684" s="535" t="n"/>
      <c r="E684" s="535" t="n"/>
      <c r="F684" s="282" t="n"/>
      <c r="G684" s="282" t="n"/>
      <c r="H684" s="536" t="n"/>
      <c r="I684" s="535" t="n"/>
      <c r="J684" s="282" t="n"/>
      <c r="K684" s="282" t="n"/>
      <c r="L684" s="536" t="n"/>
      <c r="M684" s="535" t="n"/>
      <c r="N684" s="282" t="n"/>
      <c r="O684" s="282" t="n"/>
      <c r="P684" s="535" t="n"/>
      <c r="Q684" s="535" t="n"/>
      <c r="R684" s="282" t="n"/>
      <c r="S684" s="282" t="n"/>
      <c r="T684" s="535" t="n"/>
      <c r="U684" s="535" t="n"/>
      <c r="V684" s="282" t="n"/>
      <c r="W684" s="282" t="n"/>
      <c r="X684" s="536" t="n"/>
      <c r="Y684" s="536" t="n"/>
      <c r="Z684" s="282" t="n"/>
      <c r="AA684" s="282" t="n"/>
      <c r="AB684" s="536" t="n"/>
      <c r="AC684" s="536" t="n"/>
      <c r="AD684" s="282" t="n"/>
      <c r="AE684" s="282" t="n"/>
      <c r="AF684" s="537" t="n"/>
      <c r="AG684" s="537" t="n"/>
      <c r="AH684" s="282" t="n"/>
      <c r="AI684" s="282" t="n"/>
      <c r="AJ684" s="537" t="n"/>
      <c r="AK684" s="537" t="n"/>
      <c r="AL684" s="282" t="n"/>
      <c r="AM684" s="282" t="n"/>
      <c r="AN684" s="282" t="n"/>
      <c r="AO684" s="282" t="n"/>
      <c r="AP684" s="282" t="n"/>
      <c r="AQ684" s="282" t="n"/>
      <c r="AR684" s="535" t="n"/>
      <c r="AS684" s="535" t="n"/>
      <c r="AT684" s="282" t="n"/>
      <c r="AU684" s="282" t="n"/>
    </row>
    <row customHeight="1" ht="15.75" r="685" s="452" spans="1:48">
      <c r="A685" s="44" t="n"/>
      <c r="D685" s="535" t="n"/>
      <c r="E685" s="535" t="n"/>
      <c r="F685" s="282" t="n"/>
      <c r="G685" s="282" t="n"/>
      <c r="H685" s="536" t="n"/>
      <c r="I685" s="535" t="n"/>
      <c r="J685" s="282" t="n"/>
      <c r="K685" s="282" t="n"/>
      <c r="L685" s="536" t="n"/>
      <c r="M685" s="535" t="n"/>
      <c r="N685" s="282" t="n"/>
      <c r="O685" s="282" t="n"/>
      <c r="P685" s="535" t="n"/>
      <c r="Q685" s="535" t="n"/>
      <c r="R685" s="282" t="n"/>
      <c r="S685" s="282" t="n"/>
      <c r="T685" s="535" t="n"/>
      <c r="U685" s="535" t="n"/>
      <c r="V685" s="282" t="n"/>
      <c r="W685" s="282" t="n"/>
      <c r="X685" s="536" t="n"/>
      <c r="Y685" s="536" t="n"/>
      <c r="Z685" s="282" t="n"/>
      <c r="AA685" s="282" t="n"/>
      <c r="AB685" s="536" t="n"/>
      <c r="AC685" s="536" t="n"/>
      <c r="AD685" s="282" t="n"/>
      <c r="AE685" s="282" t="n"/>
      <c r="AF685" s="537" t="n"/>
      <c r="AG685" s="537" t="n"/>
      <c r="AH685" s="282" t="n"/>
      <c r="AI685" s="282" t="n"/>
      <c r="AJ685" s="537" t="n"/>
      <c r="AK685" s="537" t="n"/>
      <c r="AL685" s="282" t="n"/>
      <c r="AM685" s="282" t="n"/>
      <c r="AN685" s="282" t="n"/>
      <c r="AO685" s="282" t="n"/>
      <c r="AP685" s="282" t="n"/>
      <c r="AQ685" s="282" t="n"/>
      <c r="AR685" s="535" t="n"/>
      <c r="AS685" s="535" t="n"/>
      <c r="AT685" s="282" t="n"/>
      <c r="AU685" s="282" t="n"/>
    </row>
    <row customHeight="1" ht="15.75" r="686" s="452" spans="1:48">
      <c r="A686" s="44" t="n"/>
      <c r="D686" s="535" t="n"/>
      <c r="E686" s="535" t="n"/>
      <c r="F686" s="282" t="n"/>
      <c r="G686" s="282" t="n"/>
      <c r="H686" s="536" t="n"/>
      <c r="I686" s="535" t="n"/>
      <c r="J686" s="282" t="n"/>
      <c r="K686" s="282" t="n"/>
      <c r="L686" s="536" t="n"/>
      <c r="M686" s="535" t="n"/>
      <c r="N686" s="282" t="n"/>
      <c r="O686" s="282" t="n"/>
      <c r="P686" s="535" t="n"/>
      <c r="Q686" s="535" t="n"/>
      <c r="R686" s="282" t="n"/>
      <c r="S686" s="282" t="n"/>
      <c r="T686" s="535" t="n"/>
      <c r="U686" s="535" t="n"/>
      <c r="V686" s="282" t="n"/>
      <c r="W686" s="282" t="n"/>
      <c r="X686" s="536" t="n"/>
      <c r="Y686" s="536" t="n"/>
      <c r="Z686" s="282" t="n"/>
      <c r="AA686" s="282" t="n"/>
      <c r="AB686" s="536" t="n"/>
      <c r="AC686" s="536" t="n"/>
      <c r="AD686" s="282" t="n"/>
      <c r="AE686" s="282" t="n"/>
      <c r="AF686" s="537" t="n"/>
      <c r="AG686" s="537" t="n"/>
      <c r="AH686" s="282" t="n"/>
      <c r="AI686" s="282" t="n"/>
      <c r="AJ686" s="537" t="n"/>
      <c r="AK686" s="537" t="n"/>
      <c r="AL686" s="282" t="n"/>
      <c r="AM686" s="282" t="n"/>
      <c r="AN686" s="282" t="n"/>
      <c r="AO686" s="282" t="n"/>
      <c r="AP686" s="282" t="n"/>
      <c r="AQ686" s="282" t="n"/>
      <c r="AR686" s="535" t="n"/>
      <c r="AS686" s="535" t="n"/>
      <c r="AT686" s="282" t="n"/>
      <c r="AU686" s="282" t="n"/>
    </row>
    <row customHeight="1" ht="15.75" r="687" s="452" spans="1:48">
      <c r="A687" s="44" t="n"/>
      <c r="D687" s="535" t="n"/>
      <c r="E687" s="535" t="n"/>
      <c r="F687" s="282" t="n"/>
      <c r="G687" s="282" t="n"/>
      <c r="H687" s="536" t="n"/>
      <c r="I687" s="535" t="n"/>
      <c r="J687" s="282" t="n"/>
      <c r="K687" s="282" t="n"/>
      <c r="L687" s="536" t="n"/>
      <c r="M687" s="535" t="n"/>
      <c r="N687" s="282" t="n"/>
      <c r="O687" s="282" t="n"/>
      <c r="P687" s="535" t="n"/>
      <c r="Q687" s="535" t="n"/>
      <c r="R687" s="282" t="n"/>
      <c r="S687" s="282" t="n"/>
      <c r="T687" s="535" t="n"/>
      <c r="U687" s="535" t="n"/>
      <c r="V687" s="282" t="n"/>
      <c r="W687" s="282" t="n"/>
      <c r="X687" s="536" t="n"/>
      <c r="Y687" s="536" t="n"/>
      <c r="Z687" s="282" t="n"/>
      <c r="AA687" s="282" t="n"/>
      <c r="AB687" s="536" t="n"/>
      <c r="AC687" s="536" t="n"/>
      <c r="AD687" s="282" t="n"/>
      <c r="AE687" s="282" t="n"/>
      <c r="AF687" s="537" t="n"/>
      <c r="AG687" s="537" t="n"/>
      <c r="AH687" s="282" t="n"/>
      <c r="AI687" s="282" t="n"/>
      <c r="AJ687" s="537" t="n"/>
      <c r="AK687" s="537" t="n"/>
      <c r="AL687" s="282" t="n"/>
      <c r="AM687" s="282" t="n"/>
      <c r="AN687" s="282" t="n"/>
      <c r="AO687" s="282" t="n"/>
      <c r="AP687" s="282" t="n"/>
      <c r="AQ687" s="282" t="n"/>
      <c r="AR687" s="535" t="n"/>
      <c r="AS687" s="535" t="n"/>
      <c r="AT687" s="282" t="n"/>
      <c r="AU687" s="282" t="n"/>
    </row>
    <row customHeight="1" ht="15.75" r="688" s="452" spans="1:48">
      <c r="A688" s="44" t="n"/>
      <c r="D688" s="535" t="n"/>
      <c r="E688" s="535" t="n"/>
      <c r="F688" s="282" t="n"/>
      <c r="G688" s="282" t="n"/>
      <c r="H688" s="536" t="n"/>
      <c r="I688" s="535" t="n"/>
      <c r="J688" s="282" t="n"/>
      <c r="K688" s="282" t="n"/>
      <c r="L688" s="536" t="n"/>
      <c r="M688" s="535" t="n"/>
      <c r="N688" s="282" t="n"/>
      <c r="O688" s="282" t="n"/>
      <c r="P688" s="535" t="n"/>
      <c r="Q688" s="535" t="n"/>
      <c r="R688" s="282" t="n"/>
      <c r="S688" s="282" t="n"/>
      <c r="T688" s="535" t="n"/>
      <c r="U688" s="535" t="n"/>
      <c r="V688" s="282" t="n"/>
      <c r="W688" s="282" t="n"/>
      <c r="X688" s="536" t="n"/>
      <c r="Y688" s="536" t="n"/>
      <c r="Z688" s="282" t="n"/>
      <c r="AA688" s="282" t="n"/>
      <c r="AB688" s="536" t="n"/>
      <c r="AC688" s="536" t="n"/>
      <c r="AD688" s="282" t="n"/>
      <c r="AE688" s="282" t="n"/>
      <c r="AF688" s="537" t="n"/>
      <c r="AG688" s="537" t="n"/>
      <c r="AH688" s="282" t="n"/>
      <c r="AI688" s="282" t="n"/>
      <c r="AJ688" s="537" t="n"/>
      <c r="AK688" s="537" t="n"/>
      <c r="AL688" s="282" t="n"/>
      <c r="AM688" s="282" t="n"/>
      <c r="AN688" s="282" t="n"/>
      <c r="AO688" s="282" t="n"/>
      <c r="AP688" s="282" t="n"/>
      <c r="AQ688" s="282" t="n"/>
      <c r="AR688" s="535" t="n"/>
      <c r="AS688" s="535" t="n"/>
      <c r="AT688" s="282" t="n"/>
      <c r="AU688" s="282" t="n"/>
    </row>
    <row customHeight="1" ht="15.75" r="689" s="452" spans="1:48">
      <c r="A689" s="44" t="n"/>
      <c r="D689" s="535" t="n"/>
      <c r="E689" s="535" t="n"/>
      <c r="F689" s="282" t="n"/>
      <c r="G689" s="282" t="n"/>
      <c r="H689" s="536" t="n"/>
      <c r="I689" s="535" t="n"/>
      <c r="J689" s="282" t="n"/>
      <c r="K689" s="282" t="n"/>
      <c r="L689" s="536" t="n"/>
      <c r="M689" s="535" t="n"/>
      <c r="N689" s="282" t="n"/>
      <c r="O689" s="282" t="n"/>
      <c r="P689" s="535" t="n"/>
      <c r="Q689" s="535" t="n"/>
      <c r="R689" s="282" t="n"/>
      <c r="S689" s="282" t="n"/>
      <c r="T689" s="535" t="n"/>
      <c r="U689" s="535" t="n"/>
      <c r="V689" s="282" t="n"/>
      <c r="W689" s="282" t="n"/>
      <c r="X689" s="536" t="n"/>
      <c r="Y689" s="536" t="n"/>
      <c r="Z689" s="282" t="n"/>
      <c r="AA689" s="282" t="n"/>
      <c r="AB689" s="536" t="n"/>
      <c r="AC689" s="536" t="n"/>
      <c r="AD689" s="282" t="n"/>
      <c r="AE689" s="282" t="n"/>
      <c r="AF689" s="537" t="n"/>
      <c r="AG689" s="537" t="n"/>
      <c r="AH689" s="282" t="n"/>
      <c r="AI689" s="282" t="n"/>
      <c r="AJ689" s="537" t="n"/>
      <c r="AK689" s="537" t="n"/>
      <c r="AL689" s="282" t="n"/>
      <c r="AM689" s="282" t="n"/>
      <c r="AN689" s="282" t="n"/>
      <c r="AO689" s="282" t="n"/>
      <c r="AP689" s="282" t="n"/>
      <c r="AQ689" s="282" t="n"/>
      <c r="AR689" s="535" t="n"/>
      <c r="AS689" s="535" t="n"/>
      <c r="AT689" s="282" t="n"/>
      <c r="AU689" s="282" t="n"/>
    </row>
    <row customHeight="1" ht="15.75" r="690" s="452" spans="1:48">
      <c r="A690" s="44" t="n"/>
      <c r="D690" s="535" t="n"/>
      <c r="E690" s="535" t="n"/>
      <c r="F690" s="282" t="n"/>
      <c r="G690" s="282" t="n"/>
      <c r="H690" s="536" t="n"/>
      <c r="I690" s="535" t="n"/>
      <c r="J690" s="282" t="n"/>
      <c r="K690" s="282" t="n"/>
      <c r="L690" s="536" t="n"/>
      <c r="M690" s="535" t="n"/>
      <c r="N690" s="282" t="n"/>
      <c r="O690" s="282" t="n"/>
      <c r="P690" s="535" t="n"/>
      <c r="Q690" s="535" t="n"/>
      <c r="R690" s="282" t="n"/>
      <c r="S690" s="282" t="n"/>
      <c r="T690" s="535" t="n"/>
      <c r="U690" s="535" t="n"/>
      <c r="V690" s="282" t="n"/>
      <c r="W690" s="282" t="n"/>
      <c r="X690" s="536" t="n"/>
      <c r="Y690" s="536" t="n"/>
      <c r="Z690" s="282" t="n"/>
      <c r="AA690" s="282" t="n"/>
      <c r="AB690" s="536" t="n"/>
      <c r="AC690" s="536" t="n"/>
      <c r="AD690" s="282" t="n"/>
      <c r="AE690" s="282" t="n"/>
      <c r="AF690" s="537" t="n"/>
      <c r="AG690" s="537" t="n"/>
      <c r="AH690" s="282" t="n"/>
      <c r="AI690" s="282" t="n"/>
      <c r="AJ690" s="537" t="n"/>
      <c r="AK690" s="537" t="n"/>
      <c r="AL690" s="282" t="n"/>
      <c r="AM690" s="282" t="n"/>
      <c r="AN690" s="282" t="n"/>
      <c r="AO690" s="282" t="n"/>
      <c r="AP690" s="282" t="n"/>
      <c r="AQ690" s="282" t="n"/>
      <c r="AR690" s="535" t="n"/>
      <c r="AS690" s="535" t="n"/>
      <c r="AT690" s="282" t="n"/>
      <c r="AU690" s="282" t="n"/>
    </row>
    <row customHeight="1" ht="15.75" r="691" s="452" spans="1:48">
      <c r="A691" s="44" t="n"/>
      <c r="D691" s="535" t="n"/>
      <c r="E691" s="535" t="n"/>
      <c r="F691" s="282" t="n"/>
      <c r="G691" s="282" t="n"/>
      <c r="H691" s="536" t="n"/>
      <c r="I691" s="535" t="n"/>
      <c r="J691" s="282" t="n"/>
      <c r="K691" s="282" t="n"/>
      <c r="L691" s="536" t="n"/>
      <c r="M691" s="535" t="n"/>
      <c r="N691" s="282" t="n"/>
      <c r="O691" s="282" t="n"/>
      <c r="P691" s="535" t="n"/>
      <c r="Q691" s="535" t="n"/>
      <c r="R691" s="282" t="n"/>
      <c r="S691" s="282" t="n"/>
      <c r="T691" s="535" t="n"/>
      <c r="U691" s="535" t="n"/>
      <c r="V691" s="282" t="n"/>
      <c r="W691" s="282" t="n"/>
      <c r="X691" s="536" t="n"/>
      <c r="Y691" s="536" t="n"/>
      <c r="Z691" s="282" t="n"/>
      <c r="AA691" s="282" t="n"/>
      <c r="AB691" s="536" t="n"/>
      <c r="AC691" s="536" t="n"/>
      <c r="AD691" s="282" t="n"/>
      <c r="AE691" s="282" t="n"/>
      <c r="AF691" s="537" t="n"/>
      <c r="AG691" s="537" t="n"/>
      <c r="AH691" s="282" t="n"/>
      <c r="AI691" s="282" t="n"/>
      <c r="AJ691" s="537" t="n"/>
      <c r="AK691" s="537" t="n"/>
      <c r="AL691" s="282" t="n"/>
      <c r="AM691" s="282" t="n"/>
      <c r="AN691" s="282" t="n"/>
      <c r="AO691" s="282" t="n"/>
      <c r="AP691" s="282" t="n"/>
      <c r="AQ691" s="282" t="n"/>
      <c r="AR691" s="535" t="n"/>
      <c r="AS691" s="535" t="n"/>
      <c r="AT691" s="282" t="n"/>
      <c r="AU691" s="282" t="n"/>
    </row>
    <row customHeight="1" ht="15.75" r="692" s="452" spans="1:48">
      <c r="A692" s="44" t="n"/>
      <c r="D692" s="535" t="n"/>
      <c r="E692" s="535" t="n"/>
      <c r="F692" s="282" t="n"/>
      <c r="G692" s="282" t="n"/>
      <c r="H692" s="536" t="n"/>
      <c r="I692" s="535" t="n"/>
      <c r="J692" s="282" t="n"/>
      <c r="K692" s="282" t="n"/>
      <c r="L692" s="536" t="n"/>
      <c r="M692" s="535" t="n"/>
      <c r="N692" s="282" t="n"/>
      <c r="O692" s="282" t="n"/>
      <c r="P692" s="535" t="n"/>
      <c r="Q692" s="535" t="n"/>
      <c r="R692" s="282" t="n"/>
      <c r="S692" s="282" t="n"/>
      <c r="T692" s="535" t="n"/>
      <c r="U692" s="535" t="n"/>
      <c r="V692" s="282" t="n"/>
      <c r="W692" s="282" t="n"/>
      <c r="X692" s="536" t="n"/>
      <c r="Y692" s="536" t="n"/>
      <c r="Z692" s="282" t="n"/>
      <c r="AA692" s="282" t="n"/>
      <c r="AB692" s="536" t="n"/>
      <c r="AC692" s="536" t="n"/>
      <c r="AD692" s="282" t="n"/>
      <c r="AE692" s="282" t="n"/>
      <c r="AF692" s="537" t="n"/>
      <c r="AG692" s="537" t="n"/>
      <c r="AH692" s="282" t="n"/>
      <c r="AI692" s="282" t="n"/>
      <c r="AJ692" s="537" t="n"/>
      <c r="AK692" s="537" t="n"/>
      <c r="AL692" s="282" t="n"/>
      <c r="AM692" s="282" t="n"/>
      <c r="AN692" s="282" t="n"/>
      <c r="AO692" s="282" t="n"/>
      <c r="AP692" s="282" t="n"/>
      <c r="AQ692" s="282" t="n"/>
      <c r="AR692" s="535" t="n"/>
      <c r="AS692" s="535" t="n"/>
      <c r="AT692" s="282" t="n"/>
      <c r="AU692" s="282" t="n"/>
    </row>
    <row customHeight="1" ht="15.75" r="693" s="452" spans="1:48">
      <c r="A693" s="44" t="n"/>
      <c r="D693" s="535" t="n"/>
      <c r="E693" s="535" t="n"/>
      <c r="F693" s="282" t="n"/>
      <c r="G693" s="282" t="n"/>
      <c r="H693" s="536" t="n"/>
      <c r="I693" s="535" t="n"/>
      <c r="J693" s="282" t="n"/>
      <c r="K693" s="282" t="n"/>
      <c r="L693" s="536" t="n"/>
      <c r="M693" s="535" t="n"/>
      <c r="N693" s="282" t="n"/>
      <c r="O693" s="282" t="n"/>
      <c r="P693" s="535" t="n"/>
      <c r="Q693" s="535" t="n"/>
      <c r="R693" s="282" t="n"/>
      <c r="S693" s="282" t="n"/>
      <c r="T693" s="535" t="n"/>
      <c r="U693" s="535" t="n"/>
      <c r="V693" s="282" t="n"/>
      <c r="W693" s="282" t="n"/>
      <c r="X693" s="536" t="n"/>
      <c r="Y693" s="536" t="n"/>
      <c r="Z693" s="282" t="n"/>
      <c r="AA693" s="282" t="n"/>
      <c r="AB693" s="536" t="n"/>
      <c r="AC693" s="536" t="n"/>
      <c r="AD693" s="282" t="n"/>
      <c r="AE693" s="282" t="n"/>
      <c r="AF693" s="537" t="n"/>
      <c r="AG693" s="537" t="n"/>
      <c r="AH693" s="282" t="n"/>
      <c r="AI693" s="282" t="n"/>
      <c r="AJ693" s="537" t="n"/>
      <c r="AK693" s="537" t="n"/>
      <c r="AL693" s="282" t="n"/>
      <c r="AM693" s="282" t="n"/>
      <c r="AN693" s="282" t="n"/>
      <c r="AO693" s="282" t="n"/>
      <c r="AP693" s="282" t="n"/>
      <c r="AQ693" s="282" t="n"/>
      <c r="AR693" s="535" t="n"/>
      <c r="AS693" s="535" t="n"/>
      <c r="AT693" s="282" t="n"/>
      <c r="AU693" s="282" t="n"/>
    </row>
    <row customHeight="1" ht="15.75" r="694" s="452" spans="1:48">
      <c r="A694" s="44" t="n"/>
      <c r="D694" s="535" t="n"/>
      <c r="E694" s="535" t="n"/>
      <c r="F694" s="282" t="n"/>
      <c r="G694" s="282" t="n"/>
      <c r="H694" s="536" t="n"/>
      <c r="I694" s="535" t="n"/>
      <c r="J694" s="282" t="n"/>
      <c r="K694" s="282" t="n"/>
      <c r="L694" s="536" t="n"/>
      <c r="M694" s="535" t="n"/>
      <c r="N694" s="282" t="n"/>
      <c r="O694" s="282" t="n"/>
      <c r="P694" s="535" t="n"/>
      <c r="Q694" s="535" t="n"/>
      <c r="R694" s="282" t="n"/>
      <c r="S694" s="282" t="n"/>
      <c r="T694" s="535" t="n"/>
      <c r="U694" s="535" t="n"/>
      <c r="V694" s="282" t="n"/>
      <c r="W694" s="282" t="n"/>
      <c r="X694" s="536" t="n"/>
      <c r="Y694" s="536" t="n"/>
      <c r="Z694" s="282" t="n"/>
      <c r="AA694" s="282" t="n"/>
      <c r="AB694" s="536" t="n"/>
      <c r="AC694" s="536" t="n"/>
      <c r="AD694" s="282" t="n"/>
      <c r="AE694" s="282" t="n"/>
      <c r="AF694" s="537" t="n"/>
      <c r="AG694" s="537" t="n"/>
      <c r="AH694" s="282" t="n"/>
      <c r="AI694" s="282" t="n"/>
      <c r="AJ694" s="537" t="n"/>
      <c r="AK694" s="537" t="n"/>
      <c r="AL694" s="282" t="n"/>
      <c r="AM694" s="282" t="n"/>
      <c r="AN694" s="282" t="n"/>
      <c r="AO694" s="282" t="n"/>
      <c r="AP694" s="282" t="n"/>
      <c r="AQ694" s="282" t="n"/>
      <c r="AR694" s="535" t="n"/>
      <c r="AS694" s="535" t="n"/>
      <c r="AT694" s="282" t="n"/>
      <c r="AU694" s="282" t="n"/>
    </row>
    <row customHeight="1" ht="15.75" r="695" s="452" spans="1:48">
      <c r="A695" s="44" t="n"/>
      <c r="D695" s="535" t="n"/>
      <c r="E695" s="535" t="n"/>
      <c r="F695" s="282" t="n"/>
      <c r="G695" s="282" t="n"/>
      <c r="H695" s="536" t="n"/>
      <c r="I695" s="535" t="n"/>
      <c r="J695" s="282" t="n"/>
      <c r="K695" s="282" t="n"/>
      <c r="L695" s="536" t="n"/>
      <c r="M695" s="535" t="n"/>
      <c r="N695" s="282" t="n"/>
      <c r="O695" s="282" t="n"/>
      <c r="P695" s="535" t="n"/>
      <c r="Q695" s="535" t="n"/>
      <c r="R695" s="282" t="n"/>
      <c r="S695" s="282" t="n"/>
      <c r="T695" s="535" t="n"/>
      <c r="U695" s="535" t="n"/>
      <c r="V695" s="282" t="n"/>
      <c r="W695" s="282" t="n"/>
      <c r="X695" s="536" t="n"/>
      <c r="Y695" s="536" t="n"/>
      <c r="Z695" s="282" t="n"/>
      <c r="AA695" s="282" t="n"/>
      <c r="AB695" s="536" t="n"/>
      <c r="AC695" s="536" t="n"/>
      <c r="AD695" s="282" t="n"/>
      <c r="AE695" s="282" t="n"/>
      <c r="AF695" s="537" t="n"/>
      <c r="AG695" s="537" t="n"/>
      <c r="AH695" s="282" t="n"/>
      <c r="AI695" s="282" t="n"/>
      <c r="AJ695" s="537" t="n"/>
      <c r="AK695" s="537" t="n"/>
      <c r="AL695" s="282" t="n"/>
      <c r="AM695" s="282" t="n"/>
      <c r="AN695" s="282" t="n"/>
      <c r="AO695" s="282" t="n"/>
      <c r="AP695" s="282" t="n"/>
      <c r="AQ695" s="282" t="n"/>
      <c r="AR695" s="535" t="n"/>
      <c r="AS695" s="535" t="n"/>
      <c r="AT695" s="282" t="n"/>
      <c r="AU695" s="282" t="n"/>
    </row>
    <row customHeight="1" ht="15.75" r="696" s="452" spans="1:48">
      <c r="A696" s="44" t="n"/>
      <c r="D696" s="535" t="n"/>
      <c r="E696" s="535" t="n"/>
      <c r="F696" s="282" t="n"/>
      <c r="G696" s="282" t="n"/>
      <c r="H696" s="536" t="n"/>
      <c r="I696" s="535" t="n"/>
      <c r="J696" s="282" t="n"/>
      <c r="K696" s="282" t="n"/>
      <c r="L696" s="536" t="n"/>
      <c r="M696" s="535" t="n"/>
      <c r="N696" s="282" t="n"/>
      <c r="O696" s="282" t="n"/>
      <c r="P696" s="535" t="n"/>
      <c r="Q696" s="535" t="n"/>
      <c r="R696" s="282" t="n"/>
      <c r="S696" s="282" t="n"/>
      <c r="T696" s="535" t="n"/>
      <c r="U696" s="535" t="n"/>
      <c r="V696" s="282" t="n"/>
      <c r="W696" s="282" t="n"/>
      <c r="X696" s="536" t="n"/>
      <c r="Y696" s="536" t="n"/>
      <c r="Z696" s="282" t="n"/>
      <c r="AA696" s="282" t="n"/>
      <c r="AB696" s="536" t="n"/>
      <c r="AC696" s="536" t="n"/>
      <c r="AD696" s="282" t="n"/>
      <c r="AE696" s="282" t="n"/>
      <c r="AF696" s="537" t="n"/>
      <c r="AG696" s="537" t="n"/>
      <c r="AH696" s="282" t="n"/>
      <c r="AI696" s="282" t="n"/>
      <c r="AJ696" s="537" t="n"/>
      <c r="AK696" s="537" t="n"/>
      <c r="AL696" s="282" t="n"/>
      <c r="AM696" s="282" t="n"/>
      <c r="AN696" s="282" t="n"/>
      <c r="AO696" s="282" t="n"/>
      <c r="AP696" s="282" t="n"/>
      <c r="AQ696" s="282" t="n"/>
      <c r="AR696" s="535" t="n"/>
      <c r="AS696" s="535" t="n"/>
      <c r="AT696" s="282" t="n"/>
      <c r="AU696" s="282" t="n"/>
    </row>
    <row customHeight="1" ht="15.75" r="697" s="452" spans="1:48">
      <c r="A697" s="44" t="n"/>
      <c r="D697" s="535" t="n"/>
      <c r="E697" s="535" t="n"/>
      <c r="F697" s="282" t="n"/>
      <c r="G697" s="282" t="n"/>
      <c r="H697" s="536" t="n"/>
      <c r="I697" s="535" t="n"/>
      <c r="J697" s="282" t="n"/>
      <c r="K697" s="282" t="n"/>
      <c r="L697" s="536" t="n"/>
      <c r="M697" s="535" t="n"/>
      <c r="N697" s="282" t="n"/>
      <c r="O697" s="282" t="n"/>
      <c r="P697" s="535" t="n"/>
      <c r="Q697" s="535" t="n"/>
      <c r="R697" s="282" t="n"/>
      <c r="S697" s="282" t="n"/>
      <c r="T697" s="535" t="n"/>
      <c r="U697" s="535" t="n"/>
      <c r="V697" s="282" t="n"/>
      <c r="W697" s="282" t="n"/>
      <c r="X697" s="536" t="n"/>
      <c r="Y697" s="536" t="n"/>
      <c r="Z697" s="282" t="n"/>
      <c r="AA697" s="282" t="n"/>
      <c r="AB697" s="536" t="n"/>
      <c r="AC697" s="536" t="n"/>
      <c r="AD697" s="282" t="n"/>
      <c r="AE697" s="282" t="n"/>
      <c r="AF697" s="537" t="n"/>
      <c r="AG697" s="537" t="n"/>
      <c r="AH697" s="282" t="n"/>
      <c r="AI697" s="282" t="n"/>
      <c r="AJ697" s="537" t="n"/>
      <c r="AK697" s="537" t="n"/>
      <c r="AL697" s="282" t="n"/>
      <c r="AM697" s="282" t="n"/>
      <c r="AN697" s="282" t="n"/>
      <c r="AO697" s="282" t="n"/>
      <c r="AP697" s="282" t="n"/>
      <c r="AQ697" s="282" t="n"/>
      <c r="AR697" s="535" t="n"/>
      <c r="AS697" s="535" t="n"/>
      <c r="AT697" s="282" t="n"/>
      <c r="AU697" s="282" t="n"/>
    </row>
    <row customHeight="1" ht="15.75" r="698" s="452" spans="1:48">
      <c r="A698" s="44" t="n"/>
      <c r="D698" s="535" t="n"/>
      <c r="E698" s="535" t="n"/>
      <c r="F698" s="282" t="n"/>
      <c r="G698" s="282" t="n"/>
      <c r="H698" s="536" t="n"/>
      <c r="I698" s="535" t="n"/>
      <c r="J698" s="282" t="n"/>
      <c r="K698" s="282" t="n"/>
      <c r="L698" s="536" t="n"/>
      <c r="M698" s="535" t="n"/>
      <c r="N698" s="282" t="n"/>
      <c r="O698" s="282" t="n"/>
      <c r="P698" s="535" t="n"/>
      <c r="Q698" s="535" t="n"/>
      <c r="R698" s="282" t="n"/>
      <c r="S698" s="282" t="n"/>
      <c r="T698" s="535" t="n"/>
      <c r="U698" s="535" t="n"/>
      <c r="V698" s="282" t="n"/>
      <c r="W698" s="282" t="n"/>
      <c r="X698" s="536" t="n"/>
      <c r="Y698" s="536" t="n"/>
      <c r="Z698" s="282" t="n"/>
      <c r="AA698" s="282" t="n"/>
      <c r="AB698" s="536" t="n"/>
      <c r="AC698" s="536" t="n"/>
      <c r="AD698" s="282" t="n"/>
      <c r="AE698" s="282" t="n"/>
      <c r="AF698" s="537" t="n"/>
      <c r="AG698" s="537" t="n"/>
      <c r="AH698" s="282" t="n"/>
      <c r="AI698" s="282" t="n"/>
      <c r="AJ698" s="537" t="n"/>
      <c r="AK698" s="537" t="n"/>
      <c r="AL698" s="282" t="n"/>
      <c r="AM698" s="282" t="n"/>
      <c r="AN698" s="282" t="n"/>
      <c r="AO698" s="282" t="n"/>
      <c r="AP698" s="282" t="n"/>
      <c r="AQ698" s="282" t="n"/>
      <c r="AR698" s="535" t="n"/>
      <c r="AS698" s="535" t="n"/>
      <c r="AT698" s="282" t="n"/>
      <c r="AU698" s="282" t="n"/>
    </row>
    <row customHeight="1" ht="15.75" r="699" s="452" spans="1:48">
      <c r="A699" s="44" t="n"/>
      <c r="D699" s="535" t="n"/>
      <c r="E699" s="535" t="n"/>
      <c r="F699" s="282" t="n"/>
      <c r="G699" s="282" t="n"/>
      <c r="H699" s="536" t="n"/>
      <c r="I699" s="535" t="n"/>
      <c r="J699" s="282" t="n"/>
      <c r="K699" s="282" t="n"/>
      <c r="L699" s="536" t="n"/>
      <c r="M699" s="535" t="n"/>
      <c r="N699" s="282" t="n"/>
      <c r="O699" s="282" t="n"/>
      <c r="P699" s="535" t="n"/>
      <c r="Q699" s="535" t="n"/>
      <c r="R699" s="282" t="n"/>
      <c r="S699" s="282" t="n"/>
      <c r="T699" s="535" t="n"/>
      <c r="U699" s="535" t="n"/>
      <c r="V699" s="282" t="n"/>
      <c r="W699" s="282" t="n"/>
      <c r="X699" s="536" t="n"/>
      <c r="Y699" s="536" t="n"/>
      <c r="Z699" s="282" t="n"/>
      <c r="AA699" s="282" t="n"/>
      <c r="AB699" s="536" t="n"/>
      <c r="AC699" s="536" t="n"/>
      <c r="AD699" s="282" t="n"/>
      <c r="AE699" s="282" t="n"/>
      <c r="AF699" s="537" t="n"/>
      <c r="AG699" s="537" t="n"/>
      <c r="AH699" s="282" t="n"/>
      <c r="AI699" s="282" t="n"/>
      <c r="AJ699" s="537" t="n"/>
      <c r="AK699" s="537" t="n"/>
      <c r="AL699" s="282" t="n"/>
      <c r="AM699" s="282" t="n"/>
      <c r="AN699" s="282" t="n"/>
      <c r="AO699" s="282" t="n"/>
      <c r="AP699" s="282" t="n"/>
      <c r="AQ699" s="282" t="n"/>
      <c r="AR699" s="535" t="n"/>
      <c r="AS699" s="535" t="n"/>
      <c r="AT699" s="282" t="n"/>
      <c r="AU699" s="282" t="n"/>
    </row>
    <row customHeight="1" ht="15.75" r="700" s="452" spans="1:48">
      <c r="A700" s="44" t="n"/>
      <c r="D700" s="535" t="n"/>
      <c r="E700" s="535" t="n"/>
      <c r="F700" s="282" t="n"/>
      <c r="G700" s="282" t="n"/>
      <c r="H700" s="536" t="n"/>
      <c r="I700" s="535" t="n"/>
      <c r="J700" s="282" t="n"/>
      <c r="K700" s="282" t="n"/>
      <c r="L700" s="536" t="n"/>
      <c r="M700" s="535" t="n"/>
      <c r="N700" s="282" t="n"/>
      <c r="O700" s="282" t="n"/>
      <c r="P700" s="535" t="n"/>
      <c r="Q700" s="535" t="n"/>
      <c r="R700" s="282" t="n"/>
      <c r="S700" s="282" t="n"/>
      <c r="T700" s="535" t="n"/>
      <c r="U700" s="535" t="n"/>
      <c r="V700" s="282" t="n"/>
      <c r="W700" s="282" t="n"/>
      <c r="X700" s="536" t="n"/>
      <c r="Y700" s="536" t="n"/>
      <c r="Z700" s="282" t="n"/>
      <c r="AA700" s="282" t="n"/>
      <c r="AB700" s="536" t="n"/>
      <c r="AC700" s="536" t="n"/>
      <c r="AD700" s="282" t="n"/>
      <c r="AE700" s="282" t="n"/>
      <c r="AF700" s="537" t="n"/>
      <c r="AG700" s="537" t="n"/>
      <c r="AH700" s="282" t="n"/>
      <c r="AI700" s="282" t="n"/>
      <c r="AJ700" s="537" t="n"/>
      <c r="AK700" s="537" t="n"/>
      <c r="AL700" s="282" t="n"/>
      <c r="AM700" s="282" t="n"/>
      <c r="AN700" s="282" t="n"/>
      <c r="AO700" s="282" t="n"/>
      <c r="AP700" s="282" t="n"/>
      <c r="AQ700" s="282" t="n"/>
      <c r="AR700" s="535" t="n"/>
      <c r="AS700" s="535" t="n"/>
      <c r="AT700" s="282" t="n"/>
      <c r="AU700" s="282" t="n"/>
    </row>
    <row customHeight="1" ht="15.75" r="701" s="452" spans="1:48">
      <c r="A701" s="44" t="n"/>
      <c r="D701" s="535" t="n"/>
      <c r="E701" s="535" t="n"/>
      <c r="F701" s="282" t="n"/>
      <c r="G701" s="282" t="n"/>
      <c r="H701" s="536" t="n"/>
      <c r="I701" s="535" t="n"/>
      <c r="J701" s="282" t="n"/>
      <c r="K701" s="282" t="n"/>
      <c r="L701" s="536" t="n"/>
      <c r="M701" s="535" t="n"/>
      <c r="N701" s="282" t="n"/>
      <c r="O701" s="282" t="n"/>
      <c r="P701" s="535" t="n"/>
      <c r="Q701" s="535" t="n"/>
      <c r="R701" s="282" t="n"/>
      <c r="S701" s="282" t="n"/>
      <c r="T701" s="535" t="n"/>
      <c r="U701" s="535" t="n"/>
      <c r="V701" s="282" t="n"/>
      <c r="W701" s="282" t="n"/>
      <c r="X701" s="536" t="n"/>
      <c r="Y701" s="536" t="n"/>
      <c r="Z701" s="282" t="n"/>
      <c r="AA701" s="282" t="n"/>
      <c r="AB701" s="536" t="n"/>
      <c r="AC701" s="536" t="n"/>
      <c r="AD701" s="282" t="n"/>
      <c r="AE701" s="282" t="n"/>
      <c r="AF701" s="537" t="n"/>
      <c r="AG701" s="537" t="n"/>
      <c r="AH701" s="282" t="n"/>
      <c r="AI701" s="282" t="n"/>
      <c r="AJ701" s="537" t="n"/>
      <c r="AK701" s="537" t="n"/>
      <c r="AL701" s="282" t="n"/>
      <c r="AM701" s="282" t="n"/>
      <c r="AN701" s="282" t="n"/>
      <c r="AO701" s="282" t="n"/>
      <c r="AP701" s="282" t="n"/>
      <c r="AQ701" s="282" t="n"/>
      <c r="AR701" s="535" t="n"/>
      <c r="AS701" s="535" t="n"/>
      <c r="AT701" s="282" t="n"/>
      <c r="AU701" s="282" t="n"/>
    </row>
    <row customHeight="1" ht="15.75" r="702" s="452" spans="1:48">
      <c r="A702" s="44" t="n"/>
      <c r="D702" s="535" t="n"/>
      <c r="E702" s="535" t="n"/>
      <c r="F702" s="282" t="n"/>
      <c r="G702" s="282" t="n"/>
      <c r="H702" s="536" t="n"/>
      <c r="I702" s="535" t="n"/>
      <c r="J702" s="282" t="n"/>
      <c r="K702" s="282" t="n"/>
      <c r="L702" s="536" t="n"/>
      <c r="M702" s="535" t="n"/>
      <c r="N702" s="282" t="n"/>
      <c r="O702" s="282" t="n"/>
      <c r="P702" s="535" t="n"/>
      <c r="Q702" s="535" t="n"/>
      <c r="R702" s="282" t="n"/>
      <c r="S702" s="282" t="n"/>
      <c r="T702" s="535" t="n"/>
      <c r="U702" s="535" t="n"/>
      <c r="V702" s="282" t="n"/>
      <c r="W702" s="282" t="n"/>
      <c r="X702" s="536" t="n"/>
      <c r="Y702" s="536" t="n"/>
      <c r="Z702" s="282" t="n"/>
      <c r="AA702" s="282" t="n"/>
      <c r="AB702" s="536" t="n"/>
      <c r="AC702" s="536" t="n"/>
      <c r="AD702" s="282" t="n"/>
      <c r="AE702" s="282" t="n"/>
      <c r="AF702" s="537" t="n"/>
      <c r="AG702" s="537" t="n"/>
      <c r="AH702" s="282" t="n"/>
      <c r="AI702" s="282" t="n"/>
      <c r="AJ702" s="537" t="n"/>
      <c r="AK702" s="537" t="n"/>
      <c r="AL702" s="282" t="n"/>
      <c r="AM702" s="282" t="n"/>
      <c r="AN702" s="282" t="n"/>
      <c r="AO702" s="282" t="n"/>
      <c r="AP702" s="282" t="n"/>
      <c r="AQ702" s="282" t="n"/>
      <c r="AR702" s="535" t="n"/>
      <c r="AS702" s="535" t="n"/>
      <c r="AT702" s="282" t="n"/>
      <c r="AU702" s="282" t="n"/>
    </row>
    <row customHeight="1" ht="15.75" r="703" s="452" spans="1:48">
      <c r="A703" s="44" t="n"/>
      <c r="D703" s="535" t="n"/>
      <c r="E703" s="535" t="n"/>
      <c r="F703" s="282" t="n"/>
      <c r="G703" s="282" t="n"/>
      <c r="H703" s="536" t="n"/>
      <c r="I703" s="535" t="n"/>
      <c r="J703" s="282" t="n"/>
      <c r="K703" s="282" t="n"/>
      <c r="L703" s="536" t="n"/>
      <c r="M703" s="535" t="n"/>
      <c r="N703" s="282" t="n"/>
      <c r="O703" s="282" t="n"/>
      <c r="P703" s="535" t="n"/>
      <c r="Q703" s="535" t="n"/>
      <c r="R703" s="282" t="n"/>
      <c r="S703" s="282" t="n"/>
      <c r="T703" s="535" t="n"/>
      <c r="U703" s="535" t="n"/>
      <c r="V703" s="282" t="n"/>
      <c r="W703" s="282" t="n"/>
      <c r="X703" s="536" t="n"/>
      <c r="Y703" s="536" t="n"/>
      <c r="Z703" s="282" t="n"/>
      <c r="AA703" s="282" t="n"/>
      <c r="AB703" s="536" t="n"/>
      <c r="AC703" s="536" t="n"/>
      <c r="AD703" s="282" t="n"/>
      <c r="AE703" s="282" t="n"/>
      <c r="AF703" s="537" t="n"/>
      <c r="AG703" s="537" t="n"/>
      <c r="AH703" s="282" t="n"/>
      <c r="AI703" s="282" t="n"/>
      <c r="AJ703" s="537" t="n"/>
      <c r="AK703" s="537" t="n"/>
      <c r="AL703" s="282" t="n"/>
      <c r="AM703" s="282" t="n"/>
      <c r="AN703" s="282" t="n"/>
      <c r="AO703" s="282" t="n"/>
      <c r="AP703" s="282" t="n"/>
      <c r="AQ703" s="282" t="n"/>
      <c r="AR703" s="535" t="n"/>
      <c r="AS703" s="535" t="n"/>
      <c r="AT703" s="282" t="n"/>
      <c r="AU703" s="282" t="n"/>
    </row>
    <row customHeight="1" ht="15.75" r="704" s="452" spans="1:48">
      <c r="A704" s="44" t="n"/>
      <c r="D704" s="535" t="n"/>
      <c r="E704" s="535" t="n"/>
      <c r="F704" s="282" t="n"/>
      <c r="G704" s="282" t="n"/>
      <c r="H704" s="536" t="n"/>
      <c r="I704" s="535" t="n"/>
      <c r="J704" s="282" t="n"/>
      <c r="K704" s="282" t="n"/>
      <c r="L704" s="536" t="n"/>
      <c r="M704" s="535" t="n"/>
      <c r="N704" s="282" t="n"/>
      <c r="O704" s="282" t="n"/>
      <c r="P704" s="535" t="n"/>
      <c r="Q704" s="535" t="n"/>
      <c r="R704" s="282" t="n"/>
      <c r="S704" s="282" t="n"/>
      <c r="T704" s="535" t="n"/>
      <c r="U704" s="535" t="n"/>
      <c r="V704" s="282" t="n"/>
      <c r="W704" s="282" t="n"/>
      <c r="X704" s="536" t="n"/>
      <c r="Y704" s="536" t="n"/>
      <c r="Z704" s="282" t="n"/>
      <c r="AA704" s="282" t="n"/>
      <c r="AB704" s="536" t="n"/>
      <c r="AC704" s="536" t="n"/>
      <c r="AD704" s="282" t="n"/>
      <c r="AE704" s="282" t="n"/>
      <c r="AF704" s="537" t="n"/>
      <c r="AG704" s="537" t="n"/>
      <c r="AH704" s="282" t="n"/>
      <c r="AI704" s="282" t="n"/>
      <c r="AJ704" s="537" t="n"/>
      <c r="AK704" s="537" t="n"/>
      <c r="AL704" s="282" t="n"/>
      <c r="AM704" s="282" t="n"/>
      <c r="AN704" s="282" t="n"/>
      <c r="AO704" s="282" t="n"/>
      <c r="AP704" s="282" t="n"/>
      <c r="AQ704" s="282" t="n"/>
      <c r="AR704" s="535" t="n"/>
      <c r="AS704" s="535" t="n"/>
      <c r="AT704" s="282" t="n"/>
      <c r="AU704" s="282" t="n"/>
    </row>
    <row customHeight="1" ht="15.75" r="705" s="452" spans="1:48">
      <c r="A705" s="44" t="n"/>
      <c r="D705" s="535" t="n"/>
      <c r="E705" s="535" t="n"/>
      <c r="F705" s="282" t="n"/>
      <c r="G705" s="282" t="n"/>
      <c r="H705" s="536" t="n"/>
      <c r="I705" s="535" t="n"/>
      <c r="J705" s="282" t="n"/>
      <c r="K705" s="282" t="n"/>
      <c r="L705" s="536" t="n"/>
      <c r="M705" s="535" t="n"/>
      <c r="N705" s="282" t="n"/>
      <c r="O705" s="282" t="n"/>
      <c r="P705" s="535" t="n"/>
      <c r="Q705" s="535" t="n"/>
      <c r="R705" s="282" t="n"/>
      <c r="S705" s="282" t="n"/>
      <c r="T705" s="535" t="n"/>
      <c r="U705" s="535" t="n"/>
      <c r="V705" s="282" t="n"/>
      <c r="W705" s="282" t="n"/>
      <c r="X705" s="536" t="n"/>
      <c r="Y705" s="536" t="n"/>
      <c r="Z705" s="282" t="n"/>
      <c r="AA705" s="282" t="n"/>
      <c r="AB705" s="536" t="n"/>
      <c r="AC705" s="536" t="n"/>
      <c r="AD705" s="282" t="n"/>
      <c r="AE705" s="282" t="n"/>
      <c r="AF705" s="537" t="n"/>
      <c r="AG705" s="537" t="n"/>
      <c r="AH705" s="282" t="n"/>
      <c r="AI705" s="282" t="n"/>
      <c r="AJ705" s="537" t="n"/>
      <c r="AK705" s="537" t="n"/>
      <c r="AL705" s="282" t="n"/>
      <c r="AM705" s="282" t="n"/>
      <c r="AN705" s="282" t="n"/>
      <c r="AO705" s="282" t="n"/>
      <c r="AP705" s="282" t="n"/>
      <c r="AQ705" s="282" t="n"/>
      <c r="AR705" s="535" t="n"/>
      <c r="AS705" s="535" t="n"/>
      <c r="AT705" s="282" t="n"/>
      <c r="AU705" s="282" t="n"/>
    </row>
    <row customHeight="1" ht="15.75" r="706" s="452" spans="1:48">
      <c r="A706" s="44" t="n"/>
      <c r="D706" s="535" t="n"/>
      <c r="E706" s="535" t="n"/>
      <c r="F706" s="282" t="n"/>
      <c r="G706" s="282" t="n"/>
      <c r="H706" s="536" t="n"/>
      <c r="I706" s="535" t="n"/>
      <c r="J706" s="282" t="n"/>
      <c r="K706" s="282" t="n"/>
      <c r="L706" s="536" t="n"/>
      <c r="M706" s="535" t="n"/>
      <c r="N706" s="282" t="n"/>
      <c r="O706" s="282" t="n"/>
      <c r="P706" s="535" t="n"/>
      <c r="Q706" s="535" t="n"/>
      <c r="R706" s="282" t="n"/>
      <c r="S706" s="282" t="n"/>
      <c r="T706" s="535" t="n"/>
      <c r="U706" s="535" t="n"/>
      <c r="V706" s="282" t="n"/>
      <c r="W706" s="282" t="n"/>
      <c r="X706" s="536" t="n"/>
      <c r="Y706" s="536" t="n"/>
      <c r="Z706" s="282" t="n"/>
      <c r="AA706" s="282" t="n"/>
      <c r="AB706" s="536" t="n"/>
      <c r="AC706" s="536" t="n"/>
      <c r="AD706" s="282" t="n"/>
      <c r="AE706" s="282" t="n"/>
      <c r="AF706" s="537" t="n"/>
      <c r="AG706" s="537" t="n"/>
      <c r="AH706" s="282" t="n"/>
      <c r="AI706" s="282" t="n"/>
      <c r="AJ706" s="537" t="n"/>
      <c r="AK706" s="537" t="n"/>
      <c r="AL706" s="282" t="n"/>
      <c r="AM706" s="282" t="n"/>
      <c r="AN706" s="282" t="n"/>
      <c r="AO706" s="282" t="n"/>
      <c r="AP706" s="282" t="n"/>
      <c r="AQ706" s="282" t="n"/>
      <c r="AR706" s="535" t="n"/>
      <c r="AS706" s="535" t="n"/>
      <c r="AT706" s="282" t="n"/>
      <c r="AU706" s="282" t="n"/>
    </row>
    <row customHeight="1" ht="15.75" r="707" s="452" spans="1:48">
      <c r="A707" s="44" t="n"/>
      <c r="D707" s="535" t="n"/>
      <c r="E707" s="535" t="n"/>
      <c r="F707" s="282" t="n"/>
      <c r="G707" s="282" t="n"/>
      <c r="H707" s="536" t="n"/>
      <c r="I707" s="535" t="n"/>
      <c r="J707" s="282" t="n"/>
      <c r="K707" s="282" t="n"/>
      <c r="L707" s="536" t="n"/>
      <c r="M707" s="535" t="n"/>
      <c r="N707" s="282" t="n"/>
      <c r="O707" s="282" t="n"/>
      <c r="P707" s="535" t="n"/>
      <c r="Q707" s="535" t="n"/>
      <c r="R707" s="282" t="n"/>
      <c r="S707" s="282" t="n"/>
      <c r="T707" s="535" t="n"/>
      <c r="U707" s="535" t="n"/>
      <c r="V707" s="282" t="n"/>
      <c r="W707" s="282" t="n"/>
      <c r="X707" s="536" t="n"/>
      <c r="Y707" s="536" t="n"/>
      <c r="Z707" s="282" t="n"/>
      <c r="AA707" s="282" t="n"/>
      <c r="AB707" s="536" t="n"/>
      <c r="AC707" s="536" t="n"/>
      <c r="AD707" s="282" t="n"/>
      <c r="AE707" s="282" t="n"/>
      <c r="AF707" s="537" t="n"/>
      <c r="AG707" s="537" t="n"/>
      <c r="AH707" s="282" t="n"/>
      <c r="AI707" s="282" t="n"/>
      <c r="AJ707" s="537" t="n"/>
      <c r="AK707" s="537" t="n"/>
      <c r="AL707" s="282" t="n"/>
      <c r="AM707" s="282" t="n"/>
      <c r="AN707" s="282" t="n"/>
      <c r="AO707" s="282" t="n"/>
      <c r="AP707" s="282" t="n"/>
      <c r="AQ707" s="282" t="n"/>
      <c r="AR707" s="535" t="n"/>
      <c r="AS707" s="535" t="n"/>
      <c r="AT707" s="282" t="n"/>
      <c r="AU707" s="282" t="n"/>
    </row>
    <row customHeight="1" ht="15.75" r="708" s="452" spans="1:48">
      <c r="A708" s="44" t="n"/>
      <c r="D708" s="535" t="n"/>
      <c r="E708" s="535" t="n"/>
      <c r="F708" s="282" t="n"/>
      <c r="G708" s="282" t="n"/>
      <c r="H708" s="536" t="n"/>
      <c r="I708" s="535" t="n"/>
      <c r="J708" s="282" t="n"/>
      <c r="K708" s="282" t="n"/>
      <c r="L708" s="536" t="n"/>
      <c r="M708" s="535" t="n"/>
      <c r="N708" s="282" t="n"/>
      <c r="O708" s="282" t="n"/>
      <c r="P708" s="535" t="n"/>
      <c r="Q708" s="535" t="n"/>
      <c r="R708" s="282" t="n"/>
      <c r="S708" s="282" t="n"/>
      <c r="T708" s="535" t="n"/>
      <c r="U708" s="535" t="n"/>
      <c r="V708" s="282" t="n"/>
      <c r="W708" s="282" t="n"/>
      <c r="X708" s="536" t="n"/>
      <c r="Y708" s="536" t="n"/>
      <c r="Z708" s="282" t="n"/>
      <c r="AA708" s="282" t="n"/>
      <c r="AB708" s="536" t="n"/>
      <c r="AC708" s="536" t="n"/>
      <c r="AD708" s="282" t="n"/>
      <c r="AE708" s="282" t="n"/>
      <c r="AF708" s="537" t="n"/>
      <c r="AG708" s="537" t="n"/>
      <c r="AH708" s="282" t="n"/>
      <c r="AI708" s="282" t="n"/>
      <c r="AJ708" s="537" t="n"/>
      <c r="AK708" s="537" t="n"/>
      <c r="AL708" s="282" t="n"/>
      <c r="AM708" s="282" t="n"/>
      <c r="AN708" s="282" t="n"/>
      <c r="AO708" s="282" t="n"/>
      <c r="AP708" s="282" t="n"/>
      <c r="AQ708" s="282" t="n"/>
      <c r="AR708" s="535" t="n"/>
      <c r="AS708" s="535" t="n"/>
      <c r="AT708" s="282" t="n"/>
      <c r="AU708" s="282" t="n"/>
    </row>
    <row customHeight="1" ht="15.75" r="709" s="452" spans="1:48">
      <c r="A709" s="44" t="n"/>
      <c r="D709" s="535" t="n"/>
      <c r="E709" s="535" t="n"/>
      <c r="F709" s="282" t="n"/>
      <c r="G709" s="282" t="n"/>
      <c r="H709" s="536" t="n"/>
      <c r="I709" s="535" t="n"/>
      <c r="J709" s="282" t="n"/>
      <c r="K709" s="282" t="n"/>
      <c r="L709" s="536" t="n"/>
      <c r="M709" s="535" t="n"/>
      <c r="N709" s="282" t="n"/>
      <c r="O709" s="282" t="n"/>
      <c r="P709" s="535" t="n"/>
      <c r="Q709" s="535" t="n"/>
      <c r="R709" s="282" t="n"/>
      <c r="S709" s="282" t="n"/>
      <c r="T709" s="535" t="n"/>
      <c r="U709" s="535" t="n"/>
      <c r="V709" s="282" t="n"/>
      <c r="W709" s="282" t="n"/>
      <c r="X709" s="536" t="n"/>
      <c r="Y709" s="536" t="n"/>
      <c r="Z709" s="282" t="n"/>
      <c r="AA709" s="282" t="n"/>
      <c r="AB709" s="536" t="n"/>
      <c r="AC709" s="536" t="n"/>
      <c r="AD709" s="282" t="n"/>
      <c r="AE709" s="282" t="n"/>
      <c r="AF709" s="537" t="n"/>
      <c r="AG709" s="537" t="n"/>
      <c r="AH709" s="282" t="n"/>
      <c r="AI709" s="282" t="n"/>
      <c r="AJ709" s="537" t="n"/>
      <c r="AK709" s="537" t="n"/>
      <c r="AL709" s="282" t="n"/>
      <c r="AM709" s="282" t="n"/>
      <c r="AN709" s="282" t="n"/>
      <c r="AO709" s="282" t="n"/>
      <c r="AP709" s="282" t="n"/>
      <c r="AQ709" s="282" t="n"/>
      <c r="AR709" s="535" t="n"/>
      <c r="AS709" s="535" t="n"/>
      <c r="AT709" s="282" t="n"/>
      <c r="AU709" s="282" t="n"/>
    </row>
    <row customHeight="1" ht="15.75" r="710" s="452" spans="1:48">
      <c r="A710" s="44" t="n"/>
      <c r="D710" s="535" t="n"/>
      <c r="E710" s="535" t="n"/>
      <c r="F710" s="282" t="n"/>
      <c r="G710" s="282" t="n"/>
      <c r="H710" s="536" t="n"/>
      <c r="I710" s="535" t="n"/>
      <c r="J710" s="282" t="n"/>
      <c r="K710" s="282" t="n"/>
      <c r="L710" s="536" t="n"/>
      <c r="M710" s="535" t="n"/>
      <c r="N710" s="282" t="n"/>
      <c r="O710" s="282" t="n"/>
      <c r="P710" s="535" t="n"/>
      <c r="Q710" s="535" t="n"/>
      <c r="R710" s="282" t="n"/>
      <c r="S710" s="282" t="n"/>
      <c r="T710" s="535" t="n"/>
      <c r="U710" s="535" t="n"/>
      <c r="V710" s="282" t="n"/>
      <c r="W710" s="282" t="n"/>
      <c r="X710" s="536" t="n"/>
      <c r="Y710" s="536" t="n"/>
      <c r="Z710" s="282" t="n"/>
      <c r="AA710" s="282" t="n"/>
      <c r="AB710" s="536" t="n"/>
      <c r="AC710" s="536" t="n"/>
      <c r="AD710" s="282" t="n"/>
      <c r="AE710" s="282" t="n"/>
      <c r="AF710" s="537" t="n"/>
      <c r="AG710" s="537" t="n"/>
      <c r="AH710" s="282" t="n"/>
      <c r="AI710" s="282" t="n"/>
      <c r="AJ710" s="537" t="n"/>
      <c r="AK710" s="537" t="n"/>
      <c r="AL710" s="282" t="n"/>
      <c r="AM710" s="282" t="n"/>
      <c r="AN710" s="282" t="n"/>
      <c r="AO710" s="282" t="n"/>
      <c r="AP710" s="282" t="n"/>
      <c r="AQ710" s="282" t="n"/>
      <c r="AR710" s="535" t="n"/>
      <c r="AS710" s="535" t="n"/>
      <c r="AT710" s="282" t="n"/>
      <c r="AU710" s="282" t="n"/>
    </row>
    <row customHeight="1" ht="15.75" r="711" s="452" spans="1:48">
      <c r="A711" s="44" t="n"/>
      <c r="D711" s="535" t="n"/>
      <c r="E711" s="535" t="n"/>
      <c r="F711" s="282" t="n"/>
      <c r="G711" s="282" t="n"/>
      <c r="H711" s="536" t="n"/>
      <c r="I711" s="535" t="n"/>
      <c r="J711" s="282" t="n"/>
      <c r="K711" s="282" t="n"/>
      <c r="L711" s="536" t="n"/>
      <c r="M711" s="535" t="n"/>
      <c r="N711" s="282" t="n"/>
      <c r="O711" s="282" t="n"/>
      <c r="P711" s="535" t="n"/>
      <c r="Q711" s="535" t="n"/>
      <c r="R711" s="282" t="n"/>
      <c r="S711" s="282" t="n"/>
      <c r="T711" s="535" t="n"/>
      <c r="U711" s="535" t="n"/>
      <c r="V711" s="282" t="n"/>
      <c r="W711" s="282" t="n"/>
      <c r="X711" s="536" t="n"/>
      <c r="Y711" s="536" t="n"/>
      <c r="Z711" s="282" t="n"/>
      <c r="AA711" s="282" t="n"/>
      <c r="AB711" s="536" t="n"/>
      <c r="AC711" s="536" t="n"/>
      <c r="AD711" s="282" t="n"/>
      <c r="AE711" s="282" t="n"/>
      <c r="AF711" s="537" t="n"/>
      <c r="AG711" s="537" t="n"/>
      <c r="AH711" s="282" t="n"/>
      <c r="AI711" s="282" t="n"/>
      <c r="AJ711" s="537" t="n"/>
      <c r="AK711" s="537" t="n"/>
      <c r="AL711" s="282" t="n"/>
      <c r="AM711" s="282" t="n"/>
      <c r="AN711" s="282" t="n"/>
      <c r="AO711" s="282" t="n"/>
      <c r="AP711" s="282" t="n"/>
      <c r="AQ711" s="282" t="n"/>
      <c r="AR711" s="535" t="n"/>
      <c r="AS711" s="535" t="n"/>
      <c r="AT711" s="282" t="n"/>
      <c r="AU711" s="282" t="n"/>
    </row>
    <row customHeight="1" ht="15.75" r="712" s="452" spans="1:48">
      <c r="A712" s="44" t="n"/>
      <c r="D712" s="535" t="n"/>
      <c r="E712" s="535" t="n"/>
      <c r="F712" s="282" t="n"/>
      <c r="G712" s="282" t="n"/>
      <c r="H712" s="536" t="n"/>
      <c r="I712" s="535" t="n"/>
      <c r="J712" s="282" t="n"/>
      <c r="K712" s="282" t="n"/>
      <c r="L712" s="536" t="n"/>
      <c r="M712" s="535" t="n"/>
      <c r="N712" s="282" t="n"/>
      <c r="O712" s="282" t="n"/>
      <c r="P712" s="535" t="n"/>
      <c r="Q712" s="535" t="n"/>
      <c r="R712" s="282" t="n"/>
      <c r="S712" s="282" t="n"/>
      <c r="T712" s="535" t="n"/>
      <c r="U712" s="535" t="n"/>
      <c r="V712" s="282" t="n"/>
      <c r="W712" s="282" t="n"/>
      <c r="X712" s="536" t="n"/>
      <c r="Y712" s="536" t="n"/>
      <c r="Z712" s="282" t="n"/>
      <c r="AA712" s="282" t="n"/>
      <c r="AB712" s="536" t="n"/>
      <c r="AC712" s="536" t="n"/>
      <c r="AD712" s="282" t="n"/>
      <c r="AE712" s="282" t="n"/>
      <c r="AF712" s="537" t="n"/>
      <c r="AG712" s="537" t="n"/>
      <c r="AH712" s="282" t="n"/>
      <c r="AI712" s="282" t="n"/>
      <c r="AJ712" s="537" t="n"/>
      <c r="AK712" s="537" t="n"/>
      <c r="AL712" s="282" t="n"/>
      <c r="AM712" s="282" t="n"/>
      <c r="AN712" s="282" t="n"/>
      <c r="AO712" s="282" t="n"/>
      <c r="AP712" s="282" t="n"/>
      <c r="AQ712" s="282" t="n"/>
      <c r="AR712" s="535" t="n"/>
      <c r="AS712" s="535" t="n"/>
      <c r="AT712" s="282" t="n"/>
      <c r="AU712" s="282" t="n"/>
    </row>
    <row customHeight="1" ht="15.75" r="713" s="452" spans="1:48">
      <c r="A713" s="44" t="n"/>
      <c r="D713" s="535" t="n"/>
      <c r="E713" s="535" t="n"/>
      <c r="F713" s="282" t="n"/>
      <c r="G713" s="282" t="n"/>
      <c r="H713" s="536" t="n"/>
      <c r="I713" s="535" t="n"/>
      <c r="J713" s="282" t="n"/>
      <c r="K713" s="282" t="n"/>
      <c r="L713" s="536" t="n"/>
      <c r="M713" s="535" t="n"/>
      <c r="N713" s="282" t="n"/>
      <c r="O713" s="282" t="n"/>
      <c r="P713" s="535" t="n"/>
      <c r="Q713" s="535" t="n"/>
      <c r="R713" s="282" t="n"/>
      <c r="S713" s="282" t="n"/>
      <c r="T713" s="535" t="n"/>
      <c r="U713" s="535" t="n"/>
      <c r="V713" s="282" t="n"/>
      <c r="W713" s="282" t="n"/>
      <c r="X713" s="536" t="n"/>
      <c r="Y713" s="536" t="n"/>
      <c r="Z713" s="282" t="n"/>
      <c r="AA713" s="282" t="n"/>
      <c r="AB713" s="536" t="n"/>
      <c r="AC713" s="536" t="n"/>
      <c r="AD713" s="282" t="n"/>
      <c r="AE713" s="282" t="n"/>
      <c r="AF713" s="537" t="n"/>
      <c r="AG713" s="537" t="n"/>
      <c r="AH713" s="282" t="n"/>
      <c r="AI713" s="282" t="n"/>
      <c r="AJ713" s="537" t="n"/>
      <c r="AK713" s="537" t="n"/>
      <c r="AL713" s="282" t="n"/>
      <c r="AM713" s="282" t="n"/>
      <c r="AN713" s="282" t="n"/>
      <c r="AO713" s="282" t="n"/>
      <c r="AP713" s="282" t="n"/>
      <c r="AQ713" s="282" t="n"/>
      <c r="AR713" s="535" t="n"/>
      <c r="AS713" s="535" t="n"/>
      <c r="AT713" s="282" t="n"/>
      <c r="AU713" s="282" t="n"/>
    </row>
    <row customHeight="1" ht="15.75" r="714" s="452" spans="1:48">
      <c r="A714" s="44" t="n"/>
      <c r="D714" s="535" t="n"/>
      <c r="E714" s="535" t="n"/>
      <c r="F714" s="282" t="n"/>
      <c r="G714" s="282" t="n"/>
      <c r="H714" s="536" t="n"/>
      <c r="I714" s="535" t="n"/>
      <c r="J714" s="282" t="n"/>
      <c r="K714" s="282" t="n"/>
      <c r="L714" s="536" t="n"/>
      <c r="M714" s="535" t="n"/>
      <c r="N714" s="282" t="n"/>
      <c r="O714" s="282" t="n"/>
      <c r="P714" s="535" t="n"/>
      <c r="Q714" s="535" t="n"/>
      <c r="R714" s="282" t="n"/>
      <c r="S714" s="282" t="n"/>
      <c r="T714" s="535" t="n"/>
      <c r="U714" s="535" t="n"/>
      <c r="V714" s="282" t="n"/>
      <c r="W714" s="282" t="n"/>
      <c r="X714" s="536" t="n"/>
      <c r="Y714" s="536" t="n"/>
      <c r="Z714" s="282" t="n"/>
      <c r="AA714" s="282" t="n"/>
      <c r="AB714" s="536" t="n"/>
      <c r="AC714" s="536" t="n"/>
      <c r="AD714" s="282" t="n"/>
      <c r="AE714" s="282" t="n"/>
      <c r="AF714" s="537" t="n"/>
      <c r="AG714" s="537" t="n"/>
      <c r="AH714" s="282" t="n"/>
      <c r="AI714" s="282" t="n"/>
      <c r="AJ714" s="537" t="n"/>
      <c r="AK714" s="537" t="n"/>
      <c r="AL714" s="282" t="n"/>
      <c r="AM714" s="282" t="n"/>
      <c r="AN714" s="282" t="n"/>
      <c r="AO714" s="282" t="n"/>
      <c r="AP714" s="282" t="n"/>
      <c r="AQ714" s="282" t="n"/>
      <c r="AR714" s="535" t="n"/>
      <c r="AS714" s="535" t="n"/>
      <c r="AT714" s="282" t="n"/>
      <c r="AU714" s="282" t="n"/>
    </row>
    <row customHeight="1" ht="15.75" r="715" s="452" spans="1:48">
      <c r="A715" s="44" t="n"/>
      <c r="D715" s="535" t="n"/>
      <c r="E715" s="535" t="n"/>
      <c r="F715" s="282" t="n"/>
      <c r="G715" s="282" t="n"/>
      <c r="H715" s="536" t="n"/>
      <c r="I715" s="535" t="n"/>
      <c r="J715" s="282" t="n"/>
      <c r="K715" s="282" t="n"/>
      <c r="L715" s="536" t="n"/>
      <c r="M715" s="535" t="n"/>
      <c r="N715" s="282" t="n"/>
      <c r="O715" s="282" t="n"/>
      <c r="P715" s="535" t="n"/>
      <c r="Q715" s="535" t="n"/>
      <c r="R715" s="282" t="n"/>
      <c r="S715" s="282" t="n"/>
      <c r="T715" s="535" t="n"/>
      <c r="U715" s="535" t="n"/>
      <c r="V715" s="282" t="n"/>
      <c r="W715" s="282" t="n"/>
      <c r="X715" s="536" t="n"/>
      <c r="Y715" s="536" t="n"/>
      <c r="Z715" s="282" t="n"/>
      <c r="AA715" s="282" t="n"/>
      <c r="AB715" s="536" t="n"/>
      <c r="AC715" s="536" t="n"/>
      <c r="AD715" s="282" t="n"/>
      <c r="AE715" s="282" t="n"/>
      <c r="AF715" s="537" t="n"/>
      <c r="AG715" s="537" t="n"/>
      <c r="AH715" s="282" t="n"/>
      <c r="AI715" s="282" t="n"/>
      <c r="AJ715" s="537" t="n"/>
      <c r="AK715" s="537" t="n"/>
      <c r="AL715" s="282" t="n"/>
      <c r="AM715" s="282" t="n"/>
      <c r="AN715" s="282" t="n"/>
      <c r="AO715" s="282" t="n"/>
      <c r="AP715" s="282" t="n"/>
      <c r="AQ715" s="282" t="n"/>
      <c r="AR715" s="535" t="n"/>
      <c r="AS715" s="535" t="n"/>
      <c r="AT715" s="282" t="n"/>
      <c r="AU715" s="282" t="n"/>
    </row>
    <row customHeight="1" ht="15.75" r="716" s="452" spans="1:48">
      <c r="A716" s="44" t="n"/>
      <c r="D716" s="535" t="n"/>
      <c r="E716" s="535" t="n"/>
      <c r="F716" s="282" t="n"/>
      <c r="G716" s="282" t="n"/>
      <c r="H716" s="536" t="n"/>
      <c r="I716" s="535" t="n"/>
      <c r="J716" s="282" t="n"/>
      <c r="K716" s="282" t="n"/>
      <c r="L716" s="536" t="n"/>
      <c r="M716" s="535" t="n"/>
      <c r="N716" s="282" t="n"/>
      <c r="O716" s="282" t="n"/>
      <c r="P716" s="535" t="n"/>
      <c r="Q716" s="535" t="n"/>
      <c r="R716" s="282" t="n"/>
      <c r="S716" s="282" t="n"/>
      <c r="T716" s="535" t="n"/>
      <c r="U716" s="535" t="n"/>
      <c r="V716" s="282" t="n"/>
      <c r="W716" s="282" t="n"/>
      <c r="X716" s="536" t="n"/>
      <c r="Y716" s="536" t="n"/>
      <c r="Z716" s="282" t="n"/>
      <c r="AA716" s="282" t="n"/>
      <c r="AB716" s="536" t="n"/>
      <c r="AC716" s="536" t="n"/>
      <c r="AD716" s="282" t="n"/>
      <c r="AE716" s="282" t="n"/>
      <c r="AF716" s="537" t="n"/>
      <c r="AG716" s="537" t="n"/>
      <c r="AH716" s="282" t="n"/>
      <c r="AI716" s="282" t="n"/>
      <c r="AJ716" s="537" t="n"/>
      <c r="AK716" s="537" t="n"/>
      <c r="AL716" s="282" t="n"/>
      <c r="AM716" s="282" t="n"/>
      <c r="AN716" s="282" t="n"/>
      <c r="AO716" s="282" t="n"/>
      <c r="AP716" s="282" t="n"/>
      <c r="AQ716" s="282" t="n"/>
      <c r="AR716" s="535" t="n"/>
      <c r="AS716" s="535" t="n"/>
      <c r="AT716" s="282" t="n"/>
      <c r="AU716" s="282" t="n"/>
    </row>
    <row customHeight="1" ht="15.75" r="717" s="452" spans="1:48">
      <c r="A717" s="44" t="n"/>
      <c r="D717" s="535" t="n"/>
      <c r="E717" s="535" t="n"/>
      <c r="F717" s="282" t="n"/>
      <c r="G717" s="282" t="n"/>
      <c r="H717" s="536" t="n"/>
      <c r="I717" s="535" t="n"/>
      <c r="J717" s="282" t="n"/>
      <c r="K717" s="282" t="n"/>
      <c r="L717" s="536" t="n"/>
      <c r="M717" s="535" t="n"/>
      <c r="N717" s="282" t="n"/>
      <c r="O717" s="282" t="n"/>
      <c r="P717" s="535" t="n"/>
      <c r="Q717" s="535" t="n"/>
      <c r="R717" s="282" t="n"/>
      <c r="S717" s="282" t="n"/>
      <c r="T717" s="535" t="n"/>
      <c r="U717" s="535" t="n"/>
      <c r="V717" s="282" t="n"/>
      <c r="W717" s="282" t="n"/>
      <c r="X717" s="536" t="n"/>
      <c r="Y717" s="536" t="n"/>
      <c r="Z717" s="282" t="n"/>
      <c r="AA717" s="282" t="n"/>
      <c r="AB717" s="536" t="n"/>
      <c r="AC717" s="536" t="n"/>
      <c r="AD717" s="282" t="n"/>
      <c r="AE717" s="282" t="n"/>
      <c r="AF717" s="537" t="n"/>
      <c r="AG717" s="537" t="n"/>
      <c r="AH717" s="282" t="n"/>
      <c r="AI717" s="282" t="n"/>
      <c r="AJ717" s="537" t="n"/>
      <c r="AK717" s="537" t="n"/>
      <c r="AL717" s="282" t="n"/>
      <c r="AM717" s="282" t="n"/>
      <c r="AN717" s="282" t="n"/>
      <c r="AO717" s="282" t="n"/>
      <c r="AP717" s="282" t="n"/>
      <c r="AQ717" s="282" t="n"/>
      <c r="AR717" s="535" t="n"/>
      <c r="AS717" s="535" t="n"/>
      <c r="AT717" s="282" t="n"/>
      <c r="AU717" s="282" t="n"/>
    </row>
    <row customHeight="1" ht="15.75" r="718" s="452" spans="1:48">
      <c r="A718" s="44" t="n"/>
      <c r="D718" s="535" t="n"/>
      <c r="E718" s="535" t="n"/>
      <c r="F718" s="282" t="n"/>
      <c r="G718" s="282" t="n"/>
      <c r="H718" s="536" t="n"/>
      <c r="I718" s="535" t="n"/>
      <c r="J718" s="282" t="n"/>
      <c r="K718" s="282" t="n"/>
      <c r="L718" s="536" t="n"/>
      <c r="M718" s="535" t="n"/>
      <c r="N718" s="282" t="n"/>
      <c r="O718" s="282" t="n"/>
      <c r="P718" s="535" t="n"/>
      <c r="Q718" s="535" t="n"/>
      <c r="R718" s="282" t="n"/>
      <c r="S718" s="282" t="n"/>
      <c r="T718" s="535" t="n"/>
      <c r="U718" s="535" t="n"/>
      <c r="V718" s="282" t="n"/>
      <c r="W718" s="282" t="n"/>
      <c r="X718" s="536" t="n"/>
      <c r="Y718" s="536" t="n"/>
      <c r="Z718" s="282" t="n"/>
      <c r="AA718" s="282" t="n"/>
      <c r="AB718" s="536" t="n"/>
      <c r="AC718" s="536" t="n"/>
      <c r="AD718" s="282" t="n"/>
      <c r="AE718" s="282" t="n"/>
      <c r="AF718" s="537" t="n"/>
      <c r="AG718" s="537" t="n"/>
      <c r="AH718" s="282" t="n"/>
      <c r="AI718" s="282" t="n"/>
      <c r="AJ718" s="537" t="n"/>
      <c r="AK718" s="537" t="n"/>
      <c r="AL718" s="282" t="n"/>
      <c r="AM718" s="282" t="n"/>
      <c r="AN718" s="282" t="n"/>
      <c r="AO718" s="282" t="n"/>
      <c r="AP718" s="282" t="n"/>
      <c r="AQ718" s="282" t="n"/>
      <c r="AR718" s="535" t="n"/>
      <c r="AS718" s="535" t="n"/>
      <c r="AT718" s="282" t="n"/>
      <c r="AU718" s="282" t="n"/>
    </row>
    <row customHeight="1" ht="15.75" r="719" s="452" spans="1:48">
      <c r="A719" s="44" t="n"/>
      <c r="D719" s="535" t="n"/>
      <c r="E719" s="535" t="n"/>
      <c r="F719" s="282" t="n"/>
      <c r="G719" s="282" t="n"/>
      <c r="H719" s="536" t="n"/>
      <c r="I719" s="535" t="n"/>
      <c r="J719" s="282" t="n"/>
      <c r="K719" s="282" t="n"/>
      <c r="L719" s="536" t="n"/>
      <c r="M719" s="535" t="n"/>
      <c r="N719" s="282" t="n"/>
      <c r="O719" s="282" t="n"/>
      <c r="P719" s="535" t="n"/>
      <c r="Q719" s="535" t="n"/>
      <c r="R719" s="282" t="n"/>
      <c r="S719" s="282" t="n"/>
      <c r="T719" s="535" t="n"/>
      <c r="U719" s="535" t="n"/>
      <c r="V719" s="282" t="n"/>
      <c r="W719" s="282" t="n"/>
      <c r="X719" s="536" t="n"/>
      <c r="Y719" s="536" t="n"/>
      <c r="Z719" s="282" t="n"/>
      <c r="AA719" s="282" t="n"/>
      <c r="AB719" s="536" t="n"/>
      <c r="AC719" s="536" t="n"/>
      <c r="AD719" s="282" t="n"/>
      <c r="AE719" s="282" t="n"/>
      <c r="AF719" s="537" t="n"/>
      <c r="AG719" s="537" t="n"/>
      <c r="AH719" s="282" t="n"/>
      <c r="AI719" s="282" t="n"/>
      <c r="AJ719" s="537" t="n"/>
      <c r="AK719" s="537" t="n"/>
      <c r="AL719" s="282" t="n"/>
      <c r="AM719" s="282" t="n"/>
      <c r="AN719" s="282" t="n"/>
      <c r="AO719" s="282" t="n"/>
      <c r="AP719" s="282" t="n"/>
      <c r="AQ719" s="282" t="n"/>
      <c r="AR719" s="535" t="n"/>
      <c r="AS719" s="535" t="n"/>
      <c r="AT719" s="282" t="n"/>
      <c r="AU719" s="282" t="n"/>
    </row>
    <row customHeight="1" ht="15.75" r="720" s="452" spans="1:48">
      <c r="A720" s="44" t="n"/>
      <c r="D720" s="535" t="n"/>
      <c r="E720" s="535" t="n"/>
      <c r="F720" s="282" t="n"/>
      <c r="G720" s="282" t="n"/>
      <c r="H720" s="536" t="n"/>
      <c r="I720" s="535" t="n"/>
      <c r="J720" s="282" t="n"/>
      <c r="K720" s="282" t="n"/>
      <c r="L720" s="536" t="n"/>
      <c r="M720" s="535" t="n"/>
      <c r="N720" s="282" t="n"/>
      <c r="O720" s="282" t="n"/>
      <c r="P720" s="535" t="n"/>
      <c r="Q720" s="535" t="n"/>
      <c r="R720" s="282" t="n"/>
      <c r="S720" s="282" t="n"/>
      <c r="T720" s="535" t="n"/>
      <c r="U720" s="535" t="n"/>
      <c r="V720" s="282" t="n"/>
      <c r="W720" s="282" t="n"/>
      <c r="X720" s="536" t="n"/>
      <c r="Y720" s="536" t="n"/>
      <c r="Z720" s="282" t="n"/>
      <c r="AA720" s="282" t="n"/>
      <c r="AB720" s="536" t="n"/>
      <c r="AC720" s="536" t="n"/>
      <c r="AD720" s="282" t="n"/>
      <c r="AE720" s="282" t="n"/>
      <c r="AF720" s="537" t="n"/>
      <c r="AG720" s="537" t="n"/>
      <c r="AH720" s="282" t="n"/>
      <c r="AI720" s="282" t="n"/>
      <c r="AJ720" s="537" t="n"/>
      <c r="AK720" s="537" t="n"/>
      <c r="AL720" s="282" t="n"/>
      <c r="AM720" s="282" t="n"/>
      <c r="AN720" s="282" t="n"/>
      <c r="AO720" s="282" t="n"/>
      <c r="AP720" s="282" t="n"/>
      <c r="AQ720" s="282" t="n"/>
      <c r="AR720" s="535" t="n"/>
      <c r="AS720" s="535" t="n"/>
      <c r="AT720" s="282" t="n"/>
      <c r="AU720" s="282" t="n"/>
    </row>
    <row customHeight="1" ht="15.75" r="721" s="452" spans="1:48">
      <c r="A721" s="44" t="n"/>
      <c r="D721" s="535" t="n"/>
      <c r="E721" s="535" t="n"/>
      <c r="F721" s="282" t="n"/>
      <c r="G721" s="282" t="n"/>
      <c r="H721" s="536" t="n"/>
      <c r="I721" s="535" t="n"/>
      <c r="J721" s="282" t="n"/>
      <c r="K721" s="282" t="n"/>
      <c r="L721" s="536" t="n"/>
      <c r="M721" s="535" t="n"/>
      <c r="N721" s="282" t="n"/>
      <c r="O721" s="282" t="n"/>
      <c r="P721" s="535" t="n"/>
      <c r="Q721" s="535" t="n"/>
      <c r="R721" s="282" t="n"/>
      <c r="S721" s="282" t="n"/>
      <c r="T721" s="535" t="n"/>
      <c r="U721" s="535" t="n"/>
      <c r="V721" s="282" t="n"/>
      <c r="W721" s="282" t="n"/>
      <c r="X721" s="536" t="n"/>
      <c r="Y721" s="536" t="n"/>
      <c r="Z721" s="282" t="n"/>
      <c r="AA721" s="282" t="n"/>
      <c r="AB721" s="536" t="n"/>
      <c r="AC721" s="536" t="n"/>
      <c r="AD721" s="282" t="n"/>
      <c r="AE721" s="282" t="n"/>
      <c r="AF721" s="537" t="n"/>
      <c r="AG721" s="537" t="n"/>
      <c r="AH721" s="282" t="n"/>
      <c r="AI721" s="282" t="n"/>
      <c r="AJ721" s="537" t="n"/>
      <c r="AK721" s="537" t="n"/>
      <c r="AL721" s="282" t="n"/>
      <c r="AM721" s="282" t="n"/>
      <c r="AN721" s="282" t="n"/>
      <c r="AO721" s="282" t="n"/>
      <c r="AP721" s="282" t="n"/>
      <c r="AQ721" s="282" t="n"/>
      <c r="AR721" s="535" t="n"/>
      <c r="AS721" s="535" t="n"/>
      <c r="AT721" s="282" t="n"/>
      <c r="AU721" s="282" t="n"/>
    </row>
    <row customHeight="1" ht="15.75" r="722" s="452" spans="1:48">
      <c r="A722" s="44" t="n"/>
      <c r="D722" s="535" t="n"/>
      <c r="E722" s="535" t="n"/>
      <c r="F722" s="282" t="n"/>
      <c r="G722" s="282" t="n"/>
      <c r="H722" s="536" t="n"/>
      <c r="I722" s="535" t="n"/>
      <c r="J722" s="282" t="n"/>
      <c r="K722" s="282" t="n"/>
      <c r="L722" s="536" t="n"/>
      <c r="M722" s="535" t="n"/>
      <c r="N722" s="282" t="n"/>
      <c r="O722" s="282" t="n"/>
      <c r="P722" s="535" t="n"/>
      <c r="Q722" s="535" t="n"/>
      <c r="R722" s="282" t="n"/>
      <c r="S722" s="282" t="n"/>
      <c r="T722" s="535" t="n"/>
      <c r="U722" s="535" t="n"/>
      <c r="V722" s="282" t="n"/>
      <c r="W722" s="282" t="n"/>
      <c r="X722" s="536" t="n"/>
      <c r="Y722" s="536" t="n"/>
      <c r="Z722" s="282" t="n"/>
      <c r="AA722" s="282" t="n"/>
      <c r="AB722" s="536" t="n"/>
      <c r="AC722" s="536" t="n"/>
      <c r="AD722" s="282" t="n"/>
      <c r="AE722" s="282" t="n"/>
      <c r="AF722" s="537" t="n"/>
      <c r="AG722" s="537" t="n"/>
      <c r="AH722" s="282" t="n"/>
      <c r="AI722" s="282" t="n"/>
      <c r="AJ722" s="537" t="n"/>
      <c r="AK722" s="537" t="n"/>
      <c r="AL722" s="282" t="n"/>
      <c r="AM722" s="282" t="n"/>
      <c r="AN722" s="282" t="n"/>
      <c r="AO722" s="282" t="n"/>
      <c r="AP722" s="282" t="n"/>
      <c r="AQ722" s="282" t="n"/>
      <c r="AR722" s="535" t="n"/>
      <c r="AS722" s="535" t="n"/>
      <c r="AT722" s="282" t="n"/>
      <c r="AU722" s="282" t="n"/>
    </row>
    <row customHeight="1" ht="15.75" r="723" s="452" spans="1:48">
      <c r="A723" s="44" t="n"/>
      <c r="D723" s="535" t="n"/>
      <c r="E723" s="535" t="n"/>
      <c r="F723" s="282" t="n"/>
      <c r="G723" s="282" t="n"/>
      <c r="H723" s="536" t="n"/>
      <c r="I723" s="535" t="n"/>
      <c r="J723" s="282" t="n"/>
      <c r="K723" s="282" t="n"/>
      <c r="L723" s="536" t="n"/>
      <c r="M723" s="535" t="n"/>
      <c r="N723" s="282" t="n"/>
      <c r="O723" s="282" t="n"/>
      <c r="P723" s="535" t="n"/>
      <c r="Q723" s="535" t="n"/>
      <c r="R723" s="282" t="n"/>
      <c r="S723" s="282" t="n"/>
      <c r="T723" s="535" t="n"/>
      <c r="U723" s="535" t="n"/>
      <c r="V723" s="282" t="n"/>
      <c r="W723" s="282" t="n"/>
      <c r="X723" s="536" t="n"/>
      <c r="Y723" s="536" t="n"/>
      <c r="Z723" s="282" t="n"/>
      <c r="AA723" s="282" t="n"/>
      <c r="AB723" s="536" t="n"/>
      <c r="AC723" s="536" t="n"/>
      <c r="AD723" s="282" t="n"/>
      <c r="AE723" s="282" t="n"/>
      <c r="AF723" s="537" t="n"/>
      <c r="AG723" s="537" t="n"/>
      <c r="AH723" s="282" t="n"/>
      <c r="AI723" s="282" t="n"/>
      <c r="AJ723" s="537" t="n"/>
      <c r="AK723" s="537" t="n"/>
      <c r="AL723" s="282" t="n"/>
      <c r="AM723" s="282" t="n"/>
      <c r="AN723" s="282" t="n"/>
      <c r="AO723" s="282" t="n"/>
      <c r="AP723" s="282" t="n"/>
      <c r="AQ723" s="282" t="n"/>
      <c r="AR723" s="535" t="n"/>
      <c r="AS723" s="535" t="n"/>
      <c r="AT723" s="282" t="n"/>
      <c r="AU723" s="282" t="n"/>
    </row>
    <row customHeight="1" ht="15.75" r="724" s="452" spans="1:48">
      <c r="A724" s="44" t="n"/>
      <c r="D724" s="535" t="n"/>
      <c r="E724" s="535" t="n"/>
      <c r="F724" s="282" t="n"/>
      <c r="G724" s="282" t="n"/>
      <c r="H724" s="536" t="n"/>
      <c r="I724" s="535" t="n"/>
      <c r="J724" s="282" t="n"/>
      <c r="K724" s="282" t="n"/>
      <c r="L724" s="536" t="n"/>
      <c r="M724" s="535" t="n"/>
      <c r="N724" s="282" t="n"/>
      <c r="O724" s="282" t="n"/>
      <c r="P724" s="535" t="n"/>
      <c r="Q724" s="535" t="n"/>
      <c r="R724" s="282" t="n"/>
      <c r="S724" s="282" t="n"/>
      <c r="T724" s="535" t="n"/>
      <c r="U724" s="535" t="n"/>
      <c r="V724" s="282" t="n"/>
      <c r="W724" s="282" t="n"/>
      <c r="X724" s="536" t="n"/>
      <c r="Y724" s="536" t="n"/>
      <c r="Z724" s="282" t="n"/>
      <c r="AA724" s="282" t="n"/>
      <c r="AB724" s="536" t="n"/>
      <c r="AC724" s="536" t="n"/>
      <c r="AD724" s="282" t="n"/>
      <c r="AE724" s="282" t="n"/>
      <c r="AF724" s="537" t="n"/>
      <c r="AG724" s="537" t="n"/>
      <c r="AH724" s="282" t="n"/>
      <c r="AI724" s="282" t="n"/>
      <c r="AJ724" s="537" t="n"/>
      <c r="AK724" s="537" t="n"/>
      <c r="AL724" s="282" t="n"/>
      <c r="AM724" s="282" t="n"/>
      <c r="AN724" s="282" t="n"/>
      <c r="AO724" s="282" t="n"/>
      <c r="AP724" s="282" t="n"/>
      <c r="AQ724" s="282" t="n"/>
      <c r="AR724" s="535" t="n"/>
      <c r="AS724" s="535" t="n"/>
      <c r="AT724" s="282" t="n"/>
      <c r="AU724" s="282" t="n"/>
    </row>
    <row customHeight="1" ht="15.75" r="725" s="452" spans="1:48">
      <c r="A725" s="44" t="n"/>
      <c r="D725" s="535" t="n"/>
      <c r="E725" s="535" t="n"/>
      <c r="F725" s="282" t="n"/>
      <c r="G725" s="282" t="n"/>
      <c r="H725" s="536" t="n"/>
      <c r="I725" s="535" t="n"/>
      <c r="J725" s="282" t="n"/>
      <c r="K725" s="282" t="n"/>
      <c r="L725" s="536" t="n"/>
      <c r="M725" s="535" t="n"/>
      <c r="N725" s="282" t="n"/>
      <c r="O725" s="282" t="n"/>
      <c r="P725" s="535" t="n"/>
      <c r="Q725" s="535" t="n"/>
      <c r="R725" s="282" t="n"/>
      <c r="S725" s="282" t="n"/>
      <c r="T725" s="535" t="n"/>
      <c r="U725" s="535" t="n"/>
      <c r="V725" s="282" t="n"/>
      <c r="W725" s="282" t="n"/>
      <c r="X725" s="536" t="n"/>
      <c r="Y725" s="536" t="n"/>
      <c r="Z725" s="282" t="n"/>
      <c r="AA725" s="282" t="n"/>
      <c r="AB725" s="536" t="n"/>
      <c r="AC725" s="536" t="n"/>
      <c r="AD725" s="282" t="n"/>
      <c r="AE725" s="282" t="n"/>
      <c r="AF725" s="537" t="n"/>
      <c r="AG725" s="537" t="n"/>
      <c r="AH725" s="282" t="n"/>
      <c r="AI725" s="282" t="n"/>
      <c r="AJ725" s="537" t="n"/>
      <c r="AK725" s="537" t="n"/>
      <c r="AL725" s="282" t="n"/>
      <c r="AM725" s="282" t="n"/>
      <c r="AN725" s="282" t="n"/>
      <c r="AO725" s="282" t="n"/>
      <c r="AP725" s="282" t="n"/>
      <c r="AQ725" s="282" t="n"/>
      <c r="AR725" s="535" t="n"/>
      <c r="AS725" s="535" t="n"/>
      <c r="AT725" s="282" t="n"/>
      <c r="AU725" s="282" t="n"/>
    </row>
    <row customHeight="1" ht="15.75" r="726" s="452" spans="1:48">
      <c r="A726" s="44" t="n"/>
      <c r="D726" s="535" t="n"/>
      <c r="E726" s="535" t="n"/>
      <c r="F726" s="282" t="n"/>
      <c r="G726" s="282" t="n"/>
      <c r="H726" s="536" t="n"/>
      <c r="I726" s="535" t="n"/>
      <c r="J726" s="282" t="n"/>
      <c r="K726" s="282" t="n"/>
      <c r="L726" s="536" t="n"/>
      <c r="M726" s="535" t="n"/>
      <c r="N726" s="282" t="n"/>
      <c r="O726" s="282" t="n"/>
      <c r="P726" s="535" t="n"/>
      <c r="Q726" s="535" t="n"/>
      <c r="R726" s="282" t="n"/>
      <c r="S726" s="282" t="n"/>
      <c r="T726" s="535" t="n"/>
      <c r="U726" s="535" t="n"/>
      <c r="V726" s="282" t="n"/>
      <c r="W726" s="282" t="n"/>
      <c r="X726" s="536" t="n"/>
      <c r="Y726" s="536" t="n"/>
      <c r="Z726" s="282" t="n"/>
      <c r="AA726" s="282" t="n"/>
      <c r="AB726" s="536" t="n"/>
      <c r="AC726" s="536" t="n"/>
      <c r="AD726" s="282" t="n"/>
      <c r="AE726" s="282" t="n"/>
      <c r="AF726" s="537" t="n"/>
      <c r="AG726" s="537" t="n"/>
      <c r="AH726" s="282" t="n"/>
      <c r="AI726" s="282" t="n"/>
      <c r="AJ726" s="537" t="n"/>
      <c r="AK726" s="537" t="n"/>
      <c r="AL726" s="282" t="n"/>
      <c r="AM726" s="282" t="n"/>
      <c r="AN726" s="282" t="n"/>
      <c r="AO726" s="282" t="n"/>
      <c r="AP726" s="282" t="n"/>
      <c r="AQ726" s="282" t="n"/>
      <c r="AR726" s="535" t="n"/>
      <c r="AS726" s="535" t="n"/>
      <c r="AT726" s="282" t="n"/>
      <c r="AU726" s="282" t="n"/>
    </row>
    <row customHeight="1" ht="15.75" r="727" s="452" spans="1:48">
      <c r="A727" s="44" t="n"/>
      <c r="D727" s="535" t="n"/>
      <c r="E727" s="535" t="n"/>
      <c r="F727" s="282" t="n"/>
      <c r="G727" s="282" t="n"/>
      <c r="H727" s="536" t="n"/>
      <c r="I727" s="535" t="n"/>
      <c r="J727" s="282" t="n"/>
      <c r="K727" s="282" t="n"/>
      <c r="L727" s="536" t="n"/>
      <c r="M727" s="535" t="n"/>
      <c r="N727" s="282" t="n"/>
      <c r="O727" s="282" t="n"/>
      <c r="P727" s="535" t="n"/>
      <c r="Q727" s="535" t="n"/>
      <c r="R727" s="282" t="n"/>
      <c r="S727" s="282" t="n"/>
      <c r="T727" s="535" t="n"/>
      <c r="U727" s="535" t="n"/>
      <c r="V727" s="282" t="n"/>
      <c r="W727" s="282" t="n"/>
      <c r="X727" s="536" t="n"/>
      <c r="Y727" s="536" t="n"/>
      <c r="Z727" s="282" t="n"/>
      <c r="AA727" s="282" t="n"/>
      <c r="AB727" s="536" t="n"/>
      <c r="AC727" s="536" t="n"/>
      <c r="AD727" s="282" t="n"/>
      <c r="AE727" s="282" t="n"/>
      <c r="AF727" s="537" t="n"/>
      <c r="AG727" s="537" t="n"/>
      <c r="AH727" s="282" t="n"/>
      <c r="AI727" s="282" t="n"/>
      <c r="AJ727" s="537" t="n"/>
      <c r="AK727" s="537" t="n"/>
      <c r="AL727" s="282" t="n"/>
      <c r="AM727" s="282" t="n"/>
      <c r="AN727" s="282" t="n"/>
      <c r="AO727" s="282" t="n"/>
      <c r="AP727" s="282" t="n"/>
      <c r="AQ727" s="282" t="n"/>
      <c r="AR727" s="535" t="n"/>
      <c r="AS727" s="535" t="n"/>
      <c r="AT727" s="282" t="n"/>
      <c r="AU727" s="282" t="n"/>
    </row>
    <row customHeight="1" ht="15.75" r="728" s="452" spans="1:48">
      <c r="A728" s="44" t="n"/>
      <c r="D728" s="535" t="n"/>
      <c r="E728" s="535" t="n"/>
      <c r="F728" s="282" t="n"/>
      <c r="G728" s="282" t="n"/>
      <c r="H728" s="536" t="n"/>
      <c r="I728" s="535" t="n"/>
      <c r="J728" s="282" t="n"/>
      <c r="K728" s="282" t="n"/>
      <c r="L728" s="536" t="n"/>
      <c r="M728" s="535" t="n"/>
      <c r="N728" s="282" t="n"/>
      <c r="O728" s="282" t="n"/>
      <c r="P728" s="535" t="n"/>
      <c r="Q728" s="535" t="n"/>
      <c r="R728" s="282" t="n"/>
      <c r="S728" s="282" t="n"/>
      <c r="T728" s="535" t="n"/>
      <c r="U728" s="535" t="n"/>
      <c r="V728" s="282" t="n"/>
      <c r="W728" s="282" t="n"/>
      <c r="X728" s="536" t="n"/>
      <c r="Y728" s="536" t="n"/>
      <c r="Z728" s="282" t="n"/>
      <c r="AA728" s="282" t="n"/>
      <c r="AB728" s="536" t="n"/>
      <c r="AC728" s="536" t="n"/>
      <c r="AD728" s="282" t="n"/>
      <c r="AE728" s="282" t="n"/>
      <c r="AF728" s="537" t="n"/>
      <c r="AG728" s="537" t="n"/>
      <c r="AH728" s="282" t="n"/>
      <c r="AI728" s="282" t="n"/>
      <c r="AJ728" s="537" t="n"/>
      <c r="AK728" s="537" t="n"/>
      <c r="AL728" s="282" t="n"/>
      <c r="AM728" s="282" t="n"/>
      <c r="AN728" s="282" t="n"/>
      <c r="AO728" s="282" t="n"/>
      <c r="AP728" s="282" t="n"/>
      <c r="AQ728" s="282" t="n"/>
      <c r="AR728" s="535" t="n"/>
      <c r="AS728" s="535" t="n"/>
      <c r="AT728" s="282" t="n"/>
      <c r="AU728" s="282" t="n"/>
    </row>
    <row customHeight="1" ht="15.75" r="729" s="452" spans="1:48">
      <c r="A729" s="44" t="n"/>
      <c r="D729" s="535" t="n"/>
      <c r="E729" s="535" t="n"/>
      <c r="F729" s="282" t="n"/>
      <c r="G729" s="282" t="n"/>
      <c r="H729" s="536" t="n"/>
      <c r="I729" s="535" t="n"/>
      <c r="J729" s="282" t="n"/>
      <c r="K729" s="282" t="n"/>
      <c r="L729" s="536" t="n"/>
      <c r="M729" s="535" t="n"/>
      <c r="N729" s="282" t="n"/>
      <c r="O729" s="282" t="n"/>
      <c r="P729" s="535" t="n"/>
      <c r="Q729" s="535" t="n"/>
      <c r="R729" s="282" t="n"/>
      <c r="S729" s="282" t="n"/>
      <c r="T729" s="535" t="n"/>
      <c r="U729" s="535" t="n"/>
      <c r="V729" s="282" t="n"/>
      <c r="W729" s="282" t="n"/>
      <c r="X729" s="536" t="n"/>
      <c r="Y729" s="536" t="n"/>
      <c r="Z729" s="282" t="n"/>
      <c r="AA729" s="282" t="n"/>
      <c r="AB729" s="536" t="n"/>
      <c r="AC729" s="536" t="n"/>
      <c r="AD729" s="282" t="n"/>
      <c r="AE729" s="282" t="n"/>
      <c r="AF729" s="537" t="n"/>
      <c r="AG729" s="537" t="n"/>
      <c r="AH729" s="282" t="n"/>
      <c r="AI729" s="282" t="n"/>
      <c r="AJ729" s="537" t="n"/>
      <c r="AK729" s="537" t="n"/>
      <c r="AL729" s="282" t="n"/>
      <c r="AM729" s="282" t="n"/>
      <c r="AN729" s="282" t="n"/>
      <c r="AO729" s="282" t="n"/>
      <c r="AP729" s="282" t="n"/>
      <c r="AQ729" s="282" t="n"/>
      <c r="AR729" s="535" t="n"/>
      <c r="AS729" s="535" t="n"/>
      <c r="AT729" s="282" t="n"/>
      <c r="AU729" s="282" t="n"/>
    </row>
    <row customHeight="1" ht="15.75" r="730" s="452" spans="1:48">
      <c r="A730" s="44" t="n"/>
      <c r="D730" s="535" t="n"/>
      <c r="E730" s="535" t="n"/>
      <c r="F730" s="282" t="n"/>
      <c r="G730" s="282" t="n"/>
      <c r="H730" s="536" t="n"/>
      <c r="I730" s="535" t="n"/>
      <c r="J730" s="282" t="n"/>
      <c r="K730" s="282" t="n"/>
      <c r="L730" s="536" t="n"/>
      <c r="M730" s="535" t="n"/>
      <c r="N730" s="282" t="n"/>
      <c r="O730" s="282" t="n"/>
      <c r="P730" s="535" t="n"/>
      <c r="Q730" s="535" t="n"/>
      <c r="R730" s="282" t="n"/>
      <c r="S730" s="282" t="n"/>
      <c r="T730" s="535" t="n"/>
      <c r="U730" s="535" t="n"/>
      <c r="V730" s="282" t="n"/>
      <c r="W730" s="282" t="n"/>
      <c r="X730" s="536" t="n"/>
      <c r="Y730" s="536" t="n"/>
      <c r="Z730" s="282" t="n"/>
      <c r="AA730" s="282" t="n"/>
      <c r="AB730" s="536" t="n"/>
      <c r="AC730" s="536" t="n"/>
      <c r="AD730" s="282" t="n"/>
      <c r="AE730" s="282" t="n"/>
      <c r="AF730" s="537" t="n"/>
      <c r="AG730" s="537" t="n"/>
      <c r="AH730" s="282" t="n"/>
      <c r="AI730" s="282" t="n"/>
      <c r="AJ730" s="537" t="n"/>
      <c r="AK730" s="537" t="n"/>
      <c r="AL730" s="282" t="n"/>
      <c r="AM730" s="282" t="n"/>
      <c r="AN730" s="282" t="n"/>
      <c r="AO730" s="282" t="n"/>
      <c r="AP730" s="282" t="n"/>
      <c r="AQ730" s="282" t="n"/>
      <c r="AR730" s="535" t="n"/>
      <c r="AS730" s="535" t="n"/>
      <c r="AT730" s="282" t="n"/>
      <c r="AU730" s="282" t="n"/>
    </row>
    <row customHeight="1" ht="15.75" r="731" s="452" spans="1:48">
      <c r="A731" s="44" t="n"/>
      <c r="D731" s="535" t="n"/>
      <c r="E731" s="535" t="n"/>
      <c r="F731" s="282" t="n"/>
      <c r="G731" s="282" t="n"/>
      <c r="H731" s="536" t="n"/>
      <c r="I731" s="535" t="n"/>
      <c r="J731" s="282" t="n"/>
      <c r="K731" s="282" t="n"/>
      <c r="L731" s="536" t="n"/>
      <c r="M731" s="535" t="n"/>
      <c r="N731" s="282" t="n"/>
      <c r="O731" s="282" t="n"/>
      <c r="P731" s="535" t="n"/>
      <c r="Q731" s="535" t="n"/>
      <c r="R731" s="282" t="n"/>
      <c r="S731" s="282" t="n"/>
      <c r="T731" s="535" t="n"/>
      <c r="U731" s="535" t="n"/>
      <c r="V731" s="282" t="n"/>
      <c r="W731" s="282" t="n"/>
      <c r="X731" s="536" t="n"/>
      <c r="Y731" s="536" t="n"/>
      <c r="Z731" s="282" t="n"/>
      <c r="AA731" s="282" t="n"/>
      <c r="AB731" s="536" t="n"/>
      <c r="AC731" s="536" t="n"/>
      <c r="AD731" s="282" t="n"/>
      <c r="AE731" s="282" t="n"/>
      <c r="AF731" s="537" t="n"/>
      <c r="AG731" s="537" t="n"/>
      <c r="AH731" s="282" t="n"/>
      <c r="AI731" s="282" t="n"/>
      <c r="AJ731" s="537" t="n"/>
      <c r="AK731" s="537" t="n"/>
      <c r="AL731" s="282" t="n"/>
      <c r="AM731" s="282" t="n"/>
      <c r="AN731" s="282" t="n"/>
      <c r="AO731" s="282" t="n"/>
      <c r="AP731" s="282" t="n"/>
      <c r="AQ731" s="282" t="n"/>
      <c r="AR731" s="535" t="n"/>
      <c r="AS731" s="535" t="n"/>
      <c r="AT731" s="282" t="n"/>
      <c r="AU731" s="282" t="n"/>
    </row>
    <row customHeight="1" ht="15.75" r="732" s="452" spans="1:48">
      <c r="A732" s="44" t="n"/>
      <c r="D732" s="535" t="n"/>
      <c r="E732" s="535" t="n"/>
      <c r="F732" s="282" t="n"/>
      <c r="G732" s="282" t="n"/>
      <c r="H732" s="536" t="n"/>
      <c r="I732" s="535" t="n"/>
      <c r="J732" s="282" t="n"/>
      <c r="K732" s="282" t="n"/>
      <c r="L732" s="536" t="n"/>
      <c r="M732" s="535" t="n"/>
      <c r="N732" s="282" t="n"/>
      <c r="O732" s="282" t="n"/>
      <c r="P732" s="535" t="n"/>
      <c r="Q732" s="535" t="n"/>
      <c r="R732" s="282" t="n"/>
      <c r="S732" s="282" t="n"/>
      <c r="T732" s="535" t="n"/>
      <c r="U732" s="535" t="n"/>
      <c r="V732" s="282" t="n"/>
      <c r="W732" s="282" t="n"/>
      <c r="X732" s="536" t="n"/>
      <c r="Y732" s="536" t="n"/>
      <c r="Z732" s="282" t="n"/>
      <c r="AA732" s="282" t="n"/>
      <c r="AB732" s="536" t="n"/>
      <c r="AC732" s="536" t="n"/>
      <c r="AD732" s="282" t="n"/>
      <c r="AE732" s="282" t="n"/>
      <c r="AF732" s="537" t="n"/>
      <c r="AG732" s="537" t="n"/>
      <c r="AH732" s="282" t="n"/>
      <c r="AI732" s="282" t="n"/>
      <c r="AJ732" s="537" t="n"/>
      <c r="AK732" s="537" t="n"/>
      <c r="AL732" s="282" t="n"/>
      <c r="AM732" s="282" t="n"/>
      <c r="AN732" s="282" t="n"/>
      <c r="AO732" s="282" t="n"/>
      <c r="AP732" s="282" t="n"/>
      <c r="AQ732" s="282" t="n"/>
      <c r="AR732" s="535" t="n"/>
      <c r="AS732" s="535" t="n"/>
      <c r="AT732" s="282" t="n"/>
      <c r="AU732" s="282" t="n"/>
    </row>
    <row customHeight="1" ht="15.75" r="733" s="452" spans="1:48">
      <c r="A733" s="44" t="n"/>
      <c r="D733" s="535" t="n"/>
      <c r="E733" s="535" t="n"/>
      <c r="F733" s="282" t="n"/>
      <c r="G733" s="282" t="n"/>
      <c r="H733" s="536" t="n"/>
      <c r="I733" s="535" t="n"/>
      <c r="J733" s="282" t="n"/>
      <c r="K733" s="282" t="n"/>
      <c r="L733" s="536" t="n"/>
      <c r="M733" s="535" t="n"/>
      <c r="N733" s="282" t="n"/>
      <c r="O733" s="282" t="n"/>
      <c r="P733" s="535" t="n"/>
      <c r="Q733" s="535" t="n"/>
      <c r="R733" s="282" t="n"/>
      <c r="S733" s="282" t="n"/>
      <c r="T733" s="535" t="n"/>
      <c r="U733" s="535" t="n"/>
      <c r="V733" s="282" t="n"/>
      <c r="W733" s="282" t="n"/>
      <c r="X733" s="536" t="n"/>
      <c r="Y733" s="536" t="n"/>
      <c r="Z733" s="282" t="n"/>
      <c r="AA733" s="282" t="n"/>
      <c r="AB733" s="536" t="n"/>
      <c r="AC733" s="536" t="n"/>
      <c r="AD733" s="282" t="n"/>
      <c r="AE733" s="282" t="n"/>
      <c r="AF733" s="537" t="n"/>
      <c r="AG733" s="537" t="n"/>
      <c r="AH733" s="282" t="n"/>
      <c r="AI733" s="282" t="n"/>
      <c r="AJ733" s="537" t="n"/>
      <c r="AK733" s="537" t="n"/>
      <c r="AL733" s="282" t="n"/>
      <c r="AM733" s="282" t="n"/>
      <c r="AN733" s="282" t="n"/>
      <c r="AO733" s="282" t="n"/>
      <c r="AP733" s="282" t="n"/>
      <c r="AQ733" s="282" t="n"/>
      <c r="AR733" s="535" t="n"/>
      <c r="AS733" s="535" t="n"/>
      <c r="AT733" s="282" t="n"/>
      <c r="AU733" s="282" t="n"/>
    </row>
    <row customHeight="1" ht="15.75" r="734" s="452" spans="1:48">
      <c r="A734" s="44" t="n"/>
      <c r="D734" s="535" t="n"/>
      <c r="E734" s="535" t="n"/>
      <c r="F734" s="282" t="n"/>
      <c r="G734" s="282" t="n"/>
      <c r="H734" s="536" t="n"/>
      <c r="I734" s="535" t="n"/>
      <c r="J734" s="282" t="n"/>
      <c r="K734" s="282" t="n"/>
      <c r="L734" s="536" t="n"/>
      <c r="M734" s="535" t="n"/>
      <c r="N734" s="282" t="n"/>
      <c r="O734" s="282" t="n"/>
      <c r="P734" s="535" t="n"/>
      <c r="Q734" s="535" t="n"/>
      <c r="R734" s="282" t="n"/>
      <c r="S734" s="282" t="n"/>
      <c r="T734" s="535" t="n"/>
      <c r="U734" s="535" t="n"/>
      <c r="V734" s="282" t="n"/>
      <c r="W734" s="282" t="n"/>
      <c r="X734" s="536" t="n"/>
      <c r="Y734" s="536" t="n"/>
      <c r="Z734" s="282" t="n"/>
      <c r="AA734" s="282" t="n"/>
      <c r="AB734" s="536" t="n"/>
      <c r="AC734" s="536" t="n"/>
      <c r="AD734" s="282" t="n"/>
      <c r="AE734" s="282" t="n"/>
      <c r="AF734" s="537" t="n"/>
      <c r="AG734" s="537" t="n"/>
      <c r="AH734" s="282" t="n"/>
      <c r="AI734" s="282" t="n"/>
      <c r="AJ734" s="537" t="n"/>
      <c r="AK734" s="537" t="n"/>
      <c r="AL734" s="282" t="n"/>
      <c r="AM734" s="282" t="n"/>
      <c r="AN734" s="282" t="n"/>
      <c r="AO734" s="282" t="n"/>
      <c r="AP734" s="282" t="n"/>
      <c r="AQ734" s="282" t="n"/>
      <c r="AR734" s="535" t="n"/>
      <c r="AS734" s="535" t="n"/>
      <c r="AT734" s="282" t="n"/>
      <c r="AU734" s="282" t="n"/>
    </row>
    <row customHeight="1" ht="15.75" r="735" s="452" spans="1:48">
      <c r="A735" s="44" t="n"/>
      <c r="D735" s="535" t="n"/>
      <c r="E735" s="535" t="n"/>
      <c r="F735" s="282" t="n"/>
      <c r="G735" s="282" t="n"/>
      <c r="H735" s="536" t="n"/>
      <c r="I735" s="535" t="n"/>
      <c r="J735" s="282" t="n"/>
      <c r="K735" s="282" t="n"/>
      <c r="L735" s="536" t="n"/>
      <c r="M735" s="535" t="n"/>
      <c r="N735" s="282" t="n"/>
      <c r="O735" s="282" t="n"/>
      <c r="P735" s="535" t="n"/>
      <c r="Q735" s="535" t="n"/>
      <c r="R735" s="282" t="n"/>
      <c r="S735" s="282" t="n"/>
      <c r="T735" s="535" t="n"/>
      <c r="U735" s="535" t="n"/>
      <c r="V735" s="282" t="n"/>
      <c r="W735" s="282" t="n"/>
      <c r="X735" s="536" t="n"/>
      <c r="Y735" s="536" t="n"/>
      <c r="Z735" s="282" t="n"/>
      <c r="AA735" s="282" t="n"/>
      <c r="AB735" s="536" t="n"/>
      <c r="AC735" s="536" t="n"/>
      <c r="AD735" s="282" t="n"/>
      <c r="AE735" s="282" t="n"/>
      <c r="AF735" s="537" t="n"/>
      <c r="AG735" s="537" t="n"/>
      <c r="AH735" s="282" t="n"/>
      <c r="AI735" s="282" t="n"/>
      <c r="AJ735" s="537" t="n"/>
      <c r="AK735" s="537" t="n"/>
      <c r="AL735" s="282" t="n"/>
      <c r="AM735" s="282" t="n"/>
      <c r="AN735" s="282" t="n"/>
      <c r="AO735" s="282" t="n"/>
      <c r="AP735" s="282" t="n"/>
      <c r="AQ735" s="282" t="n"/>
      <c r="AR735" s="535" t="n"/>
      <c r="AS735" s="535" t="n"/>
      <c r="AT735" s="282" t="n"/>
      <c r="AU735" s="282" t="n"/>
    </row>
    <row customHeight="1" ht="15.75" r="736" s="452" spans="1:48">
      <c r="A736" s="44" t="n"/>
      <c r="D736" s="535" t="n"/>
      <c r="E736" s="535" t="n"/>
      <c r="F736" s="282" t="n"/>
      <c r="G736" s="282" t="n"/>
      <c r="H736" s="536" t="n"/>
      <c r="I736" s="535" t="n"/>
      <c r="J736" s="282" t="n"/>
      <c r="K736" s="282" t="n"/>
      <c r="L736" s="536" t="n"/>
      <c r="M736" s="535" t="n"/>
      <c r="N736" s="282" t="n"/>
      <c r="O736" s="282" t="n"/>
      <c r="P736" s="535" t="n"/>
      <c r="Q736" s="535" t="n"/>
      <c r="R736" s="282" t="n"/>
      <c r="S736" s="282" t="n"/>
      <c r="T736" s="535" t="n"/>
      <c r="U736" s="535" t="n"/>
      <c r="V736" s="282" t="n"/>
      <c r="W736" s="282" t="n"/>
      <c r="X736" s="536" t="n"/>
      <c r="Y736" s="536" t="n"/>
      <c r="Z736" s="282" t="n"/>
      <c r="AA736" s="282" t="n"/>
      <c r="AB736" s="536" t="n"/>
      <c r="AC736" s="536" t="n"/>
      <c r="AD736" s="282" t="n"/>
      <c r="AE736" s="282" t="n"/>
      <c r="AF736" s="537" t="n"/>
      <c r="AG736" s="537" t="n"/>
      <c r="AH736" s="282" t="n"/>
      <c r="AI736" s="282" t="n"/>
      <c r="AJ736" s="537" t="n"/>
      <c r="AK736" s="537" t="n"/>
      <c r="AL736" s="282" t="n"/>
      <c r="AM736" s="282" t="n"/>
      <c r="AN736" s="282" t="n"/>
      <c r="AO736" s="282" t="n"/>
      <c r="AP736" s="282" t="n"/>
      <c r="AQ736" s="282" t="n"/>
      <c r="AR736" s="535" t="n"/>
      <c r="AS736" s="535" t="n"/>
      <c r="AT736" s="282" t="n"/>
      <c r="AU736" s="282" t="n"/>
    </row>
    <row customHeight="1" ht="15.75" r="737" s="452" spans="1:48">
      <c r="A737" s="44" t="n"/>
      <c r="D737" s="535" t="n"/>
      <c r="E737" s="535" t="n"/>
      <c r="F737" s="282" t="n"/>
      <c r="G737" s="282" t="n"/>
      <c r="H737" s="536" t="n"/>
      <c r="I737" s="535" t="n"/>
      <c r="J737" s="282" t="n"/>
      <c r="K737" s="282" t="n"/>
      <c r="L737" s="536" t="n"/>
      <c r="M737" s="535" t="n"/>
      <c r="N737" s="282" t="n"/>
      <c r="O737" s="282" t="n"/>
      <c r="P737" s="535" t="n"/>
      <c r="Q737" s="535" t="n"/>
      <c r="R737" s="282" t="n"/>
      <c r="S737" s="282" t="n"/>
      <c r="T737" s="535" t="n"/>
      <c r="U737" s="535" t="n"/>
      <c r="V737" s="282" t="n"/>
      <c r="W737" s="282" t="n"/>
      <c r="X737" s="536" t="n"/>
      <c r="Y737" s="536" t="n"/>
      <c r="Z737" s="282" t="n"/>
      <c r="AA737" s="282" t="n"/>
      <c r="AB737" s="536" t="n"/>
      <c r="AC737" s="536" t="n"/>
      <c r="AD737" s="282" t="n"/>
      <c r="AE737" s="282" t="n"/>
      <c r="AF737" s="537" t="n"/>
      <c r="AG737" s="537" t="n"/>
      <c r="AH737" s="282" t="n"/>
      <c r="AI737" s="282" t="n"/>
      <c r="AJ737" s="537" t="n"/>
      <c r="AK737" s="537" t="n"/>
      <c r="AL737" s="282" t="n"/>
      <c r="AM737" s="282" t="n"/>
      <c r="AN737" s="282" t="n"/>
      <c r="AO737" s="282" t="n"/>
      <c r="AP737" s="282" t="n"/>
      <c r="AQ737" s="282" t="n"/>
      <c r="AR737" s="535" t="n"/>
      <c r="AS737" s="535" t="n"/>
      <c r="AT737" s="282" t="n"/>
      <c r="AU737" s="282" t="n"/>
    </row>
    <row customHeight="1" ht="15.75" r="738" s="452" spans="1:48">
      <c r="A738" s="44" t="n"/>
      <c r="D738" s="535" t="n"/>
      <c r="E738" s="535" t="n"/>
      <c r="F738" s="282" t="n"/>
      <c r="G738" s="282" t="n"/>
      <c r="H738" s="536" t="n"/>
      <c r="I738" s="535" t="n"/>
      <c r="J738" s="282" t="n"/>
      <c r="K738" s="282" t="n"/>
      <c r="L738" s="536" t="n"/>
      <c r="M738" s="535" t="n"/>
      <c r="N738" s="282" t="n"/>
      <c r="O738" s="282" t="n"/>
      <c r="P738" s="535" t="n"/>
      <c r="Q738" s="535" t="n"/>
      <c r="R738" s="282" t="n"/>
      <c r="S738" s="282" t="n"/>
      <c r="T738" s="535" t="n"/>
      <c r="U738" s="535" t="n"/>
      <c r="V738" s="282" t="n"/>
      <c r="W738" s="282" t="n"/>
      <c r="X738" s="536" t="n"/>
      <c r="Y738" s="536" t="n"/>
      <c r="Z738" s="282" t="n"/>
      <c r="AA738" s="282" t="n"/>
      <c r="AB738" s="536" t="n"/>
      <c r="AC738" s="536" t="n"/>
      <c r="AD738" s="282" t="n"/>
      <c r="AE738" s="282" t="n"/>
      <c r="AF738" s="537" t="n"/>
      <c r="AG738" s="537" t="n"/>
      <c r="AH738" s="282" t="n"/>
      <c r="AI738" s="282" t="n"/>
      <c r="AJ738" s="537" t="n"/>
      <c r="AK738" s="537" t="n"/>
      <c r="AL738" s="282" t="n"/>
      <c r="AM738" s="282" t="n"/>
      <c r="AN738" s="282" t="n"/>
      <c r="AO738" s="282" t="n"/>
      <c r="AP738" s="282" t="n"/>
      <c r="AQ738" s="282" t="n"/>
      <c r="AR738" s="535" t="n"/>
      <c r="AS738" s="535" t="n"/>
      <c r="AT738" s="282" t="n"/>
      <c r="AU738" s="282" t="n"/>
    </row>
    <row customHeight="1" ht="15.75" r="739" s="452" spans="1:48">
      <c r="A739" s="44" t="n"/>
      <c r="D739" s="535" t="n"/>
      <c r="E739" s="535" t="n"/>
      <c r="F739" s="282" t="n"/>
      <c r="G739" s="282" t="n"/>
      <c r="H739" s="536" t="n"/>
      <c r="I739" s="535" t="n"/>
      <c r="J739" s="282" t="n"/>
      <c r="K739" s="282" t="n"/>
      <c r="L739" s="536" t="n"/>
      <c r="M739" s="535" t="n"/>
      <c r="N739" s="282" t="n"/>
      <c r="O739" s="282" t="n"/>
      <c r="P739" s="535" t="n"/>
      <c r="Q739" s="535" t="n"/>
      <c r="R739" s="282" t="n"/>
      <c r="S739" s="282" t="n"/>
      <c r="T739" s="535" t="n"/>
      <c r="U739" s="535" t="n"/>
      <c r="V739" s="282" t="n"/>
      <c r="W739" s="282" t="n"/>
      <c r="X739" s="536" t="n"/>
      <c r="Y739" s="536" t="n"/>
      <c r="Z739" s="282" t="n"/>
      <c r="AA739" s="282" t="n"/>
      <c r="AB739" s="536" t="n"/>
      <c r="AC739" s="536" t="n"/>
      <c r="AD739" s="282" t="n"/>
      <c r="AE739" s="282" t="n"/>
      <c r="AF739" s="537" t="n"/>
      <c r="AG739" s="537" t="n"/>
      <c r="AH739" s="282" t="n"/>
      <c r="AI739" s="282" t="n"/>
      <c r="AJ739" s="537" t="n"/>
      <c r="AK739" s="537" t="n"/>
      <c r="AL739" s="282" t="n"/>
      <c r="AM739" s="282" t="n"/>
      <c r="AN739" s="282" t="n"/>
      <c r="AO739" s="282" t="n"/>
      <c r="AP739" s="282" t="n"/>
      <c r="AQ739" s="282" t="n"/>
      <c r="AR739" s="535" t="n"/>
      <c r="AS739" s="535" t="n"/>
      <c r="AT739" s="282" t="n"/>
      <c r="AU739" s="282" t="n"/>
    </row>
    <row customHeight="1" ht="15.75" r="740" s="452" spans="1:48">
      <c r="A740" s="44" t="n"/>
      <c r="D740" s="535" t="n"/>
      <c r="E740" s="535" t="n"/>
      <c r="F740" s="282" t="n"/>
      <c r="G740" s="282" t="n"/>
      <c r="H740" s="536" t="n"/>
      <c r="I740" s="535" t="n"/>
      <c r="J740" s="282" t="n"/>
      <c r="K740" s="282" t="n"/>
      <c r="L740" s="536" t="n"/>
      <c r="M740" s="535" t="n"/>
      <c r="N740" s="282" t="n"/>
      <c r="O740" s="282" t="n"/>
      <c r="P740" s="535" t="n"/>
      <c r="Q740" s="535" t="n"/>
      <c r="R740" s="282" t="n"/>
      <c r="S740" s="282" t="n"/>
      <c r="T740" s="535" t="n"/>
      <c r="U740" s="535" t="n"/>
      <c r="V740" s="282" t="n"/>
      <c r="W740" s="282" t="n"/>
      <c r="X740" s="536" t="n"/>
      <c r="Y740" s="536" t="n"/>
      <c r="Z740" s="282" t="n"/>
      <c r="AA740" s="282" t="n"/>
      <c r="AB740" s="536" t="n"/>
      <c r="AC740" s="536" t="n"/>
      <c r="AD740" s="282" t="n"/>
      <c r="AE740" s="282" t="n"/>
      <c r="AF740" s="537" t="n"/>
      <c r="AG740" s="537" t="n"/>
      <c r="AH740" s="282" t="n"/>
      <c r="AI740" s="282" t="n"/>
      <c r="AJ740" s="537" t="n"/>
      <c r="AK740" s="537" t="n"/>
      <c r="AL740" s="282" t="n"/>
      <c r="AM740" s="282" t="n"/>
      <c r="AN740" s="282" t="n"/>
      <c r="AO740" s="282" t="n"/>
      <c r="AP740" s="282" t="n"/>
      <c r="AQ740" s="282" t="n"/>
      <c r="AR740" s="535" t="n"/>
      <c r="AS740" s="535" t="n"/>
      <c r="AT740" s="282" t="n"/>
      <c r="AU740" s="282" t="n"/>
    </row>
    <row customHeight="1" ht="15.75" r="741" s="452" spans="1:48">
      <c r="A741" s="44" t="n"/>
      <c r="D741" s="535" t="n"/>
      <c r="E741" s="535" t="n"/>
      <c r="F741" s="282" t="n"/>
      <c r="G741" s="282" t="n"/>
      <c r="H741" s="536" t="n"/>
      <c r="I741" s="535" t="n"/>
      <c r="J741" s="282" t="n"/>
      <c r="K741" s="282" t="n"/>
      <c r="L741" s="536" t="n"/>
      <c r="M741" s="535" t="n"/>
      <c r="N741" s="282" t="n"/>
      <c r="O741" s="282" t="n"/>
      <c r="P741" s="535" t="n"/>
      <c r="Q741" s="535" t="n"/>
      <c r="R741" s="282" t="n"/>
      <c r="S741" s="282" t="n"/>
      <c r="T741" s="535" t="n"/>
      <c r="U741" s="535" t="n"/>
      <c r="V741" s="282" t="n"/>
      <c r="W741" s="282" t="n"/>
      <c r="X741" s="536" t="n"/>
      <c r="Y741" s="536" t="n"/>
      <c r="Z741" s="282" t="n"/>
      <c r="AA741" s="282" t="n"/>
      <c r="AB741" s="536" t="n"/>
      <c r="AC741" s="536" t="n"/>
      <c r="AD741" s="282" t="n"/>
      <c r="AE741" s="282" t="n"/>
      <c r="AF741" s="537" t="n"/>
      <c r="AG741" s="537" t="n"/>
      <c r="AH741" s="282" t="n"/>
      <c r="AI741" s="282" t="n"/>
      <c r="AJ741" s="537" t="n"/>
      <c r="AK741" s="537" t="n"/>
      <c r="AL741" s="282" t="n"/>
      <c r="AM741" s="282" t="n"/>
      <c r="AN741" s="282" t="n"/>
      <c r="AO741" s="282" t="n"/>
      <c r="AP741" s="282" t="n"/>
      <c r="AQ741" s="282" t="n"/>
      <c r="AR741" s="535" t="n"/>
      <c r="AS741" s="535" t="n"/>
      <c r="AT741" s="282" t="n"/>
      <c r="AU741" s="282" t="n"/>
    </row>
    <row customHeight="1" ht="15.75" r="742" s="452" spans="1:48">
      <c r="A742" s="44" t="n"/>
      <c r="D742" s="535" t="n"/>
      <c r="E742" s="535" t="n"/>
      <c r="F742" s="282" t="n"/>
      <c r="G742" s="282" t="n"/>
      <c r="H742" s="536" t="n"/>
      <c r="I742" s="535" t="n"/>
      <c r="J742" s="282" t="n"/>
      <c r="K742" s="282" t="n"/>
      <c r="L742" s="536" t="n"/>
      <c r="M742" s="535" t="n"/>
      <c r="N742" s="282" t="n"/>
      <c r="O742" s="282" t="n"/>
      <c r="P742" s="535" t="n"/>
      <c r="Q742" s="535" t="n"/>
      <c r="R742" s="282" t="n"/>
      <c r="S742" s="282" t="n"/>
      <c r="T742" s="535" t="n"/>
      <c r="U742" s="535" t="n"/>
      <c r="V742" s="282" t="n"/>
      <c r="W742" s="282" t="n"/>
      <c r="X742" s="536" t="n"/>
      <c r="Y742" s="536" t="n"/>
      <c r="Z742" s="282" t="n"/>
      <c r="AA742" s="282" t="n"/>
      <c r="AB742" s="536" t="n"/>
      <c r="AC742" s="536" t="n"/>
      <c r="AD742" s="282" t="n"/>
      <c r="AE742" s="282" t="n"/>
      <c r="AF742" s="537" t="n"/>
      <c r="AG742" s="537" t="n"/>
      <c r="AH742" s="282" t="n"/>
      <c r="AI742" s="282" t="n"/>
      <c r="AJ742" s="537" t="n"/>
      <c r="AK742" s="537" t="n"/>
      <c r="AL742" s="282" t="n"/>
      <c r="AM742" s="282" t="n"/>
      <c r="AN742" s="282" t="n"/>
      <c r="AO742" s="282" t="n"/>
      <c r="AP742" s="282" t="n"/>
      <c r="AQ742" s="282" t="n"/>
      <c r="AR742" s="535" t="n"/>
      <c r="AS742" s="535" t="n"/>
      <c r="AT742" s="282" t="n"/>
      <c r="AU742" s="282" t="n"/>
    </row>
    <row customHeight="1" ht="15.75" r="743" s="452" spans="1:48">
      <c r="A743" s="44" t="n"/>
      <c r="D743" s="535" t="n"/>
      <c r="E743" s="535" t="n"/>
      <c r="F743" s="282" t="n"/>
      <c r="G743" s="282" t="n"/>
      <c r="H743" s="536" t="n"/>
      <c r="I743" s="535" t="n"/>
      <c r="J743" s="282" t="n"/>
      <c r="K743" s="282" t="n"/>
      <c r="L743" s="536" t="n"/>
      <c r="M743" s="535" t="n"/>
      <c r="N743" s="282" t="n"/>
      <c r="O743" s="282" t="n"/>
      <c r="P743" s="535" t="n"/>
      <c r="Q743" s="535" t="n"/>
      <c r="R743" s="282" t="n"/>
      <c r="S743" s="282" t="n"/>
      <c r="T743" s="535" t="n"/>
      <c r="U743" s="535" t="n"/>
      <c r="V743" s="282" t="n"/>
      <c r="W743" s="282" t="n"/>
      <c r="X743" s="536" t="n"/>
      <c r="Y743" s="536" t="n"/>
      <c r="Z743" s="282" t="n"/>
      <c r="AA743" s="282" t="n"/>
      <c r="AB743" s="536" t="n"/>
      <c r="AC743" s="536" t="n"/>
      <c r="AD743" s="282" t="n"/>
      <c r="AE743" s="282" t="n"/>
      <c r="AF743" s="537" t="n"/>
      <c r="AG743" s="537" t="n"/>
      <c r="AH743" s="282" t="n"/>
      <c r="AI743" s="282" t="n"/>
      <c r="AJ743" s="537" t="n"/>
      <c r="AK743" s="537" t="n"/>
      <c r="AL743" s="282" t="n"/>
      <c r="AM743" s="282" t="n"/>
      <c r="AN743" s="282" t="n"/>
      <c r="AO743" s="282" t="n"/>
      <c r="AP743" s="282" t="n"/>
      <c r="AQ743" s="282" t="n"/>
      <c r="AR743" s="535" t="n"/>
      <c r="AS743" s="535" t="n"/>
      <c r="AT743" s="282" t="n"/>
      <c r="AU743" s="282" t="n"/>
    </row>
    <row customHeight="1" ht="15.75" r="744" s="452" spans="1:48">
      <c r="A744" s="44" t="n"/>
      <c r="D744" s="535" t="n"/>
      <c r="E744" s="535" t="n"/>
      <c r="F744" s="282" t="n"/>
      <c r="G744" s="282" t="n"/>
      <c r="H744" s="536" t="n"/>
      <c r="I744" s="535" t="n"/>
      <c r="J744" s="282" t="n"/>
      <c r="K744" s="282" t="n"/>
      <c r="L744" s="536" t="n"/>
      <c r="M744" s="535" t="n"/>
      <c r="N744" s="282" t="n"/>
      <c r="O744" s="282" t="n"/>
      <c r="P744" s="535" t="n"/>
      <c r="Q744" s="535" t="n"/>
      <c r="R744" s="282" t="n"/>
      <c r="S744" s="282" t="n"/>
      <c r="T744" s="535" t="n"/>
      <c r="U744" s="535" t="n"/>
      <c r="V744" s="282" t="n"/>
      <c r="W744" s="282" t="n"/>
      <c r="X744" s="536" t="n"/>
      <c r="Y744" s="536" t="n"/>
      <c r="Z744" s="282" t="n"/>
      <c r="AA744" s="282" t="n"/>
      <c r="AB744" s="536" t="n"/>
      <c r="AC744" s="536" t="n"/>
      <c r="AD744" s="282" t="n"/>
      <c r="AE744" s="282" t="n"/>
      <c r="AF744" s="537" t="n"/>
      <c r="AG744" s="537" t="n"/>
      <c r="AH744" s="282" t="n"/>
      <c r="AI744" s="282" t="n"/>
      <c r="AJ744" s="537" t="n"/>
      <c r="AK744" s="537" t="n"/>
      <c r="AL744" s="282" t="n"/>
      <c r="AM744" s="282" t="n"/>
      <c r="AN744" s="282" t="n"/>
      <c r="AO744" s="282" t="n"/>
      <c r="AP744" s="282" t="n"/>
      <c r="AQ744" s="282" t="n"/>
      <c r="AR744" s="535" t="n"/>
      <c r="AS744" s="535" t="n"/>
      <c r="AT744" s="282" t="n"/>
      <c r="AU744" s="282" t="n"/>
    </row>
    <row customHeight="1" ht="15.75" r="745" s="452" spans="1:48">
      <c r="A745" s="44" t="n"/>
      <c r="D745" s="535" t="n"/>
      <c r="E745" s="535" t="n"/>
      <c r="F745" s="282" t="n"/>
      <c r="G745" s="282" t="n"/>
      <c r="H745" s="536" t="n"/>
      <c r="I745" s="535" t="n"/>
      <c r="J745" s="282" t="n"/>
      <c r="K745" s="282" t="n"/>
      <c r="L745" s="536" t="n"/>
      <c r="M745" s="535" t="n"/>
      <c r="N745" s="282" t="n"/>
      <c r="O745" s="282" t="n"/>
      <c r="P745" s="535" t="n"/>
      <c r="Q745" s="535" t="n"/>
      <c r="R745" s="282" t="n"/>
      <c r="S745" s="282" t="n"/>
      <c r="T745" s="535" t="n"/>
      <c r="U745" s="535" t="n"/>
      <c r="V745" s="282" t="n"/>
      <c r="W745" s="282" t="n"/>
      <c r="X745" s="536" t="n"/>
      <c r="Y745" s="536" t="n"/>
      <c r="Z745" s="282" t="n"/>
      <c r="AA745" s="282" t="n"/>
      <c r="AB745" s="536" t="n"/>
      <c r="AC745" s="536" t="n"/>
      <c r="AD745" s="282" t="n"/>
      <c r="AE745" s="282" t="n"/>
      <c r="AF745" s="537" t="n"/>
      <c r="AG745" s="537" t="n"/>
      <c r="AH745" s="282" t="n"/>
      <c r="AI745" s="282" t="n"/>
      <c r="AJ745" s="537" t="n"/>
      <c r="AK745" s="537" t="n"/>
      <c r="AL745" s="282" t="n"/>
      <c r="AM745" s="282" t="n"/>
      <c r="AN745" s="282" t="n"/>
      <c r="AO745" s="282" t="n"/>
      <c r="AP745" s="282" t="n"/>
      <c r="AQ745" s="282" t="n"/>
      <c r="AR745" s="535" t="n"/>
      <c r="AS745" s="535" t="n"/>
      <c r="AT745" s="282" t="n"/>
      <c r="AU745" s="282" t="n"/>
    </row>
    <row customHeight="1" ht="15.75" r="746" s="452" spans="1:48">
      <c r="A746" s="44" t="n"/>
      <c r="D746" s="535" t="n"/>
      <c r="E746" s="535" t="n"/>
      <c r="F746" s="282" t="n"/>
      <c r="G746" s="282" t="n"/>
      <c r="H746" s="536" t="n"/>
      <c r="I746" s="535" t="n"/>
      <c r="J746" s="282" t="n"/>
      <c r="K746" s="282" t="n"/>
      <c r="L746" s="536" t="n"/>
      <c r="M746" s="535" t="n"/>
      <c r="N746" s="282" t="n"/>
      <c r="O746" s="282" t="n"/>
      <c r="P746" s="535" t="n"/>
      <c r="Q746" s="535" t="n"/>
      <c r="R746" s="282" t="n"/>
      <c r="S746" s="282" t="n"/>
      <c r="T746" s="535" t="n"/>
      <c r="U746" s="535" t="n"/>
      <c r="V746" s="282" t="n"/>
      <c r="W746" s="282" t="n"/>
      <c r="X746" s="536" t="n"/>
      <c r="Y746" s="536" t="n"/>
      <c r="Z746" s="282" t="n"/>
      <c r="AA746" s="282" t="n"/>
      <c r="AB746" s="536" t="n"/>
      <c r="AC746" s="536" t="n"/>
      <c r="AD746" s="282" t="n"/>
      <c r="AE746" s="282" t="n"/>
      <c r="AF746" s="537" t="n"/>
      <c r="AG746" s="537" t="n"/>
      <c r="AH746" s="282" t="n"/>
      <c r="AI746" s="282" t="n"/>
      <c r="AJ746" s="537" t="n"/>
      <c r="AK746" s="537" t="n"/>
      <c r="AL746" s="282" t="n"/>
      <c r="AM746" s="282" t="n"/>
      <c r="AN746" s="282" t="n"/>
      <c r="AO746" s="282" t="n"/>
      <c r="AP746" s="282" t="n"/>
      <c r="AQ746" s="282" t="n"/>
      <c r="AR746" s="535" t="n"/>
      <c r="AS746" s="535" t="n"/>
      <c r="AT746" s="282" t="n"/>
      <c r="AU746" s="282" t="n"/>
    </row>
    <row customHeight="1" ht="15.75" r="747" s="452" spans="1:48">
      <c r="A747" s="44" t="n"/>
      <c r="D747" s="535" t="n"/>
      <c r="E747" s="535" t="n"/>
      <c r="F747" s="282" t="n"/>
      <c r="G747" s="282" t="n"/>
      <c r="H747" s="536" t="n"/>
      <c r="I747" s="535" t="n"/>
      <c r="J747" s="282" t="n"/>
      <c r="K747" s="282" t="n"/>
      <c r="L747" s="536" t="n"/>
      <c r="M747" s="535" t="n"/>
      <c r="N747" s="282" t="n"/>
      <c r="O747" s="282" t="n"/>
      <c r="P747" s="535" t="n"/>
      <c r="Q747" s="535" t="n"/>
      <c r="R747" s="282" t="n"/>
      <c r="S747" s="282" t="n"/>
      <c r="T747" s="535" t="n"/>
      <c r="U747" s="535" t="n"/>
      <c r="V747" s="282" t="n"/>
      <c r="W747" s="282" t="n"/>
      <c r="X747" s="536" t="n"/>
      <c r="Y747" s="536" t="n"/>
      <c r="Z747" s="282" t="n"/>
      <c r="AA747" s="282" t="n"/>
      <c r="AB747" s="536" t="n"/>
      <c r="AC747" s="536" t="n"/>
      <c r="AD747" s="282" t="n"/>
      <c r="AE747" s="282" t="n"/>
      <c r="AF747" s="537" t="n"/>
      <c r="AG747" s="537" t="n"/>
      <c r="AH747" s="282" t="n"/>
      <c r="AI747" s="282" t="n"/>
      <c r="AJ747" s="537" t="n"/>
      <c r="AK747" s="537" t="n"/>
      <c r="AL747" s="282" t="n"/>
      <c r="AM747" s="282" t="n"/>
      <c r="AN747" s="282" t="n"/>
      <c r="AO747" s="282" t="n"/>
      <c r="AP747" s="282" t="n"/>
      <c r="AQ747" s="282" t="n"/>
      <c r="AR747" s="535" t="n"/>
      <c r="AS747" s="535" t="n"/>
      <c r="AT747" s="282" t="n"/>
      <c r="AU747" s="282" t="n"/>
    </row>
    <row customHeight="1" ht="15.75" r="748" s="452" spans="1:48">
      <c r="A748" s="44" t="n"/>
      <c r="D748" s="535" t="n"/>
      <c r="E748" s="535" t="n"/>
      <c r="F748" s="282" t="n"/>
      <c r="G748" s="282" t="n"/>
      <c r="H748" s="536" t="n"/>
      <c r="I748" s="535" t="n"/>
      <c r="J748" s="282" t="n"/>
      <c r="K748" s="282" t="n"/>
      <c r="L748" s="536" t="n"/>
      <c r="M748" s="535" t="n"/>
      <c r="N748" s="282" t="n"/>
      <c r="O748" s="282" t="n"/>
      <c r="P748" s="535" t="n"/>
      <c r="Q748" s="535" t="n"/>
      <c r="R748" s="282" t="n"/>
      <c r="S748" s="282" t="n"/>
      <c r="T748" s="535" t="n"/>
      <c r="U748" s="535" t="n"/>
      <c r="V748" s="282" t="n"/>
      <c r="W748" s="282" t="n"/>
      <c r="X748" s="536" t="n"/>
      <c r="Y748" s="536" t="n"/>
      <c r="Z748" s="282" t="n"/>
      <c r="AA748" s="282" t="n"/>
      <c r="AB748" s="536" t="n"/>
      <c r="AC748" s="536" t="n"/>
      <c r="AD748" s="282" t="n"/>
      <c r="AE748" s="282" t="n"/>
      <c r="AF748" s="537" t="n"/>
      <c r="AG748" s="537" t="n"/>
      <c r="AH748" s="282" t="n"/>
      <c r="AI748" s="282" t="n"/>
      <c r="AJ748" s="537" t="n"/>
      <c r="AK748" s="537" t="n"/>
      <c r="AL748" s="282" t="n"/>
      <c r="AM748" s="282" t="n"/>
      <c r="AN748" s="282" t="n"/>
      <c r="AO748" s="282" t="n"/>
      <c r="AP748" s="282" t="n"/>
      <c r="AQ748" s="282" t="n"/>
      <c r="AR748" s="535" t="n"/>
      <c r="AS748" s="535" t="n"/>
      <c r="AT748" s="282" t="n"/>
      <c r="AU748" s="282" t="n"/>
    </row>
    <row customHeight="1" ht="15.75" r="749" s="452" spans="1:48">
      <c r="A749" s="44" t="n"/>
      <c r="D749" s="535" t="n"/>
      <c r="E749" s="535" t="n"/>
      <c r="F749" s="282" t="n"/>
      <c r="G749" s="282" t="n"/>
      <c r="H749" s="536" t="n"/>
      <c r="I749" s="535" t="n"/>
      <c r="J749" s="282" t="n"/>
      <c r="K749" s="282" t="n"/>
      <c r="L749" s="536" t="n"/>
      <c r="M749" s="535" t="n"/>
      <c r="N749" s="282" t="n"/>
      <c r="O749" s="282" t="n"/>
      <c r="P749" s="535" t="n"/>
      <c r="Q749" s="535" t="n"/>
      <c r="R749" s="282" t="n"/>
      <c r="S749" s="282" t="n"/>
      <c r="T749" s="535" t="n"/>
      <c r="U749" s="535" t="n"/>
      <c r="V749" s="282" t="n"/>
      <c r="W749" s="282" t="n"/>
      <c r="X749" s="536" t="n"/>
      <c r="Y749" s="536" t="n"/>
      <c r="Z749" s="282" t="n"/>
      <c r="AA749" s="282" t="n"/>
      <c r="AB749" s="536" t="n"/>
      <c r="AC749" s="536" t="n"/>
      <c r="AD749" s="282" t="n"/>
      <c r="AE749" s="282" t="n"/>
      <c r="AF749" s="537" t="n"/>
      <c r="AG749" s="537" t="n"/>
      <c r="AH749" s="282" t="n"/>
      <c r="AI749" s="282" t="n"/>
      <c r="AJ749" s="537" t="n"/>
      <c r="AK749" s="537" t="n"/>
      <c r="AL749" s="282" t="n"/>
      <c r="AM749" s="282" t="n"/>
      <c r="AN749" s="282" t="n"/>
      <c r="AO749" s="282" t="n"/>
      <c r="AP749" s="282" t="n"/>
      <c r="AQ749" s="282" t="n"/>
      <c r="AR749" s="535" t="n"/>
      <c r="AS749" s="535" t="n"/>
      <c r="AT749" s="282" t="n"/>
      <c r="AU749" s="282" t="n"/>
    </row>
    <row customHeight="1" ht="15.75" r="750" s="452" spans="1:48">
      <c r="A750" s="44" t="n"/>
      <c r="D750" s="535" t="n"/>
      <c r="E750" s="535" t="n"/>
      <c r="F750" s="282" t="n"/>
      <c r="G750" s="282" t="n"/>
      <c r="H750" s="536" t="n"/>
      <c r="I750" s="535" t="n"/>
      <c r="J750" s="282" t="n"/>
      <c r="K750" s="282" t="n"/>
      <c r="L750" s="536" t="n"/>
      <c r="M750" s="535" t="n"/>
      <c r="N750" s="282" t="n"/>
      <c r="O750" s="282" t="n"/>
      <c r="P750" s="535" t="n"/>
      <c r="Q750" s="535" t="n"/>
      <c r="R750" s="282" t="n"/>
      <c r="S750" s="282" t="n"/>
      <c r="T750" s="535" t="n"/>
      <c r="U750" s="535" t="n"/>
      <c r="V750" s="282" t="n"/>
      <c r="W750" s="282" t="n"/>
      <c r="X750" s="536" t="n"/>
      <c r="Y750" s="536" t="n"/>
      <c r="Z750" s="282" t="n"/>
      <c r="AA750" s="282" t="n"/>
      <c r="AB750" s="536" t="n"/>
      <c r="AC750" s="536" t="n"/>
      <c r="AD750" s="282" t="n"/>
      <c r="AE750" s="282" t="n"/>
      <c r="AF750" s="537" t="n"/>
      <c r="AG750" s="537" t="n"/>
      <c r="AH750" s="282" t="n"/>
      <c r="AI750" s="282" t="n"/>
      <c r="AJ750" s="537" t="n"/>
      <c r="AK750" s="537" t="n"/>
      <c r="AL750" s="282" t="n"/>
      <c r="AM750" s="282" t="n"/>
      <c r="AN750" s="282" t="n"/>
      <c r="AO750" s="282" t="n"/>
      <c r="AP750" s="282" t="n"/>
      <c r="AQ750" s="282" t="n"/>
      <c r="AR750" s="535" t="n"/>
      <c r="AS750" s="535" t="n"/>
      <c r="AT750" s="282" t="n"/>
      <c r="AU750" s="282" t="n"/>
    </row>
    <row customHeight="1" ht="15.75" r="751" s="452" spans="1:48">
      <c r="A751" s="44" t="n"/>
      <c r="D751" s="535" t="n"/>
      <c r="E751" s="535" t="n"/>
      <c r="F751" s="282" t="n"/>
      <c r="G751" s="282" t="n"/>
      <c r="H751" s="536" t="n"/>
      <c r="I751" s="535" t="n"/>
      <c r="J751" s="282" t="n"/>
      <c r="K751" s="282" t="n"/>
      <c r="L751" s="536" t="n"/>
      <c r="M751" s="535" t="n"/>
      <c r="N751" s="282" t="n"/>
      <c r="O751" s="282" t="n"/>
      <c r="P751" s="535" t="n"/>
      <c r="Q751" s="535" t="n"/>
      <c r="R751" s="282" t="n"/>
      <c r="S751" s="282" t="n"/>
      <c r="T751" s="535" t="n"/>
      <c r="U751" s="535" t="n"/>
      <c r="V751" s="282" t="n"/>
      <c r="W751" s="282" t="n"/>
      <c r="X751" s="536" t="n"/>
      <c r="Y751" s="536" t="n"/>
      <c r="Z751" s="282" t="n"/>
      <c r="AA751" s="282" t="n"/>
      <c r="AB751" s="536" t="n"/>
      <c r="AC751" s="536" t="n"/>
      <c r="AD751" s="282" t="n"/>
      <c r="AE751" s="282" t="n"/>
      <c r="AF751" s="537" t="n"/>
      <c r="AG751" s="537" t="n"/>
      <c r="AH751" s="282" t="n"/>
      <c r="AI751" s="282" t="n"/>
      <c r="AJ751" s="537" t="n"/>
      <c r="AK751" s="537" t="n"/>
      <c r="AL751" s="282" t="n"/>
      <c r="AM751" s="282" t="n"/>
      <c r="AN751" s="282" t="n"/>
      <c r="AO751" s="282" t="n"/>
      <c r="AP751" s="282" t="n"/>
      <c r="AQ751" s="282" t="n"/>
      <c r="AR751" s="535" t="n"/>
      <c r="AS751" s="535" t="n"/>
      <c r="AT751" s="282" t="n"/>
      <c r="AU751" s="282" t="n"/>
    </row>
    <row customHeight="1" ht="15.75" r="752" s="452" spans="1:48">
      <c r="A752" s="44" t="n"/>
      <c r="D752" s="535" t="n"/>
      <c r="E752" s="535" t="n"/>
      <c r="F752" s="282" t="n"/>
      <c r="G752" s="282" t="n"/>
      <c r="H752" s="536" t="n"/>
      <c r="I752" s="535" t="n"/>
      <c r="J752" s="282" t="n"/>
      <c r="K752" s="282" t="n"/>
      <c r="L752" s="536" t="n"/>
      <c r="M752" s="535" t="n"/>
      <c r="N752" s="282" t="n"/>
      <c r="O752" s="282" t="n"/>
      <c r="P752" s="535" t="n"/>
      <c r="Q752" s="535" t="n"/>
      <c r="R752" s="282" t="n"/>
      <c r="S752" s="282" t="n"/>
      <c r="T752" s="535" t="n"/>
      <c r="U752" s="535" t="n"/>
      <c r="V752" s="282" t="n"/>
      <c r="W752" s="282" t="n"/>
      <c r="X752" s="536" t="n"/>
      <c r="Y752" s="536" t="n"/>
      <c r="Z752" s="282" t="n"/>
      <c r="AA752" s="282" t="n"/>
      <c r="AB752" s="536" t="n"/>
      <c r="AC752" s="536" t="n"/>
      <c r="AD752" s="282" t="n"/>
      <c r="AE752" s="282" t="n"/>
      <c r="AF752" s="537" t="n"/>
      <c r="AG752" s="537" t="n"/>
      <c r="AH752" s="282" t="n"/>
      <c r="AI752" s="282" t="n"/>
      <c r="AJ752" s="537" t="n"/>
      <c r="AK752" s="537" t="n"/>
      <c r="AL752" s="282" t="n"/>
      <c r="AM752" s="282" t="n"/>
      <c r="AN752" s="282" t="n"/>
      <c r="AO752" s="282" t="n"/>
      <c r="AP752" s="282" t="n"/>
      <c r="AQ752" s="282" t="n"/>
      <c r="AR752" s="535" t="n"/>
      <c r="AS752" s="535" t="n"/>
      <c r="AT752" s="282" t="n"/>
      <c r="AU752" s="282" t="n"/>
    </row>
    <row customHeight="1" ht="15.75" r="753" s="452" spans="1:48">
      <c r="A753" s="44" t="n"/>
      <c r="D753" s="535" t="n"/>
      <c r="E753" s="535" t="n"/>
      <c r="F753" s="282" t="n"/>
      <c r="G753" s="282" t="n"/>
      <c r="H753" s="536" t="n"/>
      <c r="I753" s="535" t="n"/>
      <c r="J753" s="282" t="n"/>
      <c r="K753" s="282" t="n"/>
      <c r="L753" s="536" t="n"/>
      <c r="M753" s="535" t="n"/>
      <c r="N753" s="282" t="n"/>
      <c r="O753" s="282" t="n"/>
      <c r="P753" s="535" t="n"/>
      <c r="Q753" s="535" t="n"/>
      <c r="R753" s="282" t="n"/>
      <c r="S753" s="282" t="n"/>
      <c r="T753" s="535" t="n"/>
      <c r="U753" s="535" t="n"/>
      <c r="V753" s="282" t="n"/>
      <c r="W753" s="282" t="n"/>
      <c r="X753" s="536" t="n"/>
      <c r="Y753" s="536" t="n"/>
      <c r="Z753" s="282" t="n"/>
      <c r="AA753" s="282" t="n"/>
      <c r="AB753" s="536" t="n"/>
      <c r="AC753" s="536" t="n"/>
      <c r="AD753" s="282" t="n"/>
      <c r="AE753" s="282" t="n"/>
      <c r="AF753" s="537" t="n"/>
      <c r="AG753" s="537" t="n"/>
      <c r="AH753" s="282" t="n"/>
      <c r="AI753" s="282" t="n"/>
      <c r="AJ753" s="537" t="n"/>
      <c r="AK753" s="537" t="n"/>
      <c r="AL753" s="282" t="n"/>
      <c r="AM753" s="282" t="n"/>
      <c r="AN753" s="282" t="n"/>
      <c r="AO753" s="282" t="n"/>
      <c r="AP753" s="282" t="n"/>
      <c r="AQ753" s="282" t="n"/>
      <c r="AR753" s="535" t="n"/>
      <c r="AS753" s="535" t="n"/>
      <c r="AT753" s="282" t="n"/>
      <c r="AU753" s="282" t="n"/>
    </row>
    <row customHeight="1" ht="15.75" r="754" s="452" spans="1:48">
      <c r="A754" s="44" t="n"/>
      <c r="D754" s="535" t="n"/>
      <c r="E754" s="535" t="n"/>
      <c r="F754" s="282" t="n"/>
      <c r="G754" s="282" t="n"/>
      <c r="H754" s="536" t="n"/>
      <c r="I754" s="535" t="n"/>
      <c r="J754" s="282" t="n"/>
      <c r="K754" s="282" t="n"/>
      <c r="L754" s="536" t="n"/>
      <c r="M754" s="535" t="n"/>
      <c r="N754" s="282" t="n"/>
      <c r="O754" s="282" t="n"/>
      <c r="P754" s="535" t="n"/>
      <c r="Q754" s="535" t="n"/>
      <c r="R754" s="282" t="n"/>
      <c r="S754" s="282" t="n"/>
      <c r="T754" s="535" t="n"/>
      <c r="U754" s="535" t="n"/>
      <c r="V754" s="282" t="n"/>
      <c r="W754" s="282" t="n"/>
      <c r="X754" s="536" t="n"/>
      <c r="Y754" s="536" t="n"/>
      <c r="Z754" s="282" t="n"/>
      <c r="AA754" s="282" t="n"/>
      <c r="AB754" s="536" t="n"/>
      <c r="AC754" s="536" t="n"/>
      <c r="AD754" s="282" t="n"/>
      <c r="AE754" s="282" t="n"/>
      <c r="AF754" s="537" t="n"/>
      <c r="AG754" s="537" t="n"/>
      <c r="AH754" s="282" t="n"/>
      <c r="AI754" s="282" t="n"/>
      <c r="AJ754" s="537" t="n"/>
      <c r="AK754" s="537" t="n"/>
      <c r="AL754" s="282" t="n"/>
      <c r="AM754" s="282" t="n"/>
      <c r="AN754" s="282" t="n"/>
      <c r="AO754" s="282" t="n"/>
      <c r="AP754" s="282" t="n"/>
      <c r="AQ754" s="282" t="n"/>
      <c r="AR754" s="535" t="n"/>
      <c r="AS754" s="535" t="n"/>
      <c r="AT754" s="282" t="n"/>
      <c r="AU754" s="282" t="n"/>
    </row>
    <row customHeight="1" ht="15.75" r="755" s="452" spans="1:48">
      <c r="A755" s="44" t="n"/>
      <c r="D755" s="535" t="n"/>
      <c r="E755" s="535" t="n"/>
      <c r="F755" s="282" t="n"/>
      <c r="G755" s="282" t="n"/>
      <c r="H755" s="536" t="n"/>
      <c r="I755" s="535" t="n"/>
      <c r="J755" s="282" t="n"/>
      <c r="K755" s="282" t="n"/>
      <c r="L755" s="536" t="n"/>
      <c r="M755" s="535" t="n"/>
      <c r="N755" s="282" t="n"/>
      <c r="O755" s="282" t="n"/>
      <c r="P755" s="535" t="n"/>
      <c r="Q755" s="535" t="n"/>
      <c r="R755" s="282" t="n"/>
      <c r="S755" s="282" t="n"/>
      <c r="T755" s="535" t="n"/>
      <c r="U755" s="535" t="n"/>
      <c r="V755" s="282" t="n"/>
      <c r="W755" s="282" t="n"/>
      <c r="X755" s="536" t="n"/>
      <c r="Y755" s="536" t="n"/>
      <c r="Z755" s="282" t="n"/>
      <c r="AA755" s="282" t="n"/>
      <c r="AB755" s="536" t="n"/>
      <c r="AC755" s="536" t="n"/>
      <c r="AD755" s="282" t="n"/>
      <c r="AE755" s="282" t="n"/>
      <c r="AF755" s="537" t="n"/>
      <c r="AG755" s="537" t="n"/>
      <c r="AH755" s="282" t="n"/>
      <c r="AI755" s="282" t="n"/>
      <c r="AJ755" s="537" t="n"/>
      <c r="AK755" s="537" t="n"/>
      <c r="AL755" s="282" t="n"/>
      <c r="AM755" s="282" t="n"/>
      <c r="AN755" s="282" t="n"/>
      <c r="AO755" s="282" t="n"/>
      <c r="AP755" s="282" t="n"/>
      <c r="AQ755" s="282" t="n"/>
      <c r="AR755" s="535" t="n"/>
      <c r="AS755" s="535" t="n"/>
      <c r="AT755" s="282" t="n"/>
      <c r="AU755" s="282" t="n"/>
    </row>
    <row customHeight="1" ht="15.75" r="756" s="452" spans="1:48">
      <c r="A756" s="44" t="n"/>
      <c r="D756" s="535" t="n"/>
      <c r="E756" s="535" t="n"/>
      <c r="F756" s="282" t="n"/>
      <c r="G756" s="282" t="n"/>
      <c r="H756" s="536" t="n"/>
      <c r="I756" s="535" t="n"/>
      <c r="J756" s="282" t="n"/>
      <c r="K756" s="282" t="n"/>
      <c r="L756" s="536" t="n"/>
      <c r="M756" s="535" t="n"/>
      <c r="N756" s="282" t="n"/>
      <c r="O756" s="282" t="n"/>
      <c r="P756" s="535" t="n"/>
      <c r="Q756" s="535" t="n"/>
      <c r="R756" s="282" t="n"/>
      <c r="S756" s="282" t="n"/>
      <c r="T756" s="535" t="n"/>
      <c r="U756" s="535" t="n"/>
      <c r="V756" s="282" t="n"/>
      <c r="W756" s="282" t="n"/>
      <c r="X756" s="536" t="n"/>
      <c r="Y756" s="536" t="n"/>
      <c r="Z756" s="282" t="n"/>
      <c r="AA756" s="282" t="n"/>
      <c r="AB756" s="536" t="n"/>
      <c r="AC756" s="536" t="n"/>
      <c r="AD756" s="282" t="n"/>
      <c r="AE756" s="282" t="n"/>
      <c r="AF756" s="537" t="n"/>
      <c r="AG756" s="537" t="n"/>
      <c r="AH756" s="282" t="n"/>
      <c r="AI756" s="282" t="n"/>
      <c r="AJ756" s="537" t="n"/>
      <c r="AK756" s="537" t="n"/>
      <c r="AL756" s="282" t="n"/>
      <c r="AM756" s="282" t="n"/>
      <c r="AN756" s="282" t="n"/>
      <c r="AO756" s="282" t="n"/>
      <c r="AP756" s="282" t="n"/>
      <c r="AQ756" s="282" t="n"/>
      <c r="AR756" s="535" t="n"/>
      <c r="AS756" s="535" t="n"/>
      <c r="AT756" s="282" t="n"/>
      <c r="AU756" s="282" t="n"/>
    </row>
    <row customHeight="1" ht="15.75" r="757" s="452" spans="1:48">
      <c r="A757" s="44" t="n"/>
      <c r="D757" s="535" t="n"/>
      <c r="E757" s="535" t="n"/>
      <c r="F757" s="282" t="n"/>
      <c r="G757" s="282" t="n"/>
      <c r="H757" s="536" t="n"/>
      <c r="I757" s="535" t="n"/>
      <c r="J757" s="282" t="n"/>
      <c r="K757" s="282" t="n"/>
      <c r="L757" s="536" t="n"/>
      <c r="M757" s="535" t="n"/>
      <c r="N757" s="282" t="n"/>
      <c r="O757" s="282" t="n"/>
      <c r="P757" s="535" t="n"/>
      <c r="Q757" s="535" t="n"/>
      <c r="R757" s="282" t="n"/>
      <c r="S757" s="282" t="n"/>
      <c r="T757" s="535" t="n"/>
      <c r="U757" s="535" t="n"/>
      <c r="V757" s="282" t="n"/>
      <c r="W757" s="282" t="n"/>
      <c r="X757" s="536" t="n"/>
      <c r="Y757" s="536" t="n"/>
      <c r="Z757" s="282" t="n"/>
      <c r="AA757" s="282" t="n"/>
      <c r="AB757" s="536" t="n"/>
      <c r="AC757" s="536" t="n"/>
      <c r="AD757" s="282" t="n"/>
      <c r="AE757" s="282" t="n"/>
      <c r="AF757" s="537" t="n"/>
      <c r="AG757" s="537" t="n"/>
      <c r="AH757" s="282" t="n"/>
      <c r="AI757" s="282" t="n"/>
      <c r="AJ757" s="537" t="n"/>
      <c r="AK757" s="537" t="n"/>
      <c r="AL757" s="282" t="n"/>
      <c r="AM757" s="282" t="n"/>
      <c r="AN757" s="282" t="n"/>
      <c r="AO757" s="282" t="n"/>
      <c r="AP757" s="282" t="n"/>
      <c r="AQ757" s="282" t="n"/>
      <c r="AR757" s="535" t="n"/>
      <c r="AS757" s="535" t="n"/>
      <c r="AT757" s="282" t="n"/>
      <c r="AU757" s="282" t="n"/>
    </row>
    <row customHeight="1" ht="15.75" r="758" s="452" spans="1:48">
      <c r="A758" s="44" t="n"/>
      <c r="D758" s="535" t="n"/>
      <c r="E758" s="535" t="n"/>
      <c r="F758" s="282" t="n"/>
      <c r="G758" s="282" t="n"/>
      <c r="H758" s="536" t="n"/>
      <c r="I758" s="535" t="n"/>
      <c r="J758" s="282" t="n"/>
      <c r="K758" s="282" t="n"/>
      <c r="L758" s="536" t="n"/>
      <c r="M758" s="535" t="n"/>
      <c r="N758" s="282" t="n"/>
      <c r="O758" s="282" t="n"/>
      <c r="P758" s="535" t="n"/>
      <c r="Q758" s="535" t="n"/>
      <c r="R758" s="282" t="n"/>
      <c r="S758" s="282" t="n"/>
      <c r="T758" s="535" t="n"/>
      <c r="U758" s="535" t="n"/>
      <c r="V758" s="282" t="n"/>
      <c r="W758" s="282" t="n"/>
      <c r="X758" s="536" t="n"/>
      <c r="Y758" s="536" t="n"/>
      <c r="Z758" s="282" t="n"/>
      <c r="AA758" s="282" t="n"/>
      <c r="AB758" s="536" t="n"/>
      <c r="AC758" s="536" t="n"/>
      <c r="AD758" s="282" t="n"/>
      <c r="AE758" s="282" t="n"/>
      <c r="AF758" s="537" t="n"/>
      <c r="AG758" s="537" t="n"/>
      <c r="AH758" s="282" t="n"/>
      <c r="AI758" s="282" t="n"/>
      <c r="AJ758" s="537" t="n"/>
      <c r="AK758" s="537" t="n"/>
      <c r="AL758" s="282" t="n"/>
      <c r="AM758" s="282" t="n"/>
      <c r="AN758" s="282" t="n"/>
      <c r="AO758" s="282" t="n"/>
      <c r="AP758" s="282" t="n"/>
      <c r="AQ758" s="282" t="n"/>
      <c r="AR758" s="535" t="n"/>
      <c r="AS758" s="535" t="n"/>
      <c r="AT758" s="282" t="n"/>
      <c r="AU758" s="282" t="n"/>
    </row>
    <row customHeight="1" ht="15.75" r="759" s="452" spans="1:48">
      <c r="A759" s="44" t="n"/>
      <c r="D759" s="535" t="n"/>
      <c r="E759" s="535" t="n"/>
      <c r="F759" s="282" t="n"/>
      <c r="G759" s="282" t="n"/>
      <c r="H759" s="536" t="n"/>
      <c r="I759" s="535" t="n"/>
      <c r="J759" s="282" t="n"/>
      <c r="K759" s="282" t="n"/>
      <c r="L759" s="536" t="n"/>
      <c r="M759" s="535" t="n"/>
      <c r="N759" s="282" t="n"/>
      <c r="O759" s="282" t="n"/>
      <c r="P759" s="535" t="n"/>
      <c r="Q759" s="535" t="n"/>
      <c r="R759" s="282" t="n"/>
      <c r="S759" s="282" t="n"/>
      <c r="T759" s="535" t="n"/>
      <c r="U759" s="535" t="n"/>
      <c r="V759" s="282" t="n"/>
      <c r="W759" s="282" t="n"/>
      <c r="X759" s="536" t="n"/>
      <c r="Y759" s="536" t="n"/>
      <c r="Z759" s="282" t="n"/>
      <c r="AA759" s="282" t="n"/>
      <c r="AB759" s="536" t="n"/>
      <c r="AC759" s="536" t="n"/>
      <c r="AD759" s="282" t="n"/>
      <c r="AE759" s="282" t="n"/>
      <c r="AF759" s="537" t="n"/>
      <c r="AG759" s="537" t="n"/>
      <c r="AH759" s="282" t="n"/>
      <c r="AI759" s="282" t="n"/>
      <c r="AJ759" s="537" t="n"/>
      <c r="AK759" s="537" t="n"/>
      <c r="AL759" s="282" t="n"/>
      <c r="AM759" s="282" t="n"/>
      <c r="AN759" s="282" t="n"/>
      <c r="AO759" s="282" t="n"/>
      <c r="AP759" s="282" t="n"/>
      <c r="AQ759" s="282" t="n"/>
      <c r="AR759" s="535" t="n"/>
      <c r="AS759" s="535" t="n"/>
      <c r="AT759" s="282" t="n"/>
      <c r="AU759" s="282" t="n"/>
    </row>
    <row customHeight="1" ht="15.75" r="760" s="452" spans="1:48">
      <c r="A760" s="44" t="n"/>
      <c r="D760" s="535" t="n"/>
      <c r="E760" s="535" t="n"/>
      <c r="F760" s="282" t="n"/>
      <c r="G760" s="282" t="n"/>
      <c r="H760" s="536" t="n"/>
      <c r="I760" s="535" t="n"/>
      <c r="J760" s="282" t="n"/>
      <c r="K760" s="282" t="n"/>
      <c r="L760" s="536" t="n"/>
      <c r="M760" s="535" t="n"/>
      <c r="N760" s="282" t="n"/>
      <c r="O760" s="282" t="n"/>
      <c r="P760" s="535" t="n"/>
      <c r="Q760" s="535" t="n"/>
      <c r="R760" s="282" t="n"/>
      <c r="S760" s="282" t="n"/>
      <c r="T760" s="535" t="n"/>
      <c r="U760" s="535" t="n"/>
      <c r="V760" s="282" t="n"/>
      <c r="W760" s="282" t="n"/>
      <c r="X760" s="536" t="n"/>
      <c r="Y760" s="536" t="n"/>
      <c r="Z760" s="282" t="n"/>
      <c r="AA760" s="282" t="n"/>
      <c r="AB760" s="536" t="n"/>
      <c r="AC760" s="536" t="n"/>
      <c r="AD760" s="282" t="n"/>
      <c r="AE760" s="282" t="n"/>
      <c r="AF760" s="537" t="n"/>
      <c r="AG760" s="537" t="n"/>
      <c r="AH760" s="282" t="n"/>
      <c r="AI760" s="282" t="n"/>
      <c r="AJ760" s="537" t="n"/>
      <c r="AK760" s="537" t="n"/>
      <c r="AL760" s="282" t="n"/>
      <c r="AM760" s="282" t="n"/>
      <c r="AN760" s="282" t="n"/>
      <c r="AO760" s="282" t="n"/>
      <c r="AP760" s="282" t="n"/>
      <c r="AQ760" s="282" t="n"/>
      <c r="AR760" s="535" t="n"/>
      <c r="AS760" s="535" t="n"/>
      <c r="AT760" s="282" t="n"/>
      <c r="AU760" s="282" t="n"/>
    </row>
    <row customHeight="1" ht="15.75" r="761" s="452" spans="1:48">
      <c r="A761" s="44" t="n"/>
      <c r="D761" s="535" t="n"/>
      <c r="E761" s="535" t="n"/>
      <c r="F761" s="282" t="n"/>
      <c r="G761" s="282" t="n"/>
      <c r="H761" s="536" t="n"/>
      <c r="I761" s="535" t="n"/>
      <c r="J761" s="282" t="n"/>
      <c r="K761" s="282" t="n"/>
      <c r="L761" s="536" t="n"/>
      <c r="M761" s="535" t="n"/>
      <c r="N761" s="282" t="n"/>
      <c r="O761" s="282" t="n"/>
      <c r="P761" s="535" t="n"/>
      <c r="Q761" s="535" t="n"/>
      <c r="R761" s="282" t="n"/>
      <c r="S761" s="282" t="n"/>
      <c r="T761" s="535" t="n"/>
      <c r="U761" s="535" t="n"/>
      <c r="V761" s="282" t="n"/>
      <c r="W761" s="282" t="n"/>
      <c r="X761" s="536" t="n"/>
      <c r="Y761" s="536" t="n"/>
      <c r="Z761" s="282" t="n"/>
      <c r="AA761" s="282" t="n"/>
      <c r="AB761" s="536" t="n"/>
      <c r="AC761" s="536" t="n"/>
      <c r="AD761" s="282" t="n"/>
      <c r="AE761" s="282" t="n"/>
      <c r="AF761" s="537" t="n"/>
      <c r="AG761" s="537" t="n"/>
      <c r="AH761" s="282" t="n"/>
      <c r="AI761" s="282" t="n"/>
      <c r="AJ761" s="537" t="n"/>
      <c r="AK761" s="537" t="n"/>
      <c r="AL761" s="282" t="n"/>
      <c r="AM761" s="282" t="n"/>
      <c r="AN761" s="282" t="n"/>
      <c r="AO761" s="282" t="n"/>
      <c r="AP761" s="282" t="n"/>
      <c r="AQ761" s="282" t="n"/>
      <c r="AR761" s="535" t="n"/>
      <c r="AS761" s="535" t="n"/>
      <c r="AT761" s="282" t="n"/>
      <c r="AU761" s="282" t="n"/>
    </row>
    <row customHeight="1" ht="15.75" r="762" s="452" spans="1:48">
      <c r="A762" s="44" t="n"/>
      <c r="D762" s="535" t="n"/>
      <c r="E762" s="535" t="n"/>
      <c r="F762" s="282" t="n"/>
      <c r="G762" s="282" t="n"/>
      <c r="H762" s="536" t="n"/>
      <c r="I762" s="535" t="n"/>
      <c r="J762" s="282" t="n"/>
      <c r="K762" s="282" t="n"/>
      <c r="L762" s="536" t="n"/>
      <c r="M762" s="535" t="n"/>
      <c r="N762" s="282" t="n"/>
      <c r="O762" s="282" t="n"/>
      <c r="P762" s="535" t="n"/>
      <c r="Q762" s="535" t="n"/>
      <c r="R762" s="282" t="n"/>
      <c r="S762" s="282" t="n"/>
      <c r="T762" s="535" t="n"/>
      <c r="U762" s="535" t="n"/>
      <c r="V762" s="282" t="n"/>
      <c r="W762" s="282" t="n"/>
      <c r="X762" s="536" t="n"/>
      <c r="Y762" s="536" t="n"/>
      <c r="Z762" s="282" t="n"/>
      <c r="AA762" s="282" t="n"/>
      <c r="AB762" s="536" t="n"/>
      <c r="AC762" s="536" t="n"/>
      <c r="AD762" s="282" t="n"/>
      <c r="AE762" s="282" t="n"/>
      <c r="AF762" s="537" t="n"/>
      <c r="AG762" s="537" t="n"/>
      <c r="AH762" s="282" t="n"/>
      <c r="AI762" s="282" t="n"/>
      <c r="AJ762" s="537" t="n"/>
      <c r="AK762" s="537" t="n"/>
      <c r="AL762" s="282" t="n"/>
      <c r="AM762" s="282" t="n"/>
      <c r="AN762" s="282" t="n"/>
      <c r="AO762" s="282" t="n"/>
      <c r="AP762" s="282" t="n"/>
      <c r="AQ762" s="282" t="n"/>
      <c r="AR762" s="535" t="n"/>
      <c r="AS762" s="535" t="n"/>
      <c r="AT762" s="282" t="n"/>
      <c r="AU762" s="282" t="n"/>
    </row>
    <row customHeight="1" ht="15.75" r="763" s="452" spans="1:48">
      <c r="A763" s="44" t="n"/>
      <c r="D763" s="535" t="n"/>
      <c r="E763" s="535" t="n"/>
      <c r="F763" s="282" t="n"/>
      <c r="G763" s="282" t="n"/>
      <c r="H763" s="536" t="n"/>
      <c r="I763" s="535" t="n"/>
      <c r="J763" s="282" t="n"/>
      <c r="K763" s="282" t="n"/>
      <c r="L763" s="536" t="n"/>
      <c r="M763" s="535" t="n"/>
      <c r="N763" s="282" t="n"/>
      <c r="O763" s="282" t="n"/>
      <c r="P763" s="535" t="n"/>
      <c r="Q763" s="535" t="n"/>
      <c r="R763" s="282" t="n"/>
      <c r="S763" s="282" t="n"/>
      <c r="T763" s="535" t="n"/>
      <c r="U763" s="535" t="n"/>
      <c r="V763" s="282" t="n"/>
      <c r="W763" s="282" t="n"/>
      <c r="X763" s="536" t="n"/>
      <c r="Y763" s="536" t="n"/>
      <c r="Z763" s="282" t="n"/>
      <c r="AA763" s="282" t="n"/>
      <c r="AB763" s="536" t="n"/>
      <c r="AC763" s="536" t="n"/>
      <c r="AD763" s="282" t="n"/>
      <c r="AE763" s="282" t="n"/>
      <c r="AF763" s="537" t="n"/>
      <c r="AG763" s="537" t="n"/>
      <c r="AH763" s="282" t="n"/>
      <c r="AI763" s="282" t="n"/>
      <c r="AJ763" s="537" t="n"/>
      <c r="AK763" s="537" t="n"/>
      <c r="AL763" s="282" t="n"/>
      <c r="AM763" s="282" t="n"/>
      <c r="AN763" s="282" t="n"/>
      <c r="AO763" s="282" t="n"/>
      <c r="AP763" s="282" t="n"/>
      <c r="AQ763" s="282" t="n"/>
      <c r="AR763" s="535" t="n"/>
      <c r="AS763" s="535" t="n"/>
      <c r="AT763" s="282" t="n"/>
      <c r="AU763" s="282" t="n"/>
    </row>
    <row customHeight="1" ht="15.75" r="764" s="452" spans="1:48">
      <c r="A764" s="44" t="n"/>
      <c r="D764" s="535" t="n"/>
      <c r="E764" s="535" t="n"/>
      <c r="F764" s="282" t="n"/>
      <c r="G764" s="282" t="n"/>
      <c r="H764" s="536" t="n"/>
      <c r="I764" s="535" t="n"/>
      <c r="J764" s="282" t="n"/>
      <c r="K764" s="282" t="n"/>
      <c r="L764" s="536" t="n"/>
      <c r="M764" s="535" t="n"/>
      <c r="N764" s="282" t="n"/>
      <c r="O764" s="282" t="n"/>
      <c r="P764" s="535" t="n"/>
      <c r="Q764" s="535" t="n"/>
      <c r="R764" s="282" t="n"/>
      <c r="S764" s="282" t="n"/>
      <c r="T764" s="535" t="n"/>
      <c r="U764" s="535" t="n"/>
      <c r="V764" s="282" t="n"/>
      <c r="W764" s="282" t="n"/>
      <c r="X764" s="536" t="n"/>
      <c r="Y764" s="536" t="n"/>
      <c r="Z764" s="282" t="n"/>
      <c r="AA764" s="282" t="n"/>
      <c r="AB764" s="536" t="n"/>
      <c r="AC764" s="536" t="n"/>
      <c r="AD764" s="282" t="n"/>
      <c r="AE764" s="282" t="n"/>
      <c r="AF764" s="537" t="n"/>
      <c r="AG764" s="537" t="n"/>
      <c r="AH764" s="282" t="n"/>
      <c r="AI764" s="282" t="n"/>
      <c r="AJ764" s="537" t="n"/>
      <c r="AK764" s="537" t="n"/>
      <c r="AL764" s="282" t="n"/>
      <c r="AM764" s="282" t="n"/>
      <c r="AN764" s="282" t="n"/>
      <c r="AO764" s="282" t="n"/>
      <c r="AP764" s="282" t="n"/>
      <c r="AQ764" s="282" t="n"/>
      <c r="AR764" s="535" t="n"/>
      <c r="AS764" s="535" t="n"/>
      <c r="AT764" s="282" t="n"/>
      <c r="AU764" s="282" t="n"/>
    </row>
    <row customHeight="1" ht="15.75" r="765" s="452" spans="1:48">
      <c r="A765" s="44" t="n"/>
      <c r="D765" s="535" t="n"/>
      <c r="E765" s="535" t="n"/>
      <c r="F765" s="282" t="n"/>
      <c r="G765" s="282" t="n"/>
      <c r="H765" s="536" t="n"/>
      <c r="I765" s="535" t="n"/>
      <c r="J765" s="282" t="n"/>
      <c r="K765" s="282" t="n"/>
      <c r="L765" s="536" t="n"/>
      <c r="M765" s="535" t="n"/>
      <c r="N765" s="282" t="n"/>
      <c r="O765" s="282" t="n"/>
      <c r="P765" s="535" t="n"/>
      <c r="Q765" s="535" t="n"/>
      <c r="R765" s="282" t="n"/>
      <c r="S765" s="282" t="n"/>
      <c r="T765" s="535" t="n"/>
      <c r="U765" s="535" t="n"/>
      <c r="V765" s="282" t="n"/>
      <c r="W765" s="282" t="n"/>
      <c r="X765" s="536" t="n"/>
      <c r="Y765" s="536" t="n"/>
      <c r="Z765" s="282" t="n"/>
      <c r="AA765" s="282" t="n"/>
      <c r="AB765" s="536" t="n"/>
      <c r="AC765" s="536" t="n"/>
      <c r="AD765" s="282" t="n"/>
      <c r="AE765" s="282" t="n"/>
      <c r="AF765" s="537" t="n"/>
      <c r="AG765" s="537" t="n"/>
      <c r="AH765" s="282" t="n"/>
      <c r="AI765" s="282" t="n"/>
      <c r="AJ765" s="537" t="n"/>
      <c r="AK765" s="537" t="n"/>
      <c r="AL765" s="282" t="n"/>
      <c r="AM765" s="282" t="n"/>
      <c r="AN765" s="282" t="n"/>
      <c r="AO765" s="282" t="n"/>
      <c r="AP765" s="282" t="n"/>
      <c r="AQ765" s="282" t="n"/>
      <c r="AR765" s="535" t="n"/>
      <c r="AS765" s="535" t="n"/>
      <c r="AT765" s="282" t="n"/>
      <c r="AU765" s="282" t="n"/>
    </row>
    <row customHeight="1" ht="15.75" r="766" s="452" spans="1:48">
      <c r="A766" s="44" t="n"/>
      <c r="D766" s="535" t="n"/>
      <c r="E766" s="535" t="n"/>
      <c r="F766" s="282" t="n"/>
      <c r="G766" s="282" t="n"/>
      <c r="H766" s="536" t="n"/>
      <c r="I766" s="535" t="n"/>
      <c r="J766" s="282" t="n"/>
      <c r="K766" s="282" t="n"/>
      <c r="L766" s="536" t="n"/>
      <c r="M766" s="535" t="n"/>
      <c r="N766" s="282" t="n"/>
      <c r="O766" s="282" t="n"/>
      <c r="P766" s="535" t="n"/>
      <c r="Q766" s="535" t="n"/>
      <c r="R766" s="282" t="n"/>
      <c r="S766" s="282" t="n"/>
      <c r="T766" s="535" t="n"/>
      <c r="U766" s="535" t="n"/>
      <c r="V766" s="282" t="n"/>
      <c r="W766" s="282" t="n"/>
      <c r="X766" s="536" t="n"/>
      <c r="Y766" s="536" t="n"/>
      <c r="Z766" s="282" t="n"/>
      <c r="AA766" s="282" t="n"/>
      <c r="AB766" s="536" t="n"/>
      <c r="AC766" s="536" t="n"/>
      <c r="AD766" s="282" t="n"/>
      <c r="AE766" s="282" t="n"/>
      <c r="AF766" s="537" t="n"/>
      <c r="AG766" s="537" t="n"/>
      <c r="AH766" s="282" t="n"/>
      <c r="AI766" s="282" t="n"/>
      <c r="AJ766" s="537" t="n"/>
      <c r="AK766" s="537" t="n"/>
      <c r="AL766" s="282" t="n"/>
      <c r="AM766" s="282" t="n"/>
      <c r="AN766" s="282" t="n"/>
      <c r="AO766" s="282" t="n"/>
      <c r="AP766" s="282" t="n"/>
      <c r="AQ766" s="282" t="n"/>
      <c r="AR766" s="535" t="n"/>
      <c r="AS766" s="535" t="n"/>
      <c r="AT766" s="282" t="n"/>
      <c r="AU766" s="282" t="n"/>
    </row>
    <row customHeight="1" ht="15.75" r="767" s="452" spans="1:48">
      <c r="A767" s="44" t="n"/>
      <c r="D767" s="535" t="n"/>
      <c r="E767" s="535" t="n"/>
      <c r="F767" s="282" t="n"/>
      <c r="G767" s="282" t="n"/>
      <c r="H767" s="536" t="n"/>
      <c r="I767" s="535" t="n"/>
      <c r="J767" s="282" t="n"/>
      <c r="K767" s="282" t="n"/>
      <c r="L767" s="536" t="n"/>
      <c r="M767" s="535" t="n"/>
      <c r="N767" s="282" t="n"/>
      <c r="O767" s="282" t="n"/>
      <c r="P767" s="535" t="n"/>
      <c r="Q767" s="535" t="n"/>
      <c r="R767" s="282" t="n"/>
      <c r="S767" s="282" t="n"/>
      <c r="T767" s="535" t="n"/>
      <c r="U767" s="535" t="n"/>
      <c r="V767" s="282" t="n"/>
      <c r="W767" s="282" t="n"/>
      <c r="X767" s="536" t="n"/>
      <c r="Y767" s="536" t="n"/>
      <c r="Z767" s="282" t="n"/>
      <c r="AA767" s="282" t="n"/>
      <c r="AB767" s="536" t="n"/>
      <c r="AC767" s="536" t="n"/>
      <c r="AD767" s="282" t="n"/>
      <c r="AE767" s="282" t="n"/>
      <c r="AF767" s="537" t="n"/>
      <c r="AG767" s="537" t="n"/>
      <c r="AH767" s="282" t="n"/>
      <c r="AI767" s="282" t="n"/>
      <c r="AJ767" s="537" t="n"/>
      <c r="AK767" s="537" t="n"/>
      <c r="AL767" s="282" t="n"/>
      <c r="AM767" s="282" t="n"/>
      <c r="AN767" s="282" t="n"/>
      <c r="AO767" s="282" t="n"/>
      <c r="AP767" s="282" t="n"/>
      <c r="AQ767" s="282" t="n"/>
      <c r="AR767" s="535" t="n"/>
      <c r="AS767" s="535" t="n"/>
      <c r="AT767" s="282" t="n"/>
      <c r="AU767" s="282" t="n"/>
    </row>
    <row customHeight="1" ht="15.75" r="768" s="452" spans="1:48">
      <c r="A768" s="44" t="n"/>
      <c r="D768" s="535" t="n"/>
      <c r="E768" s="535" t="n"/>
      <c r="F768" s="282" t="n"/>
      <c r="G768" s="282" t="n"/>
      <c r="H768" s="536" t="n"/>
      <c r="I768" s="535" t="n"/>
      <c r="J768" s="282" t="n"/>
      <c r="K768" s="282" t="n"/>
      <c r="L768" s="536" t="n"/>
      <c r="M768" s="535" t="n"/>
      <c r="N768" s="282" t="n"/>
      <c r="O768" s="282" t="n"/>
      <c r="P768" s="535" t="n"/>
      <c r="Q768" s="535" t="n"/>
      <c r="R768" s="282" t="n"/>
      <c r="S768" s="282" t="n"/>
      <c r="T768" s="535" t="n"/>
      <c r="U768" s="535" t="n"/>
      <c r="V768" s="282" t="n"/>
      <c r="W768" s="282" t="n"/>
      <c r="X768" s="536" t="n"/>
      <c r="Y768" s="536" t="n"/>
      <c r="Z768" s="282" t="n"/>
      <c r="AA768" s="282" t="n"/>
      <c r="AB768" s="536" t="n"/>
      <c r="AC768" s="536" t="n"/>
      <c r="AD768" s="282" t="n"/>
      <c r="AE768" s="282" t="n"/>
      <c r="AF768" s="537" t="n"/>
      <c r="AG768" s="537" t="n"/>
      <c r="AH768" s="282" t="n"/>
      <c r="AI768" s="282" t="n"/>
      <c r="AJ768" s="537" t="n"/>
      <c r="AK768" s="537" t="n"/>
      <c r="AL768" s="282" t="n"/>
      <c r="AM768" s="282" t="n"/>
      <c r="AN768" s="282" t="n"/>
      <c r="AO768" s="282" t="n"/>
      <c r="AP768" s="282" t="n"/>
      <c r="AQ768" s="282" t="n"/>
      <c r="AR768" s="535" t="n"/>
      <c r="AS768" s="535" t="n"/>
      <c r="AT768" s="282" t="n"/>
      <c r="AU768" s="282" t="n"/>
    </row>
    <row customHeight="1" ht="15.75" r="769" s="452" spans="1:48">
      <c r="A769" s="44" t="n"/>
      <c r="D769" s="535" t="n"/>
      <c r="E769" s="535" t="n"/>
      <c r="F769" s="282" t="n"/>
      <c r="G769" s="282" t="n"/>
      <c r="H769" s="536" t="n"/>
      <c r="I769" s="535" t="n"/>
      <c r="J769" s="282" t="n"/>
      <c r="K769" s="282" t="n"/>
      <c r="L769" s="536" t="n"/>
      <c r="M769" s="535" t="n"/>
      <c r="N769" s="282" t="n"/>
      <c r="O769" s="282" t="n"/>
      <c r="P769" s="535" t="n"/>
      <c r="Q769" s="535" t="n"/>
      <c r="R769" s="282" t="n"/>
      <c r="S769" s="282" t="n"/>
      <c r="T769" s="535" t="n"/>
      <c r="U769" s="535" t="n"/>
      <c r="V769" s="282" t="n"/>
      <c r="W769" s="282" t="n"/>
      <c r="X769" s="536" t="n"/>
      <c r="Y769" s="536" t="n"/>
      <c r="Z769" s="282" t="n"/>
      <c r="AA769" s="282" t="n"/>
      <c r="AB769" s="536" t="n"/>
      <c r="AC769" s="536" t="n"/>
      <c r="AD769" s="282" t="n"/>
      <c r="AE769" s="282" t="n"/>
      <c r="AF769" s="537" t="n"/>
      <c r="AG769" s="537" t="n"/>
      <c r="AH769" s="282" t="n"/>
      <c r="AI769" s="282" t="n"/>
      <c r="AJ769" s="537" t="n"/>
      <c r="AK769" s="537" t="n"/>
      <c r="AL769" s="282" t="n"/>
      <c r="AM769" s="282" t="n"/>
      <c r="AN769" s="282" t="n"/>
      <c r="AO769" s="282" t="n"/>
      <c r="AP769" s="282" t="n"/>
      <c r="AQ769" s="282" t="n"/>
      <c r="AR769" s="535" t="n"/>
      <c r="AS769" s="535" t="n"/>
      <c r="AT769" s="282" t="n"/>
      <c r="AU769" s="282" t="n"/>
    </row>
    <row customHeight="1" ht="15.75" r="770" s="452" spans="1:48">
      <c r="A770" s="44" t="n"/>
      <c r="D770" s="535" t="n"/>
      <c r="E770" s="535" t="n"/>
      <c r="F770" s="282" t="n"/>
      <c r="G770" s="282" t="n"/>
      <c r="H770" s="536" t="n"/>
      <c r="I770" s="535" t="n"/>
      <c r="J770" s="282" t="n"/>
      <c r="K770" s="282" t="n"/>
      <c r="L770" s="536" t="n"/>
      <c r="M770" s="535" t="n"/>
      <c r="N770" s="282" t="n"/>
      <c r="O770" s="282" t="n"/>
      <c r="P770" s="535" t="n"/>
      <c r="Q770" s="535" t="n"/>
      <c r="R770" s="282" t="n"/>
      <c r="S770" s="282" t="n"/>
      <c r="T770" s="535" t="n"/>
      <c r="U770" s="535" t="n"/>
      <c r="V770" s="282" t="n"/>
      <c r="W770" s="282" t="n"/>
      <c r="X770" s="536" t="n"/>
      <c r="Y770" s="536" t="n"/>
      <c r="Z770" s="282" t="n"/>
      <c r="AA770" s="282" t="n"/>
      <c r="AB770" s="536" t="n"/>
      <c r="AC770" s="536" t="n"/>
      <c r="AD770" s="282" t="n"/>
      <c r="AE770" s="282" t="n"/>
      <c r="AF770" s="537" t="n"/>
      <c r="AG770" s="537" t="n"/>
      <c r="AH770" s="282" t="n"/>
      <c r="AI770" s="282" t="n"/>
      <c r="AJ770" s="537" t="n"/>
      <c r="AK770" s="537" t="n"/>
      <c r="AL770" s="282" t="n"/>
      <c r="AM770" s="282" t="n"/>
      <c r="AN770" s="282" t="n"/>
      <c r="AO770" s="282" t="n"/>
      <c r="AP770" s="282" t="n"/>
      <c r="AQ770" s="282" t="n"/>
      <c r="AR770" s="535" t="n"/>
      <c r="AS770" s="535" t="n"/>
      <c r="AT770" s="282" t="n"/>
      <c r="AU770" s="282" t="n"/>
    </row>
    <row customHeight="1" ht="15.75" r="771" s="452" spans="1:48">
      <c r="A771" s="44" t="n"/>
      <c r="D771" s="535" t="n"/>
      <c r="E771" s="535" t="n"/>
      <c r="F771" s="282" t="n"/>
      <c r="G771" s="282" t="n"/>
      <c r="H771" s="536" t="n"/>
      <c r="I771" s="535" t="n"/>
      <c r="J771" s="282" t="n"/>
      <c r="K771" s="282" t="n"/>
      <c r="L771" s="536" t="n"/>
      <c r="M771" s="535" t="n"/>
      <c r="N771" s="282" t="n"/>
      <c r="O771" s="282" t="n"/>
      <c r="P771" s="535" t="n"/>
      <c r="Q771" s="535" t="n"/>
      <c r="R771" s="282" t="n"/>
      <c r="S771" s="282" t="n"/>
      <c r="T771" s="535" t="n"/>
      <c r="U771" s="535" t="n"/>
      <c r="V771" s="282" t="n"/>
      <c r="W771" s="282" t="n"/>
      <c r="X771" s="536" t="n"/>
      <c r="Y771" s="536" t="n"/>
      <c r="Z771" s="282" t="n"/>
      <c r="AA771" s="282" t="n"/>
      <c r="AB771" s="536" t="n"/>
      <c r="AC771" s="536" t="n"/>
      <c r="AD771" s="282" t="n"/>
      <c r="AE771" s="282" t="n"/>
      <c r="AF771" s="537" t="n"/>
      <c r="AG771" s="537" t="n"/>
      <c r="AH771" s="282" t="n"/>
      <c r="AI771" s="282" t="n"/>
      <c r="AJ771" s="537" t="n"/>
      <c r="AK771" s="537" t="n"/>
      <c r="AL771" s="282" t="n"/>
      <c r="AM771" s="282" t="n"/>
      <c r="AN771" s="282" t="n"/>
      <c r="AO771" s="282" t="n"/>
      <c r="AP771" s="282" t="n"/>
      <c r="AQ771" s="282" t="n"/>
      <c r="AR771" s="535" t="n"/>
      <c r="AS771" s="535" t="n"/>
      <c r="AT771" s="282" t="n"/>
      <c r="AU771" s="282" t="n"/>
    </row>
    <row customHeight="1" ht="15.75" r="772" s="452" spans="1:48">
      <c r="A772" s="44" t="n"/>
      <c r="D772" s="535" t="n"/>
      <c r="E772" s="535" t="n"/>
      <c r="F772" s="282" t="n"/>
      <c r="G772" s="282" t="n"/>
      <c r="H772" s="536" t="n"/>
      <c r="I772" s="535" t="n"/>
      <c r="J772" s="282" t="n"/>
      <c r="K772" s="282" t="n"/>
      <c r="L772" s="536" t="n"/>
      <c r="M772" s="535" t="n"/>
      <c r="N772" s="282" t="n"/>
      <c r="O772" s="282" t="n"/>
      <c r="P772" s="535" t="n"/>
      <c r="Q772" s="535" t="n"/>
      <c r="R772" s="282" t="n"/>
      <c r="S772" s="282" t="n"/>
      <c r="T772" s="535" t="n"/>
      <c r="U772" s="535" t="n"/>
      <c r="V772" s="282" t="n"/>
      <c r="W772" s="282" t="n"/>
      <c r="X772" s="536" t="n"/>
      <c r="Y772" s="536" t="n"/>
      <c r="Z772" s="282" t="n"/>
      <c r="AA772" s="282" t="n"/>
      <c r="AB772" s="536" t="n"/>
      <c r="AC772" s="536" t="n"/>
      <c r="AD772" s="282" t="n"/>
      <c r="AE772" s="282" t="n"/>
      <c r="AF772" s="537" t="n"/>
      <c r="AG772" s="537" t="n"/>
      <c r="AH772" s="282" t="n"/>
      <c r="AI772" s="282" t="n"/>
      <c r="AJ772" s="537" t="n"/>
      <c r="AK772" s="537" t="n"/>
      <c r="AL772" s="282" t="n"/>
      <c r="AM772" s="282" t="n"/>
      <c r="AN772" s="282" t="n"/>
      <c r="AO772" s="282" t="n"/>
      <c r="AP772" s="282" t="n"/>
      <c r="AQ772" s="282" t="n"/>
      <c r="AR772" s="535" t="n"/>
      <c r="AS772" s="535" t="n"/>
      <c r="AT772" s="282" t="n"/>
      <c r="AU772" s="282" t="n"/>
    </row>
    <row customHeight="1" ht="15.75" r="773" s="452" spans="1:48">
      <c r="A773" s="44" t="n"/>
      <c r="D773" s="535" t="n"/>
      <c r="E773" s="535" t="n"/>
      <c r="F773" s="282" t="n"/>
      <c r="G773" s="282" t="n"/>
      <c r="H773" s="536" t="n"/>
      <c r="I773" s="535" t="n"/>
      <c r="J773" s="282" t="n"/>
      <c r="K773" s="282" t="n"/>
      <c r="L773" s="536" t="n"/>
      <c r="M773" s="535" t="n"/>
      <c r="N773" s="282" t="n"/>
      <c r="O773" s="282" t="n"/>
      <c r="P773" s="535" t="n"/>
      <c r="Q773" s="535" t="n"/>
      <c r="R773" s="282" t="n"/>
      <c r="S773" s="282" t="n"/>
      <c r="T773" s="535" t="n"/>
      <c r="U773" s="535" t="n"/>
      <c r="V773" s="282" t="n"/>
      <c r="W773" s="282" t="n"/>
      <c r="X773" s="536" t="n"/>
      <c r="Y773" s="536" t="n"/>
      <c r="Z773" s="282" t="n"/>
      <c r="AA773" s="282" t="n"/>
      <c r="AB773" s="536" t="n"/>
      <c r="AC773" s="536" t="n"/>
      <c r="AD773" s="282" t="n"/>
      <c r="AE773" s="282" t="n"/>
      <c r="AF773" s="537" t="n"/>
      <c r="AG773" s="537" t="n"/>
      <c r="AH773" s="282" t="n"/>
      <c r="AI773" s="282" t="n"/>
      <c r="AJ773" s="537" t="n"/>
      <c r="AK773" s="537" t="n"/>
      <c r="AL773" s="282" t="n"/>
      <c r="AM773" s="282" t="n"/>
      <c r="AN773" s="282" t="n"/>
      <c r="AO773" s="282" t="n"/>
      <c r="AP773" s="282" t="n"/>
      <c r="AQ773" s="282" t="n"/>
      <c r="AR773" s="535" t="n"/>
      <c r="AS773" s="535" t="n"/>
      <c r="AT773" s="282" t="n"/>
      <c r="AU773" s="282" t="n"/>
    </row>
    <row customHeight="1" ht="15.75" r="774" s="452" spans="1:48">
      <c r="A774" s="44" t="n"/>
      <c r="D774" s="535" t="n"/>
      <c r="E774" s="535" t="n"/>
      <c r="F774" s="282" t="n"/>
      <c r="G774" s="282" t="n"/>
      <c r="H774" s="536" t="n"/>
      <c r="I774" s="535" t="n"/>
      <c r="J774" s="282" t="n"/>
      <c r="K774" s="282" t="n"/>
      <c r="L774" s="536" t="n"/>
      <c r="M774" s="535" t="n"/>
      <c r="N774" s="282" t="n"/>
      <c r="O774" s="282" t="n"/>
      <c r="P774" s="535" t="n"/>
      <c r="Q774" s="535" t="n"/>
      <c r="R774" s="282" t="n"/>
      <c r="S774" s="282" t="n"/>
      <c r="T774" s="535" t="n"/>
      <c r="U774" s="535" t="n"/>
      <c r="V774" s="282" t="n"/>
      <c r="W774" s="282" t="n"/>
      <c r="X774" s="536" t="n"/>
      <c r="Y774" s="536" t="n"/>
      <c r="Z774" s="282" t="n"/>
      <c r="AA774" s="282" t="n"/>
      <c r="AB774" s="536" t="n"/>
      <c r="AC774" s="536" t="n"/>
      <c r="AD774" s="282" t="n"/>
      <c r="AE774" s="282" t="n"/>
      <c r="AF774" s="537" t="n"/>
      <c r="AG774" s="537" t="n"/>
      <c r="AH774" s="282" t="n"/>
      <c r="AI774" s="282" t="n"/>
      <c r="AJ774" s="537" t="n"/>
      <c r="AK774" s="537" t="n"/>
      <c r="AL774" s="282" t="n"/>
      <c r="AM774" s="282" t="n"/>
      <c r="AN774" s="282" t="n"/>
      <c r="AO774" s="282" t="n"/>
      <c r="AP774" s="282" t="n"/>
      <c r="AQ774" s="282" t="n"/>
      <c r="AR774" s="535" t="n"/>
      <c r="AS774" s="535" t="n"/>
      <c r="AT774" s="282" t="n"/>
      <c r="AU774" s="282" t="n"/>
    </row>
    <row customHeight="1" ht="15.75" r="775" s="452" spans="1:48">
      <c r="A775" s="44" t="n"/>
      <c r="D775" s="535" t="n"/>
      <c r="E775" s="535" t="n"/>
      <c r="F775" s="282" t="n"/>
      <c r="G775" s="282" t="n"/>
      <c r="H775" s="536" t="n"/>
      <c r="I775" s="535" t="n"/>
      <c r="J775" s="282" t="n"/>
      <c r="K775" s="282" t="n"/>
      <c r="L775" s="536" t="n"/>
      <c r="M775" s="535" t="n"/>
      <c r="N775" s="282" t="n"/>
      <c r="O775" s="282" t="n"/>
      <c r="P775" s="535" t="n"/>
      <c r="Q775" s="535" t="n"/>
      <c r="R775" s="282" t="n"/>
      <c r="S775" s="282" t="n"/>
      <c r="T775" s="535" t="n"/>
      <c r="U775" s="535" t="n"/>
      <c r="V775" s="282" t="n"/>
      <c r="W775" s="282" t="n"/>
      <c r="X775" s="536" t="n"/>
      <c r="Y775" s="536" t="n"/>
      <c r="Z775" s="282" t="n"/>
      <c r="AA775" s="282" t="n"/>
      <c r="AB775" s="536" t="n"/>
      <c r="AC775" s="536" t="n"/>
      <c r="AD775" s="282" t="n"/>
      <c r="AE775" s="282" t="n"/>
      <c r="AF775" s="537" t="n"/>
      <c r="AG775" s="537" t="n"/>
      <c r="AH775" s="282" t="n"/>
      <c r="AI775" s="282" t="n"/>
      <c r="AJ775" s="537" t="n"/>
      <c r="AK775" s="537" t="n"/>
      <c r="AL775" s="282" t="n"/>
      <c r="AM775" s="282" t="n"/>
      <c r="AN775" s="282" t="n"/>
      <c r="AO775" s="282" t="n"/>
      <c r="AP775" s="282" t="n"/>
      <c r="AQ775" s="282" t="n"/>
      <c r="AR775" s="535" t="n"/>
      <c r="AS775" s="535" t="n"/>
      <c r="AT775" s="282" t="n"/>
      <c r="AU775" s="282" t="n"/>
    </row>
    <row customHeight="1" ht="15.75" r="776" s="452" spans="1:48">
      <c r="A776" s="44" t="n"/>
      <c r="D776" s="535" t="n"/>
      <c r="E776" s="535" t="n"/>
      <c r="F776" s="282" t="n"/>
      <c r="G776" s="282" t="n"/>
      <c r="H776" s="536" t="n"/>
      <c r="I776" s="535" t="n"/>
      <c r="J776" s="282" t="n"/>
      <c r="K776" s="282" t="n"/>
      <c r="L776" s="536" t="n"/>
      <c r="M776" s="535" t="n"/>
      <c r="N776" s="282" t="n"/>
      <c r="O776" s="282" t="n"/>
      <c r="P776" s="535" t="n"/>
      <c r="Q776" s="535" t="n"/>
      <c r="R776" s="282" t="n"/>
      <c r="S776" s="282" t="n"/>
      <c r="T776" s="535" t="n"/>
      <c r="U776" s="535" t="n"/>
      <c r="V776" s="282" t="n"/>
      <c r="W776" s="282" t="n"/>
      <c r="X776" s="536" t="n"/>
      <c r="Y776" s="536" t="n"/>
      <c r="Z776" s="282" t="n"/>
      <c r="AA776" s="282" t="n"/>
      <c r="AB776" s="536" t="n"/>
      <c r="AC776" s="536" t="n"/>
      <c r="AD776" s="282" t="n"/>
      <c r="AE776" s="282" t="n"/>
      <c r="AF776" s="537" t="n"/>
      <c r="AG776" s="537" t="n"/>
      <c r="AH776" s="282" t="n"/>
      <c r="AI776" s="282" t="n"/>
      <c r="AJ776" s="537" t="n"/>
      <c r="AK776" s="537" t="n"/>
      <c r="AL776" s="282" t="n"/>
      <c r="AM776" s="282" t="n"/>
      <c r="AN776" s="282" t="n"/>
      <c r="AO776" s="282" t="n"/>
      <c r="AP776" s="282" t="n"/>
      <c r="AQ776" s="282" t="n"/>
      <c r="AR776" s="535" t="n"/>
      <c r="AS776" s="535" t="n"/>
      <c r="AT776" s="282" t="n"/>
      <c r="AU776" s="282" t="n"/>
    </row>
    <row customHeight="1" ht="15.75" r="777" s="452" spans="1:48">
      <c r="A777" s="44" t="n"/>
      <c r="D777" s="535" t="n"/>
      <c r="E777" s="535" t="n"/>
      <c r="F777" s="282" t="n"/>
      <c r="G777" s="282" t="n"/>
      <c r="H777" s="536" t="n"/>
      <c r="I777" s="535" t="n"/>
      <c r="J777" s="282" t="n"/>
      <c r="K777" s="282" t="n"/>
      <c r="L777" s="536" t="n"/>
      <c r="M777" s="535" t="n"/>
      <c r="N777" s="282" t="n"/>
      <c r="O777" s="282" t="n"/>
      <c r="P777" s="535" t="n"/>
      <c r="Q777" s="535" t="n"/>
      <c r="R777" s="282" t="n"/>
      <c r="S777" s="282" t="n"/>
      <c r="T777" s="535" t="n"/>
      <c r="U777" s="535" t="n"/>
      <c r="V777" s="282" t="n"/>
      <c r="W777" s="282" t="n"/>
      <c r="X777" s="536" t="n"/>
      <c r="Y777" s="536" t="n"/>
      <c r="Z777" s="282" t="n"/>
      <c r="AA777" s="282" t="n"/>
      <c r="AB777" s="536" t="n"/>
      <c r="AC777" s="536" t="n"/>
      <c r="AD777" s="282" t="n"/>
      <c r="AE777" s="282" t="n"/>
      <c r="AF777" s="537" t="n"/>
      <c r="AG777" s="537" t="n"/>
      <c r="AH777" s="282" t="n"/>
      <c r="AI777" s="282" t="n"/>
      <c r="AJ777" s="537" t="n"/>
      <c r="AK777" s="537" t="n"/>
      <c r="AL777" s="282" t="n"/>
      <c r="AM777" s="282" t="n"/>
      <c r="AN777" s="282" t="n"/>
      <c r="AO777" s="282" t="n"/>
      <c r="AP777" s="282" t="n"/>
      <c r="AQ777" s="282" t="n"/>
      <c r="AR777" s="535" t="n"/>
      <c r="AS777" s="535" t="n"/>
      <c r="AT777" s="282" t="n"/>
      <c r="AU777" s="282" t="n"/>
    </row>
    <row customHeight="1" ht="15.75" r="778" s="452" spans="1:48">
      <c r="A778" s="44" t="n"/>
      <c r="D778" s="535" t="n"/>
      <c r="E778" s="535" t="n"/>
      <c r="F778" s="282" t="n"/>
      <c r="G778" s="282" t="n"/>
      <c r="H778" s="536" t="n"/>
      <c r="I778" s="535" t="n"/>
      <c r="J778" s="282" t="n"/>
      <c r="K778" s="282" t="n"/>
      <c r="L778" s="536" t="n"/>
      <c r="M778" s="535" t="n"/>
      <c r="N778" s="282" t="n"/>
      <c r="O778" s="282" t="n"/>
      <c r="P778" s="535" t="n"/>
      <c r="Q778" s="535" t="n"/>
      <c r="R778" s="282" t="n"/>
      <c r="S778" s="282" t="n"/>
      <c r="T778" s="535" t="n"/>
      <c r="U778" s="535" t="n"/>
      <c r="V778" s="282" t="n"/>
      <c r="W778" s="282" t="n"/>
      <c r="X778" s="536" t="n"/>
      <c r="Y778" s="536" t="n"/>
      <c r="Z778" s="282" t="n"/>
      <c r="AA778" s="282" t="n"/>
      <c r="AB778" s="536" t="n"/>
      <c r="AC778" s="536" t="n"/>
      <c r="AD778" s="282" t="n"/>
      <c r="AE778" s="282" t="n"/>
      <c r="AF778" s="537" t="n"/>
      <c r="AG778" s="537" t="n"/>
      <c r="AH778" s="282" t="n"/>
      <c r="AI778" s="282" t="n"/>
      <c r="AJ778" s="537" t="n"/>
      <c r="AK778" s="537" t="n"/>
      <c r="AL778" s="282" t="n"/>
      <c r="AM778" s="282" t="n"/>
      <c r="AN778" s="282" t="n"/>
      <c r="AO778" s="282" t="n"/>
      <c r="AP778" s="282" t="n"/>
      <c r="AQ778" s="282" t="n"/>
      <c r="AR778" s="535" t="n"/>
      <c r="AS778" s="535" t="n"/>
      <c r="AT778" s="282" t="n"/>
      <c r="AU778" s="282" t="n"/>
    </row>
    <row customHeight="1" ht="15.75" r="779" s="452" spans="1:48">
      <c r="A779" s="44" t="n"/>
      <c r="D779" s="535" t="n"/>
      <c r="E779" s="535" t="n"/>
      <c r="F779" s="282" t="n"/>
      <c r="G779" s="282" t="n"/>
      <c r="H779" s="536" t="n"/>
      <c r="I779" s="535" t="n"/>
      <c r="J779" s="282" t="n"/>
      <c r="K779" s="282" t="n"/>
      <c r="L779" s="536" t="n"/>
      <c r="M779" s="535" t="n"/>
      <c r="N779" s="282" t="n"/>
      <c r="O779" s="282" t="n"/>
      <c r="P779" s="535" t="n"/>
      <c r="Q779" s="535" t="n"/>
      <c r="R779" s="282" t="n"/>
      <c r="S779" s="282" t="n"/>
      <c r="T779" s="535" t="n"/>
      <c r="U779" s="535" t="n"/>
      <c r="V779" s="282" t="n"/>
      <c r="W779" s="282" t="n"/>
      <c r="X779" s="536" t="n"/>
      <c r="Y779" s="536" t="n"/>
      <c r="Z779" s="282" t="n"/>
      <c r="AA779" s="282" t="n"/>
      <c r="AB779" s="536" t="n"/>
      <c r="AC779" s="536" t="n"/>
      <c r="AD779" s="282" t="n"/>
      <c r="AE779" s="282" t="n"/>
      <c r="AF779" s="537" t="n"/>
      <c r="AG779" s="537" t="n"/>
      <c r="AH779" s="282" t="n"/>
      <c r="AI779" s="282" t="n"/>
      <c r="AJ779" s="537" t="n"/>
      <c r="AK779" s="537" t="n"/>
      <c r="AL779" s="282" t="n"/>
      <c r="AM779" s="282" t="n"/>
      <c r="AN779" s="282" t="n"/>
      <c r="AO779" s="282" t="n"/>
      <c r="AP779" s="282" t="n"/>
      <c r="AQ779" s="282" t="n"/>
      <c r="AR779" s="535" t="n"/>
      <c r="AS779" s="535" t="n"/>
      <c r="AT779" s="282" t="n"/>
      <c r="AU779" s="282" t="n"/>
    </row>
    <row customHeight="1" ht="15.75" r="780" s="452" spans="1:48">
      <c r="A780" s="44" t="n"/>
      <c r="D780" s="535" t="n"/>
      <c r="E780" s="535" t="n"/>
      <c r="F780" s="282" t="n"/>
      <c r="G780" s="282" t="n"/>
      <c r="H780" s="536" t="n"/>
      <c r="I780" s="535" t="n"/>
      <c r="J780" s="282" t="n"/>
      <c r="K780" s="282" t="n"/>
      <c r="L780" s="536" t="n"/>
      <c r="M780" s="535" t="n"/>
      <c r="N780" s="282" t="n"/>
      <c r="O780" s="282" t="n"/>
      <c r="P780" s="535" t="n"/>
      <c r="Q780" s="535" t="n"/>
      <c r="R780" s="282" t="n"/>
      <c r="S780" s="282" t="n"/>
      <c r="T780" s="535" t="n"/>
      <c r="U780" s="535" t="n"/>
      <c r="V780" s="282" t="n"/>
      <c r="W780" s="282" t="n"/>
      <c r="X780" s="536" t="n"/>
      <c r="Y780" s="536" t="n"/>
      <c r="Z780" s="282" t="n"/>
      <c r="AA780" s="282" t="n"/>
      <c r="AB780" s="536" t="n"/>
      <c r="AC780" s="536" t="n"/>
      <c r="AD780" s="282" t="n"/>
      <c r="AE780" s="282" t="n"/>
      <c r="AF780" s="537" t="n"/>
      <c r="AG780" s="537" t="n"/>
      <c r="AH780" s="282" t="n"/>
      <c r="AI780" s="282" t="n"/>
      <c r="AJ780" s="537" t="n"/>
      <c r="AK780" s="537" t="n"/>
      <c r="AL780" s="282" t="n"/>
      <c r="AM780" s="282" t="n"/>
      <c r="AN780" s="282" t="n"/>
      <c r="AO780" s="282" t="n"/>
      <c r="AP780" s="282" t="n"/>
      <c r="AQ780" s="282" t="n"/>
      <c r="AR780" s="535" t="n"/>
      <c r="AS780" s="535" t="n"/>
      <c r="AT780" s="282" t="n"/>
      <c r="AU780" s="282" t="n"/>
    </row>
    <row customHeight="1" ht="15.75" r="781" s="452" spans="1:48">
      <c r="A781" s="44" t="n"/>
      <c r="D781" s="535" t="n"/>
      <c r="E781" s="535" t="n"/>
      <c r="F781" s="282" t="n"/>
      <c r="G781" s="282" t="n"/>
      <c r="H781" s="536" t="n"/>
      <c r="I781" s="535" t="n"/>
      <c r="J781" s="282" t="n"/>
      <c r="K781" s="282" t="n"/>
      <c r="L781" s="536" t="n"/>
      <c r="M781" s="535" t="n"/>
      <c r="N781" s="282" t="n"/>
      <c r="O781" s="282" t="n"/>
      <c r="P781" s="535" t="n"/>
      <c r="Q781" s="535" t="n"/>
      <c r="R781" s="282" t="n"/>
      <c r="S781" s="282" t="n"/>
      <c r="T781" s="535" t="n"/>
      <c r="U781" s="535" t="n"/>
      <c r="V781" s="282" t="n"/>
      <c r="W781" s="282" t="n"/>
      <c r="X781" s="536" t="n"/>
      <c r="Y781" s="536" t="n"/>
      <c r="Z781" s="282" t="n"/>
      <c r="AA781" s="282" t="n"/>
      <c r="AB781" s="536" t="n"/>
      <c r="AC781" s="536" t="n"/>
      <c r="AD781" s="282" t="n"/>
      <c r="AE781" s="282" t="n"/>
      <c r="AF781" s="537" t="n"/>
      <c r="AG781" s="537" t="n"/>
      <c r="AH781" s="282" t="n"/>
      <c r="AI781" s="282" t="n"/>
      <c r="AJ781" s="537" t="n"/>
      <c r="AK781" s="537" t="n"/>
      <c r="AL781" s="282" t="n"/>
      <c r="AM781" s="282" t="n"/>
      <c r="AN781" s="282" t="n"/>
      <c r="AO781" s="282" t="n"/>
      <c r="AP781" s="282" t="n"/>
      <c r="AQ781" s="282" t="n"/>
      <c r="AR781" s="535" t="n"/>
      <c r="AS781" s="535" t="n"/>
      <c r="AT781" s="282" t="n"/>
      <c r="AU781" s="282" t="n"/>
    </row>
    <row customHeight="1" ht="15.75" r="782" s="452" spans="1:48">
      <c r="A782" s="44" t="n"/>
      <c r="D782" s="535" t="n"/>
      <c r="E782" s="535" t="n"/>
      <c r="F782" s="282" t="n"/>
      <c r="G782" s="282" t="n"/>
      <c r="H782" s="536" t="n"/>
      <c r="I782" s="535" t="n"/>
      <c r="J782" s="282" t="n"/>
      <c r="K782" s="282" t="n"/>
      <c r="L782" s="536" t="n"/>
      <c r="M782" s="535" t="n"/>
      <c r="N782" s="282" t="n"/>
      <c r="O782" s="282" t="n"/>
      <c r="P782" s="535" t="n"/>
      <c r="Q782" s="535" t="n"/>
      <c r="R782" s="282" t="n"/>
      <c r="S782" s="282" t="n"/>
      <c r="T782" s="535" t="n"/>
      <c r="U782" s="535" t="n"/>
      <c r="V782" s="282" t="n"/>
      <c r="W782" s="282" t="n"/>
      <c r="X782" s="536" t="n"/>
      <c r="Y782" s="536" t="n"/>
      <c r="Z782" s="282" t="n"/>
      <c r="AA782" s="282" t="n"/>
      <c r="AB782" s="536" t="n"/>
      <c r="AC782" s="536" t="n"/>
      <c r="AD782" s="282" t="n"/>
      <c r="AE782" s="282" t="n"/>
      <c r="AF782" s="537" t="n"/>
      <c r="AG782" s="537" t="n"/>
      <c r="AH782" s="282" t="n"/>
      <c r="AI782" s="282" t="n"/>
      <c r="AJ782" s="537" t="n"/>
      <c r="AK782" s="537" t="n"/>
      <c r="AL782" s="282" t="n"/>
      <c r="AM782" s="282" t="n"/>
      <c r="AN782" s="282" t="n"/>
      <c r="AO782" s="282" t="n"/>
      <c r="AP782" s="282" t="n"/>
      <c r="AQ782" s="282" t="n"/>
      <c r="AR782" s="535" t="n"/>
      <c r="AS782" s="535" t="n"/>
      <c r="AT782" s="282" t="n"/>
      <c r="AU782" s="282" t="n"/>
    </row>
    <row customHeight="1" ht="15.75" r="783" s="452" spans="1:48">
      <c r="A783" s="44" t="n"/>
      <c r="D783" s="535" t="n"/>
      <c r="E783" s="535" t="n"/>
      <c r="F783" s="282" t="n"/>
      <c r="G783" s="282" t="n"/>
      <c r="H783" s="536" t="n"/>
      <c r="I783" s="535" t="n"/>
      <c r="J783" s="282" t="n"/>
      <c r="K783" s="282" t="n"/>
      <c r="L783" s="536" t="n"/>
      <c r="M783" s="535" t="n"/>
      <c r="N783" s="282" t="n"/>
      <c r="O783" s="282" t="n"/>
      <c r="P783" s="535" t="n"/>
      <c r="Q783" s="535" t="n"/>
      <c r="R783" s="282" t="n"/>
      <c r="S783" s="282" t="n"/>
      <c r="T783" s="535" t="n"/>
      <c r="U783" s="535" t="n"/>
      <c r="V783" s="282" t="n"/>
      <c r="W783" s="282" t="n"/>
      <c r="X783" s="536" t="n"/>
      <c r="Y783" s="536" t="n"/>
      <c r="Z783" s="282" t="n"/>
      <c r="AA783" s="282" t="n"/>
      <c r="AB783" s="536" t="n"/>
      <c r="AC783" s="536" t="n"/>
      <c r="AD783" s="282" t="n"/>
      <c r="AE783" s="282" t="n"/>
      <c r="AF783" s="537" t="n"/>
      <c r="AG783" s="537" t="n"/>
      <c r="AH783" s="282" t="n"/>
      <c r="AI783" s="282" t="n"/>
      <c r="AJ783" s="537" t="n"/>
      <c r="AK783" s="537" t="n"/>
      <c r="AL783" s="282" t="n"/>
      <c r="AM783" s="282" t="n"/>
      <c r="AN783" s="282" t="n"/>
      <c r="AO783" s="282" t="n"/>
      <c r="AP783" s="282" t="n"/>
      <c r="AQ783" s="282" t="n"/>
      <c r="AR783" s="535" t="n"/>
      <c r="AS783" s="535" t="n"/>
      <c r="AT783" s="282" t="n"/>
      <c r="AU783" s="282" t="n"/>
    </row>
    <row customHeight="1" ht="15.75" r="784" s="452" spans="1:48">
      <c r="A784" s="44" t="n"/>
      <c r="D784" s="535" t="n"/>
      <c r="E784" s="535" t="n"/>
      <c r="F784" s="282" t="n"/>
      <c r="G784" s="282" t="n"/>
      <c r="H784" s="536" t="n"/>
      <c r="I784" s="535" t="n"/>
      <c r="J784" s="282" t="n"/>
      <c r="K784" s="282" t="n"/>
      <c r="L784" s="536" t="n"/>
      <c r="M784" s="535" t="n"/>
      <c r="N784" s="282" t="n"/>
      <c r="O784" s="282" t="n"/>
      <c r="P784" s="535" t="n"/>
      <c r="Q784" s="535" t="n"/>
      <c r="R784" s="282" t="n"/>
      <c r="S784" s="282" t="n"/>
      <c r="T784" s="535" t="n"/>
      <c r="U784" s="535" t="n"/>
      <c r="V784" s="282" t="n"/>
      <c r="W784" s="282" t="n"/>
      <c r="X784" s="536" t="n"/>
      <c r="Y784" s="536" t="n"/>
      <c r="Z784" s="282" t="n"/>
      <c r="AA784" s="282" t="n"/>
      <c r="AB784" s="536" t="n"/>
      <c r="AC784" s="536" t="n"/>
      <c r="AD784" s="282" t="n"/>
      <c r="AE784" s="282" t="n"/>
      <c r="AF784" s="537" t="n"/>
      <c r="AG784" s="537" t="n"/>
      <c r="AH784" s="282" t="n"/>
      <c r="AI784" s="282" t="n"/>
      <c r="AJ784" s="537" t="n"/>
      <c r="AK784" s="537" t="n"/>
      <c r="AL784" s="282" t="n"/>
      <c r="AM784" s="282" t="n"/>
      <c r="AN784" s="282" t="n"/>
      <c r="AO784" s="282" t="n"/>
      <c r="AP784" s="282" t="n"/>
      <c r="AQ784" s="282" t="n"/>
      <c r="AR784" s="535" t="n"/>
      <c r="AS784" s="535" t="n"/>
      <c r="AT784" s="282" t="n"/>
      <c r="AU784" s="282" t="n"/>
    </row>
    <row customHeight="1" ht="15.75" r="785" s="452" spans="1:48">
      <c r="A785" s="44" t="n"/>
      <c r="D785" s="535" t="n"/>
      <c r="E785" s="535" t="n"/>
      <c r="F785" s="282" t="n"/>
      <c r="G785" s="282" t="n"/>
      <c r="H785" s="536" t="n"/>
      <c r="I785" s="535" t="n"/>
      <c r="J785" s="282" t="n"/>
      <c r="K785" s="282" t="n"/>
      <c r="L785" s="536" t="n"/>
      <c r="M785" s="535" t="n"/>
      <c r="N785" s="282" t="n"/>
      <c r="O785" s="282" t="n"/>
      <c r="P785" s="535" t="n"/>
      <c r="Q785" s="535" t="n"/>
      <c r="R785" s="282" t="n"/>
      <c r="S785" s="282" t="n"/>
      <c r="T785" s="535" t="n"/>
      <c r="U785" s="535" t="n"/>
      <c r="V785" s="282" t="n"/>
      <c r="W785" s="282" t="n"/>
      <c r="X785" s="536" t="n"/>
      <c r="Y785" s="536" t="n"/>
      <c r="Z785" s="282" t="n"/>
      <c r="AA785" s="282" t="n"/>
      <c r="AB785" s="536" t="n"/>
      <c r="AC785" s="536" t="n"/>
      <c r="AD785" s="282" t="n"/>
      <c r="AE785" s="282" t="n"/>
      <c r="AF785" s="537" t="n"/>
      <c r="AG785" s="537" t="n"/>
      <c r="AH785" s="282" t="n"/>
      <c r="AI785" s="282" t="n"/>
      <c r="AJ785" s="537" t="n"/>
      <c r="AK785" s="537" t="n"/>
      <c r="AL785" s="282" t="n"/>
      <c r="AM785" s="282" t="n"/>
      <c r="AN785" s="282" t="n"/>
      <c r="AO785" s="282" t="n"/>
      <c r="AP785" s="282" t="n"/>
      <c r="AQ785" s="282" t="n"/>
      <c r="AR785" s="535" t="n"/>
      <c r="AS785" s="535" t="n"/>
      <c r="AT785" s="282" t="n"/>
      <c r="AU785" s="282" t="n"/>
    </row>
    <row customHeight="1" ht="15.75" r="786" s="452" spans="1:48">
      <c r="A786" s="44" t="n"/>
      <c r="D786" s="535" t="n"/>
      <c r="E786" s="535" t="n"/>
      <c r="F786" s="282" t="n"/>
      <c r="G786" s="282" t="n"/>
      <c r="H786" s="536" t="n"/>
      <c r="I786" s="535" t="n"/>
      <c r="J786" s="282" t="n"/>
      <c r="K786" s="282" t="n"/>
      <c r="L786" s="536" t="n"/>
      <c r="M786" s="535" t="n"/>
      <c r="N786" s="282" t="n"/>
      <c r="O786" s="282" t="n"/>
      <c r="P786" s="535" t="n"/>
      <c r="Q786" s="535" t="n"/>
      <c r="R786" s="282" t="n"/>
      <c r="S786" s="282" t="n"/>
      <c r="T786" s="535" t="n"/>
      <c r="U786" s="535" t="n"/>
      <c r="V786" s="282" t="n"/>
      <c r="W786" s="282" t="n"/>
      <c r="X786" s="536" t="n"/>
      <c r="Y786" s="536" t="n"/>
      <c r="Z786" s="282" t="n"/>
      <c r="AA786" s="282" t="n"/>
      <c r="AB786" s="536" t="n"/>
      <c r="AC786" s="536" t="n"/>
      <c r="AD786" s="282" t="n"/>
      <c r="AE786" s="282" t="n"/>
      <c r="AF786" s="537" t="n"/>
      <c r="AG786" s="537" t="n"/>
      <c r="AH786" s="282" t="n"/>
      <c r="AI786" s="282" t="n"/>
      <c r="AJ786" s="537" t="n"/>
      <c r="AK786" s="537" t="n"/>
      <c r="AL786" s="282" t="n"/>
      <c r="AM786" s="282" t="n"/>
      <c r="AN786" s="282" t="n"/>
      <c r="AO786" s="282" t="n"/>
      <c r="AP786" s="282" t="n"/>
      <c r="AQ786" s="282" t="n"/>
      <c r="AR786" s="535" t="n"/>
      <c r="AS786" s="535" t="n"/>
      <c r="AT786" s="282" t="n"/>
      <c r="AU786" s="282" t="n"/>
    </row>
    <row customHeight="1" ht="15.75" r="787" s="452" spans="1:48">
      <c r="A787" s="44" t="n"/>
      <c r="D787" s="535" t="n"/>
      <c r="E787" s="535" t="n"/>
      <c r="F787" s="282" t="n"/>
      <c r="G787" s="282" t="n"/>
      <c r="H787" s="536" t="n"/>
      <c r="I787" s="535" t="n"/>
      <c r="J787" s="282" t="n"/>
      <c r="K787" s="282" t="n"/>
      <c r="L787" s="536" t="n"/>
      <c r="M787" s="535" t="n"/>
      <c r="N787" s="282" t="n"/>
      <c r="O787" s="282" t="n"/>
      <c r="P787" s="535" t="n"/>
      <c r="Q787" s="535" t="n"/>
      <c r="R787" s="282" t="n"/>
      <c r="S787" s="282" t="n"/>
      <c r="T787" s="535" t="n"/>
      <c r="U787" s="535" t="n"/>
      <c r="V787" s="282" t="n"/>
      <c r="W787" s="282" t="n"/>
      <c r="X787" s="536" t="n"/>
      <c r="Y787" s="536" t="n"/>
      <c r="Z787" s="282" t="n"/>
      <c r="AA787" s="282" t="n"/>
      <c r="AB787" s="536" t="n"/>
      <c r="AC787" s="536" t="n"/>
      <c r="AD787" s="282" t="n"/>
      <c r="AE787" s="282" t="n"/>
      <c r="AF787" s="537" t="n"/>
      <c r="AG787" s="537" t="n"/>
      <c r="AH787" s="282" t="n"/>
      <c r="AI787" s="282" t="n"/>
      <c r="AJ787" s="537" t="n"/>
      <c r="AK787" s="537" t="n"/>
      <c r="AL787" s="282" t="n"/>
      <c r="AM787" s="282" t="n"/>
      <c r="AN787" s="282" t="n"/>
      <c r="AO787" s="282" t="n"/>
      <c r="AP787" s="282" t="n"/>
      <c r="AQ787" s="282" t="n"/>
      <c r="AR787" s="535" t="n"/>
      <c r="AS787" s="535" t="n"/>
      <c r="AT787" s="282" t="n"/>
      <c r="AU787" s="282" t="n"/>
    </row>
    <row customHeight="1" ht="15.75" r="788" s="452" spans="1:48">
      <c r="A788" s="44" t="n"/>
      <c r="D788" s="535" t="n"/>
      <c r="E788" s="535" t="n"/>
      <c r="F788" s="282" t="n"/>
      <c r="G788" s="282" t="n"/>
      <c r="H788" s="536" t="n"/>
      <c r="I788" s="535" t="n"/>
      <c r="J788" s="282" t="n"/>
      <c r="K788" s="282" t="n"/>
      <c r="L788" s="536" t="n"/>
      <c r="M788" s="535" t="n"/>
      <c r="N788" s="282" t="n"/>
      <c r="O788" s="282" t="n"/>
      <c r="P788" s="535" t="n"/>
      <c r="Q788" s="535" t="n"/>
      <c r="R788" s="282" t="n"/>
      <c r="S788" s="282" t="n"/>
      <c r="T788" s="535" t="n"/>
      <c r="U788" s="535" t="n"/>
      <c r="V788" s="282" t="n"/>
      <c r="W788" s="282" t="n"/>
      <c r="X788" s="536" t="n"/>
      <c r="Y788" s="536" t="n"/>
      <c r="Z788" s="282" t="n"/>
      <c r="AA788" s="282" t="n"/>
      <c r="AB788" s="536" t="n"/>
      <c r="AC788" s="536" t="n"/>
      <c r="AD788" s="282" t="n"/>
      <c r="AE788" s="282" t="n"/>
      <c r="AF788" s="537" t="n"/>
      <c r="AG788" s="537" t="n"/>
      <c r="AH788" s="282" t="n"/>
      <c r="AI788" s="282" t="n"/>
      <c r="AJ788" s="537" t="n"/>
      <c r="AK788" s="537" t="n"/>
      <c r="AL788" s="282" t="n"/>
      <c r="AM788" s="282" t="n"/>
      <c r="AN788" s="282" t="n"/>
      <c r="AO788" s="282" t="n"/>
      <c r="AP788" s="282" t="n"/>
      <c r="AQ788" s="282" t="n"/>
      <c r="AR788" s="535" t="n"/>
      <c r="AS788" s="535" t="n"/>
      <c r="AT788" s="282" t="n"/>
      <c r="AU788" s="282" t="n"/>
    </row>
    <row customHeight="1" ht="15.75" r="789" s="452" spans="1:48">
      <c r="A789" s="44" t="n"/>
      <c r="D789" s="535" t="n"/>
      <c r="E789" s="535" t="n"/>
      <c r="F789" s="282" t="n"/>
      <c r="G789" s="282" t="n"/>
      <c r="H789" s="536" t="n"/>
      <c r="I789" s="535" t="n"/>
      <c r="J789" s="282" t="n"/>
      <c r="K789" s="282" t="n"/>
      <c r="L789" s="536" t="n"/>
      <c r="M789" s="535" t="n"/>
      <c r="N789" s="282" t="n"/>
      <c r="O789" s="282" t="n"/>
      <c r="P789" s="535" t="n"/>
      <c r="Q789" s="535" t="n"/>
      <c r="R789" s="282" t="n"/>
      <c r="S789" s="282" t="n"/>
      <c r="T789" s="535" t="n"/>
      <c r="U789" s="535" t="n"/>
      <c r="V789" s="282" t="n"/>
      <c r="W789" s="282" t="n"/>
      <c r="X789" s="536" t="n"/>
      <c r="Y789" s="536" t="n"/>
      <c r="Z789" s="282" t="n"/>
      <c r="AA789" s="282" t="n"/>
      <c r="AB789" s="536" t="n"/>
      <c r="AC789" s="536" t="n"/>
      <c r="AD789" s="282" t="n"/>
      <c r="AE789" s="282" t="n"/>
      <c r="AF789" s="537" t="n"/>
      <c r="AG789" s="537" t="n"/>
      <c r="AH789" s="282" t="n"/>
      <c r="AI789" s="282" t="n"/>
      <c r="AJ789" s="537" t="n"/>
      <c r="AK789" s="537" t="n"/>
      <c r="AL789" s="282" t="n"/>
      <c r="AM789" s="282" t="n"/>
      <c r="AN789" s="282" t="n"/>
      <c r="AO789" s="282" t="n"/>
      <c r="AP789" s="282" t="n"/>
      <c r="AQ789" s="282" t="n"/>
      <c r="AR789" s="535" t="n"/>
      <c r="AS789" s="535" t="n"/>
      <c r="AT789" s="282" t="n"/>
      <c r="AU789" s="282" t="n"/>
    </row>
    <row customHeight="1" ht="15.75" r="790" s="452" spans="1:48">
      <c r="A790" s="44" t="n"/>
      <c r="D790" s="535" t="n"/>
      <c r="E790" s="535" t="n"/>
      <c r="F790" s="282" t="n"/>
      <c r="G790" s="282" t="n"/>
      <c r="H790" s="536" t="n"/>
      <c r="I790" s="535" t="n"/>
      <c r="J790" s="282" t="n"/>
      <c r="K790" s="282" t="n"/>
      <c r="L790" s="536" t="n"/>
      <c r="M790" s="535" t="n"/>
      <c r="N790" s="282" t="n"/>
      <c r="O790" s="282" t="n"/>
      <c r="P790" s="535" t="n"/>
      <c r="Q790" s="535" t="n"/>
      <c r="R790" s="282" t="n"/>
      <c r="S790" s="282" t="n"/>
      <c r="T790" s="535" t="n"/>
      <c r="U790" s="535" t="n"/>
      <c r="V790" s="282" t="n"/>
      <c r="W790" s="282" t="n"/>
      <c r="X790" s="536" t="n"/>
      <c r="Y790" s="536" t="n"/>
      <c r="Z790" s="282" t="n"/>
      <c r="AA790" s="282" t="n"/>
      <c r="AB790" s="536" t="n"/>
      <c r="AC790" s="536" t="n"/>
      <c r="AD790" s="282" t="n"/>
      <c r="AE790" s="282" t="n"/>
      <c r="AF790" s="537" t="n"/>
      <c r="AG790" s="537" t="n"/>
      <c r="AH790" s="282" t="n"/>
      <c r="AI790" s="282" t="n"/>
      <c r="AJ790" s="537" t="n"/>
      <c r="AK790" s="537" t="n"/>
      <c r="AL790" s="282" t="n"/>
      <c r="AM790" s="282" t="n"/>
      <c r="AN790" s="282" t="n"/>
      <c r="AO790" s="282" t="n"/>
      <c r="AP790" s="282" t="n"/>
      <c r="AQ790" s="282" t="n"/>
      <c r="AR790" s="535" t="n"/>
      <c r="AS790" s="535" t="n"/>
      <c r="AT790" s="282" t="n"/>
      <c r="AU790" s="282" t="n"/>
    </row>
    <row customHeight="1" ht="15.75" r="791" s="452" spans="1:48">
      <c r="A791" s="44" t="n"/>
      <c r="D791" s="535" t="n"/>
      <c r="E791" s="535" t="n"/>
      <c r="F791" s="282" t="n"/>
      <c r="G791" s="282" t="n"/>
      <c r="H791" s="536" t="n"/>
      <c r="I791" s="535" t="n"/>
      <c r="J791" s="282" t="n"/>
      <c r="K791" s="282" t="n"/>
      <c r="L791" s="536" t="n"/>
      <c r="M791" s="535" t="n"/>
      <c r="N791" s="282" t="n"/>
      <c r="O791" s="282" t="n"/>
      <c r="P791" s="535" t="n"/>
      <c r="Q791" s="535" t="n"/>
      <c r="R791" s="282" t="n"/>
      <c r="S791" s="282" t="n"/>
      <c r="T791" s="535" t="n"/>
      <c r="U791" s="535" t="n"/>
      <c r="V791" s="282" t="n"/>
      <c r="W791" s="282" t="n"/>
      <c r="X791" s="536" t="n"/>
      <c r="Y791" s="536" t="n"/>
      <c r="Z791" s="282" t="n"/>
      <c r="AA791" s="282" t="n"/>
      <c r="AB791" s="536" t="n"/>
      <c r="AC791" s="536" t="n"/>
      <c r="AD791" s="282" t="n"/>
      <c r="AE791" s="282" t="n"/>
      <c r="AF791" s="537" t="n"/>
      <c r="AG791" s="537" t="n"/>
      <c r="AH791" s="282" t="n"/>
      <c r="AI791" s="282" t="n"/>
      <c r="AJ791" s="537" t="n"/>
      <c r="AK791" s="537" t="n"/>
      <c r="AL791" s="282" t="n"/>
      <c r="AM791" s="282" t="n"/>
      <c r="AN791" s="282" t="n"/>
      <c r="AO791" s="282" t="n"/>
      <c r="AP791" s="282" t="n"/>
      <c r="AQ791" s="282" t="n"/>
      <c r="AR791" s="535" t="n"/>
      <c r="AS791" s="535" t="n"/>
      <c r="AT791" s="282" t="n"/>
      <c r="AU791" s="282" t="n"/>
    </row>
    <row customHeight="1" ht="15.75" r="792" s="452" spans="1:48">
      <c r="A792" s="44" t="n"/>
      <c r="D792" s="535" t="n"/>
      <c r="E792" s="535" t="n"/>
      <c r="F792" s="282" t="n"/>
      <c r="G792" s="282" t="n"/>
      <c r="H792" s="536" t="n"/>
      <c r="I792" s="535" t="n"/>
      <c r="J792" s="282" t="n"/>
      <c r="K792" s="282" t="n"/>
      <c r="L792" s="536" t="n"/>
      <c r="M792" s="535" t="n"/>
      <c r="N792" s="282" t="n"/>
      <c r="O792" s="282" t="n"/>
      <c r="P792" s="535" t="n"/>
      <c r="Q792" s="535" t="n"/>
      <c r="R792" s="282" t="n"/>
      <c r="S792" s="282" t="n"/>
      <c r="T792" s="535" t="n"/>
      <c r="U792" s="535" t="n"/>
      <c r="V792" s="282" t="n"/>
      <c r="W792" s="282" t="n"/>
      <c r="X792" s="536" t="n"/>
      <c r="Y792" s="536" t="n"/>
      <c r="Z792" s="282" t="n"/>
      <c r="AA792" s="282" t="n"/>
      <c r="AB792" s="536" t="n"/>
      <c r="AC792" s="536" t="n"/>
      <c r="AD792" s="282" t="n"/>
      <c r="AE792" s="282" t="n"/>
      <c r="AF792" s="537" t="n"/>
      <c r="AG792" s="537" t="n"/>
      <c r="AH792" s="282" t="n"/>
      <c r="AI792" s="282" t="n"/>
      <c r="AJ792" s="537" t="n"/>
      <c r="AK792" s="537" t="n"/>
      <c r="AL792" s="282" t="n"/>
      <c r="AM792" s="282" t="n"/>
      <c r="AN792" s="282" t="n"/>
      <c r="AO792" s="282" t="n"/>
      <c r="AP792" s="282" t="n"/>
      <c r="AQ792" s="282" t="n"/>
      <c r="AR792" s="535" t="n"/>
      <c r="AS792" s="535" t="n"/>
      <c r="AT792" s="282" t="n"/>
      <c r="AU792" s="282" t="n"/>
    </row>
    <row customHeight="1" ht="15.75" r="793" s="452" spans="1:48">
      <c r="A793" s="44" t="n"/>
      <c r="D793" s="535" t="n"/>
      <c r="E793" s="535" t="n"/>
      <c r="F793" s="282" t="n"/>
      <c r="G793" s="282" t="n"/>
      <c r="H793" s="536" t="n"/>
      <c r="I793" s="535" t="n"/>
      <c r="J793" s="282" t="n"/>
      <c r="K793" s="282" t="n"/>
      <c r="L793" s="536" t="n"/>
      <c r="M793" s="535" t="n"/>
      <c r="N793" s="282" t="n"/>
      <c r="O793" s="282" t="n"/>
      <c r="P793" s="535" t="n"/>
      <c r="Q793" s="535" t="n"/>
      <c r="R793" s="282" t="n"/>
      <c r="S793" s="282" t="n"/>
      <c r="T793" s="535" t="n"/>
      <c r="U793" s="535" t="n"/>
      <c r="V793" s="282" t="n"/>
      <c r="W793" s="282" t="n"/>
      <c r="X793" s="536" t="n"/>
      <c r="Y793" s="536" t="n"/>
      <c r="Z793" s="282" t="n"/>
      <c r="AA793" s="282" t="n"/>
      <c r="AB793" s="536" t="n"/>
      <c r="AC793" s="536" t="n"/>
      <c r="AD793" s="282" t="n"/>
      <c r="AE793" s="282" t="n"/>
      <c r="AF793" s="537" t="n"/>
      <c r="AG793" s="537" t="n"/>
      <c r="AH793" s="282" t="n"/>
      <c r="AI793" s="282" t="n"/>
      <c r="AJ793" s="537" t="n"/>
      <c r="AK793" s="537" t="n"/>
      <c r="AL793" s="282" t="n"/>
      <c r="AM793" s="282" t="n"/>
      <c r="AN793" s="282" t="n"/>
      <c r="AO793" s="282" t="n"/>
      <c r="AP793" s="282" t="n"/>
      <c r="AQ793" s="282" t="n"/>
      <c r="AR793" s="535" t="n"/>
      <c r="AS793" s="535" t="n"/>
      <c r="AT793" s="282" t="n"/>
      <c r="AU793" s="282" t="n"/>
    </row>
    <row customHeight="1" ht="15.75" r="794" s="452" spans="1:48">
      <c r="A794" s="44" t="n"/>
      <c r="D794" s="535" t="n"/>
      <c r="E794" s="535" t="n"/>
      <c r="F794" s="282" t="n"/>
      <c r="G794" s="282" t="n"/>
      <c r="H794" s="536" t="n"/>
      <c r="I794" s="535" t="n"/>
      <c r="J794" s="282" t="n"/>
      <c r="K794" s="282" t="n"/>
      <c r="L794" s="536" t="n"/>
      <c r="M794" s="535" t="n"/>
      <c r="N794" s="282" t="n"/>
      <c r="O794" s="282" t="n"/>
      <c r="P794" s="535" t="n"/>
      <c r="Q794" s="535" t="n"/>
      <c r="R794" s="282" t="n"/>
      <c r="S794" s="282" t="n"/>
      <c r="T794" s="535" t="n"/>
      <c r="U794" s="535" t="n"/>
      <c r="V794" s="282" t="n"/>
      <c r="W794" s="282" t="n"/>
      <c r="X794" s="536" t="n"/>
      <c r="Y794" s="536" t="n"/>
      <c r="Z794" s="282" t="n"/>
      <c r="AA794" s="282" t="n"/>
      <c r="AB794" s="536" t="n"/>
      <c r="AC794" s="536" t="n"/>
      <c r="AD794" s="282" t="n"/>
      <c r="AE794" s="282" t="n"/>
      <c r="AF794" s="537" t="n"/>
      <c r="AG794" s="537" t="n"/>
      <c r="AH794" s="282" t="n"/>
      <c r="AI794" s="282" t="n"/>
      <c r="AJ794" s="537" t="n"/>
      <c r="AK794" s="537" t="n"/>
      <c r="AL794" s="282" t="n"/>
      <c r="AM794" s="282" t="n"/>
      <c r="AN794" s="282" t="n"/>
      <c r="AO794" s="282" t="n"/>
      <c r="AP794" s="282" t="n"/>
      <c r="AQ794" s="282" t="n"/>
      <c r="AR794" s="535" t="n"/>
      <c r="AS794" s="535" t="n"/>
      <c r="AT794" s="282" t="n"/>
      <c r="AU794" s="282" t="n"/>
    </row>
    <row customHeight="1" ht="15.75" r="795" s="452" spans="1:48">
      <c r="A795" s="44" t="n"/>
      <c r="D795" s="535" t="n"/>
      <c r="E795" s="535" t="n"/>
      <c r="F795" s="282" t="n"/>
      <c r="G795" s="282" t="n"/>
      <c r="H795" s="536" t="n"/>
      <c r="I795" s="535" t="n"/>
      <c r="J795" s="282" t="n"/>
      <c r="K795" s="282" t="n"/>
      <c r="L795" s="536" t="n"/>
      <c r="M795" s="535" t="n"/>
      <c r="N795" s="282" t="n"/>
      <c r="O795" s="282" t="n"/>
      <c r="P795" s="535" t="n"/>
      <c r="Q795" s="535" t="n"/>
      <c r="R795" s="282" t="n"/>
      <c r="S795" s="282" t="n"/>
      <c r="T795" s="535" t="n"/>
      <c r="U795" s="535" t="n"/>
      <c r="V795" s="282" t="n"/>
      <c r="W795" s="282" t="n"/>
      <c r="X795" s="536" t="n"/>
      <c r="Y795" s="536" t="n"/>
      <c r="Z795" s="282" t="n"/>
      <c r="AA795" s="282" t="n"/>
      <c r="AB795" s="536" t="n"/>
      <c r="AC795" s="536" t="n"/>
      <c r="AD795" s="282" t="n"/>
      <c r="AE795" s="282" t="n"/>
      <c r="AF795" s="537" t="n"/>
      <c r="AG795" s="537" t="n"/>
      <c r="AH795" s="282" t="n"/>
      <c r="AI795" s="282" t="n"/>
      <c r="AJ795" s="537" t="n"/>
      <c r="AK795" s="537" t="n"/>
      <c r="AL795" s="282" t="n"/>
      <c r="AM795" s="282" t="n"/>
      <c r="AN795" s="282" t="n"/>
      <c r="AO795" s="282" t="n"/>
      <c r="AP795" s="282" t="n"/>
      <c r="AQ795" s="282" t="n"/>
      <c r="AR795" s="535" t="n"/>
      <c r="AS795" s="535" t="n"/>
      <c r="AT795" s="282" t="n"/>
      <c r="AU795" s="282" t="n"/>
    </row>
    <row customHeight="1" ht="15.75" r="796" s="452" spans="1:48">
      <c r="A796" s="44" t="n"/>
      <c r="D796" s="535" t="n"/>
      <c r="E796" s="535" t="n"/>
      <c r="F796" s="282" t="n"/>
      <c r="G796" s="282" t="n"/>
      <c r="H796" s="536" t="n"/>
      <c r="I796" s="535" t="n"/>
      <c r="J796" s="282" t="n"/>
      <c r="K796" s="282" t="n"/>
      <c r="L796" s="536" t="n"/>
      <c r="M796" s="535" t="n"/>
      <c r="N796" s="282" t="n"/>
      <c r="O796" s="282" t="n"/>
      <c r="P796" s="535" t="n"/>
      <c r="Q796" s="535" t="n"/>
      <c r="R796" s="282" t="n"/>
      <c r="S796" s="282" t="n"/>
      <c r="T796" s="535" t="n"/>
      <c r="U796" s="535" t="n"/>
      <c r="V796" s="282" t="n"/>
      <c r="W796" s="282" t="n"/>
      <c r="X796" s="536" t="n"/>
      <c r="Y796" s="536" t="n"/>
      <c r="Z796" s="282" t="n"/>
      <c r="AA796" s="282" t="n"/>
      <c r="AB796" s="536" t="n"/>
      <c r="AC796" s="536" t="n"/>
      <c r="AD796" s="282" t="n"/>
      <c r="AE796" s="282" t="n"/>
      <c r="AF796" s="537" t="n"/>
      <c r="AG796" s="537" t="n"/>
      <c r="AH796" s="282" t="n"/>
      <c r="AI796" s="282" t="n"/>
      <c r="AJ796" s="537" t="n"/>
      <c r="AK796" s="537" t="n"/>
      <c r="AL796" s="282" t="n"/>
      <c r="AM796" s="282" t="n"/>
      <c r="AN796" s="282" t="n"/>
      <c r="AO796" s="282" t="n"/>
      <c r="AP796" s="282" t="n"/>
      <c r="AQ796" s="282" t="n"/>
      <c r="AR796" s="535" t="n"/>
      <c r="AS796" s="535" t="n"/>
      <c r="AT796" s="282" t="n"/>
      <c r="AU796" s="282" t="n"/>
    </row>
    <row customHeight="1" ht="15.75" r="797" s="452" spans="1:48">
      <c r="A797" s="44" t="n"/>
      <c r="D797" s="535" t="n"/>
      <c r="E797" s="535" t="n"/>
      <c r="F797" s="282" t="n"/>
      <c r="G797" s="282" t="n"/>
      <c r="H797" s="536" t="n"/>
      <c r="I797" s="535" t="n"/>
      <c r="J797" s="282" t="n"/>
      <c r="K797" s="282" t="n"/>
      <c r="L797" s="536" t="n"/>
      <c r="M797" s="535" t="n"/>
      <c r="N797" s="282" t="n"/>
      <c r="O797" s="282" t="n"/>
      <c r="P797" s="535" t="n"/>
      <c r="Q797" s="535" t="n"/>
      <c r="R797" s="282" t="n"/>
      <c r="S797" s="282" t="n"/>
      <c r="T797" s="535" t="n"/>
      <c r="U797" s="535" t="n"/>
      <c r="V797" s="282" t="n"/>
      <c r="W797" s="282" t="n"/>
      <c r="X797" s="536" t="n"/>
      <c r="Y797" s="536" t="n"/>
      <c r="Z797" s="282" t="n"/>
      <c r="AA797" s="282" t="n"/>
      <c r="AB797" s="536" t="n"/>
      <c r="AC797" s="536" t="n"/>
      <c r="AD797" s="282" t="n"/>
      <c r="AE797" s="282" t="n"/>
      <c r="AF797" s="537" t="n"/>
      <c r="AG797" s="537" t="n"/>
      <c r="AH797" s="282" t="n"/>
      <c r="AI797" s="282" t="n"/>
      <c r="AJ797" s="537" t="n"/>
      <c r="AK797" s="537" t="n"/>
      <c r="AL797" s="282" t="n"/>
      <c r="AM797" s="282" t="n"/>
      <c r="AN797" s="282" t="n"/>
      <c r="AO797" s="282" t="n"/>
      <c r="AP797" s="282" t="n"/>
      <c r="AQ797" s="282" t="n"/>
      <c r="AR797" s="535" t="n"/>
      <c r="AS797" s="535" t="n"/>
      <c r="AT797" s="282" t="n"/>
      <c r="AU797" s="282" t="n"/>
    </row>
    <row customHeight="1" ht="15.75" r="798" s="452" spans="1:48">
      <c r="A798" s="44" t="n"/>
      <c r="D798" s="535" t="n"/>
      <c r="E798" s="535" t="n"/>
      <c r="F798" s="282" t="n"/>
      <c r="G798" s="282" t="n"/>
      <c r="H798" s="536" t="n"/>
      <c r="I798" s="535" t="n"/>
      <c r="J798" s="282" t="n"/>
      <c r="K798" s="282" t="n"/>
      <c r="L798" s="536" t="n"/>
      <c r="M798" s="535" t="n"/>
      <c r="N798" s="282" t="n"/>
      <c r="O798" s="282" t="n"/>
      <c r="P798" s="535" t="n"/>
      <c r="Q798" s="535" t="n"/>
      <c r="R798" s="282" t="n"/>
      <c r="S798" s="282" t="n"/>
      <c r="T798" s="535" t="n"/>
      <c r="U798" s="535" t="n"/>
      <c r="V798" s="282" t="n"/>
      <c r="W798" s="282" t="n"/>
      <c r="X798" s="536" t="n"/>
      <c r="Y798" s="536" t="n"/>
      <c r="Z798" s="282" t="n"/>
      <c r="AA798" s="282" t="n"/>
      <c r="AB798" s="536" t="n"/>
      <c r="AC798" s="536" t="n"/>
      <c r="AD798" s="282" t="n"/>
      <c r="AE798" s="282" t="n"/>
      <c r="AF798" s="537" t="n"/>
      <c r="AG798" s="537" t="n"/>
      <c r="AH798" s="282" t="n"/>
      <c r="AI798" s="282" t="n"/>
      <c r="AJ798" s="537" t="n"/>
      <c r="AK798" s="537" t="n"/>
      <c r="AL798" s="282" t="n"/>
      <c r="AM798" s="282" t="n"/>
      <c r="AN798" s="282" t="n"/>
      <c r="AO798" s="282" t="n"/>
      <c r="AP798" s="282" t="n"/>
      <c r="AQ798" s="282" t="n"/>
      <c r="AR798" s="535" t="n"/>
      <c r="AS798" s="535" t="n"/>
      <c r="AT798" s="282" t="n"/>
      <c r="AU798" s="282" t="n"/>
    </row>
    <row customHeight="1" ht="15.75" r="799" s="452" spans="1:48">
      <c r="A799" s="44" t="n"/>
      <c r="D799" s="535" t="n"/>
      <c r="E799" s="535" t="n"/>
      <c r="F799" s="282" t="n"/>
      <c r="G799" s="282" t="n"/>
      <c r="H799" s="536" t="n"/>
      <c r="I799" s="535" t="n"/>
      <c r="J799" s="282" t="n"/>
      <c r="K799" s="282" t="n"/>
      <c r="L799" s="536" t="n"/>
      <c r="M799" s="535" t="n"/>
      <c r="N799" s="282" t="n"/>
      <c r="O799" s="282" t="n"/>
      <c r="P799" s="535" t="n"/>
      <c r="Q799" s="535" t="n"/>
      <c r="R799" s="282" t="n"/>
      <c r="S799" s="282" t="n"/>
      <c r="T799" s="535" t="n"/>
      <c r="U799" s="535" t="n"/>
      <c r="V799" s="282" t="n"/>
      <c r="W799" s="282" t="n"/>
      <c r="X799" s="536" t="n"/>
      <c r="Y799" s="536" t="n"/>
      <c r="Z799" s="282" t="n"/>
      <c r="AA799" s="282" t="n"/>
      <c r="AB799" s="536" t="n"/>
      <c r="AC799" s="536" t="n"/>
      <c r="AD799" s="282" t="n"/>
      <c r="AE799" s="282" t="n"/>
      <c r="AF799" s="537" t="n"/>
      <c r="AG799" s="537" t="n"/>
      <c r="AH799" s="282" t="n"/>
      <c r="AI799" s="282" t="n"/>
      <c r="AJ799" s="537" t="n"/>
      <c r="AK799" s="537" t="n"/>
      <c r="AL799" s="282" t="n"/>
      <c r="AM799" s="282" t="n"/>
      <c r="AN799" s="282" t="n"/>
      <c r="AO799" s="282" t="n"/>
      <c r="AP799" s="282" t="n"/>
      <c r="AQ799" s="282" t="n"/>
      <c r="AR799" s="535" t="n"/>
      <c r="AS799" s="535" t="n"/>
      <c r="AT799" s="282" t="n"/>
      <c r="AU799" s="282" t="n"/>
    </row>
    <row customHeight="1" ht="15.75" r="800" s="452" spans="1:48">
      <c r="A800" s="44" t="n"/>
      <c r="D800" s="535" t="n"/>
      <c r="E800" s="535" t="n"/>
      <c r="F800" s="282" t="n"/>
      <c r="G800" s="282" t="n"/>
      <c r="H800" s="536" t="n"/>
      <c r="I800" s="535" t="n"/>
      <c r="J800" s="282" t="n"/>
      <c r="K800" s="282" t="n"/>
      <c r="L800" s="536" t="n"/>
      <c r="M800" s="535" t="n"/>
      <c r="N800" s="282" t="n"/>
      <c r="O800" s="282" t="n"/>
      <c r="P800" s="535" t="n"/>
      <c r="Q800" s="535" t="n"/>
      <c r="R800" s="282" t="n"/>
      <c r="S800" s="282" t="n"/>
      <c r="T800" s="535" t="n"/>
      <c r="U800" s="535" t="n"/>
      <c r="V800" s="282" t="n"/>
      <c r="W800" s="282" t="n"/>
      <c r="X800" s="536" t="n"/>
      <c r="Y800" s="536" t="n"/>
      <c r="Z800" s="282" t="n"/>
      <c r="AA800" s="282" t="n"/>
      <c r="AB800" s="536" t="n"/>
      <c r="AC800" s="536" t="n"/>
      <c r="AD800" s="282" t="n"/>
      <c r="AE800" s="282" t="n"/>
      <c r="AF800" s="537" t="n"/>
      <c r="AG800" s="537" t="n"/>
      <c r="AH800" s="282" t="n"/>
      <c r="AI800" s="282" t="n"/>
      <c r="AJ800" s="537" t="n"/>
      <c r="AK800" s="537" t="n"/>
      <c r="AL800" s="282" t="n"/>
      <c r="AM800" s="282" t="n"/>
      <c r="AN800" s="282" t="n"/>
      <c r="AO800" s="282" t="n"/>
      <c r="AP800" s="282" t="n"/>
      <c r="AQ800" s="282" t="n"/>
      <c r="AR800" s="535" t="n"/>
      <c r="AS800" s="535" t="n"/>
      <c r="AT800" s="282" t="n"/>
      <c r="AU800" s="282" t="n"/>
    </row>
    <row customHeight="1" ht="15.75" r="801" s="452" spans="1:48">
      <c r="A801" s="44" t="n"/>
      <c r="D801" s="535" t="n"/>
      <c r="E801" s="535" t="n"/>
      <c r="F801" s="282" t="n"/>
      <c r="G801" s="282" t="n"/>
      <c r="H801" s="536" t="n"/>
      <c r="I801" s="535" t="n"/>
      <c r="J801" s="282" t="n"/>
      <c r="K801" s="282" t="n"/>
      <c r="L801" s="536" t="n"/>
      <c r="M801" s="535" t="n"/>
      <c r="N801" s="282" t="n"/>
      <c r="O801" s="282" t="n"/>
      <c r="P801" s="535" t="n"/>
      <c r="Q801" s="535" t="n"/>
      <c r="R801" s="282" t="n"/>
      <c r="S801" s="282" t="n"/>
      <c r="T801" s="535" t="n"/>
      <c r="U801" s="535" t="n"/>
      <c r="V801" s="282" t="n"/>
      <c r="W801" s="282" t="n"/>
      <c r="X801" s="536" t="n"/>
      <c r="Y801" s="536" t="n"/>
      <c r="Z801" s="282" t="n"/>
      <c r="AA801" s="282" t="n"/>
      <c r="AB801" s="536" t="n"/>
      <c r="AC801" s="536" t="n"/>
      <c r="AD801" s="282" t="n"/>
      <c r="AE801" s="282" t="n"/>
      <c r="AF801" s="537" t="n"/>
      <c r="AG801" s="537" t="n"/>
      <c r="AH801" s="282" t="n"/>
      <c r="AI801" s="282" t="n"/>
      <c r="AJ801" s="537" t="n"/>
      <c r="AK801" s="537" t="n"/>
      <c r="AL801" s="282" t="n"/>
      <c r="AM801" s="282" t="n"/>
      <c r="AN801" s="282" t="n"/>
      <c r="AO801" s="282" t="n"/>
      <c r="AP801" s="282" t="n"/>
      <c r="AQ801" s="282" t="n"/>
      <c r="AR801" s="535" t="n"/>
      <c r="AS801" s="535" t="n"/>
      <c r="AT801" s="282" t="n"/>
      <c r="AU801" s="282" t="n"/>
    </row>
    <row customHeight="1" ht="15.75" r="802" s="452" spans="1:48">
      <c r="A802" s="44" t="n"/>
      <c r="D802" s="535" t="n"/>
      <c r="E802" s="535" t="n"/>
      <c r="F802" s="282" t="n"/>
      <c r="G802" s="282" t="n"/>
      <c r="H802" s="536" t="n"/>
      <c r="I802" s="535" t="n"/>
      <c r="J802" s="282" t="n"/>
      <c r="K802" s="282" t="n"/>
      <c r="L802" s="536" t="n"/>
      <c r="M802" s="535" t="n"/>
      <c r="N802" s="282" t="n"/>
      <c r="O802" s="282" t="n"/>
      <c r="P802" s="535" t="n"/>
      <c r="Q802" s="535" t="n"/>
      <c r="R802" s="282" t="n"/>
      <c r="S802" s="282" t="n"/>
      <c r="T802" s="535" t="n"/>
      <c r="U802" s="535" t="n"/>
      <c r="V802" s="282" t="n"/>
      <c r="W802" s="282" t="n"/>
      <c r="X802" s="536" t="n"/>
      <c r="Y802" s="536" t="n"/>
      <c r="Z802" s="282" t="n"/>
      <c r="AA802" s="282" t="n"/>
      <c r="AB802" s="536" t="n"/>
      <c r="AC802" s="536" t="n"/>
      <c r="AD802" s="282" t="n"/>
      <c r="AE802" s="282" t="n"/>
      <c r="AF802" s="537" t="n"/>
      <c r="AG802" s="537" t="n"/>
      <c r="AH802" s="282" t="n"/>
      <c r="AI802" s="282" t="n"/>
      <c r="AJ802" s="537" t="n"/>
      <c r="AK802" s="537" t="n"/>
      <c r="AL802" s="282" t="n"/>
      <c r="AM802" s="282" t="n"/>
      <c r="AN802" s="282" t="n"/>
      <c r="AO802" s="282" t="n"/>
      <c r="AP802" s="282" t="n"/>
      <c r="AQ802" s="282" t="n"/>
      <c r="AR802" s="535" t="n"/>
      <c r="AS802" s="535" t="n"/>
      <c r="AT802" s="282" t="n"/>
      <c r="AU802" s="282" t="n"/>
    </row>
    <row customHeight="1" ht="15.75" r="803" s="452" spans="1:48">
      <c r="A803" s="44" t="n"/>
      <c r="D803" s="535" t="n"/>
      <c r="E803" s="535" t="n"/>
      <c r="F803" s="282" t="n"/>
      <c r="G803" s="282" t="n"/>
      <c r="H803" s="536" t="n"/>
      <c r="I803" s="535" t="n"/>
      <c r="J803" s="282" t="n"/>
      <c r="K803" s="282" t="n"/>
      <c r="L803" s="536" t="n"/>
      <c r="M803" s="535" t="n"/>
      <c r="N803" s="282" t="n"/>
      <c r="O803" s="282" t="n"/>
      <c r="P803" s="535" t="n"/>
      <c r="Q803" s="535" t="n"/>
      <c r="R803" s="282" t="n"/>
      <c r="S803" s="282" t="n"/>
      <c r="T803" s="535" t="n"/>
      <c r="U803" s="535" t="n"/>
      <c r="V803" s="282" t="n"/>
      <c r="W803" s="282" t="n"/>
      <c r="X803" s="536" t="n"/>
      <c r="Y803" s="536" t="n"/>
      <c r="Z803" s="282" t="n"/>
      <c r="AA803" s="282" t="n"/>
      <c r="AB803" s="536" t="n"/>
      <c r="AC803" s="536" t="n"/>
      <c r="AD803" s="282" t="n"/>
      <c r="AE803" s="282" t="n"/>
      <c r="AF803" s="537" t="n"/>
      <c r="AG803" s="537" t="n"/>
      <c r="AH803" s="282" t="n"/>
      <c r="AI803" s="282" t="n"/>
      <c r="AJ803" s="537" t="n"/>
      <c r="AK803" s="537" t="n"/>
      <c r="AL803" s="282" t="n"/>
      <c r="AM803" s="282" t="n"/>
      <c r="AN803" s="282" t="n"/>
      <c r="AO803" s="282" t="n"/>
      <c r="AP803" s="282" t="n"/>
      <c r="AQ803" s="282" t="n"/>
      <c r="AR803" s="535" t="n"/>
      <c r="AS803" s="535" t="n"/>
      <c r="AT803" s="282" t="n"/>
      <c r="AU803" s="282" t="n"/>
    </row>
    <row customHeight="1" ht="15.75" r="804" s="452" spans="1:48">
      <c r="A804" s="44" t="n"/>
      <c r="D804" s="535" t="n"/>
      <c r="E804" s="535" t="n"/>
      <c r="F804" s="282" t="n"/>
      <c r="G804" s="282" t="n"/>
      <c r="H804" s="536" t="n"/>
      <c r="I804" s="535" t="n"/>
      <c r="J804" s="282" t="n"/>
      <c r="K804" s="282" t="n"/>
      <c r="L804" s="536" t="n"/>
      <c r="M804" s="535" t="n"/>
      <c r="N804" s="282" t="n"/>
      <c r="O804" s="282" t="n"/>
      <c r="P804" s="535" t="n"/>
      <c r="Q804" s="535" t="n"/>
      <c r="R804" s="282" t="n"/>
      <c r="S804" s="282" t="n"/>
      <c r="T804" s="535" t="n"/>
      <c r="U804" s="535" t="n"/>
      <c r="V804" s="282" t="n"/>
      <c r="W804" s="282" t="n"/>
      <c r="X804" s="536" t="n"/>
      <c r="Y804" s="536" t="n"/>
      <c r="Z804" s="282" t="n"/>
      <c r="AA804" s="282" t="n"/>
      <c r="AB804" s="536" t="n"/>
      <c r="AC804" s="536" t="n"/>
      <c r="AD804" s="282" t="n"/>
      <c r="AE804" s="282" t="n"/>
      <c r="AF804" s="537" t="n"/>
      <c r="AG804" s="537" t="n"/>
      <c r="AH804" s="282" t="n"/>
      <c r="AI804" s="282" t="n"/>
      <c r="AJ804" s="537" t="n"/>
      <c r="AK804" s="537" t="n"/>
      <c r="AL804" s="282" t="n"/>
      <c r="AM804" s="282" t="n"/>
      <c r="AN804" s="282" t="n"/>
      <c r="AO804" s="282" t="n"/>
      <c r="AP804" s="282" t="n"/>
      <c r="AQ804" s="282" t="n"/>
      <c r="AR804" s="535" t="n"/>
      <c r="AS804" s="535" t="n"/>
      <c r="AT804" s="282" t="n"/>
      <c r="AU804" s="282" t="n"/>
    </row>
    <row customHeight="1" ht="15.75" r="805" s="452" spans="1:48">
      <c r="A805" s="44" t="n"/>
      <c r="D805" s="535" t="n"/>
      <c r="E805" s="535" t="n"/>
      <c r="F805" s="282" t="n"/>
      <c r="G805" s="282" t="n"/>
      <c r="H805" s="536" t="n"/>
      <c r="I805" s="535" t="n"/>
      <c r="J805" s="282" t="n"/>
      <c r="K805" s="282" t="n"/>
      <c r="L805" s="536" t="n"/>
      <c r="M805" s="535" t="n"/>
      <c r="N805" s="282" t="n"/>
      <c r="O805" s="282" t="n"/>
      <c r="P805" s="535" t="n"/>
      <c r="Q805" s="535" t="n"/>
      <c r="R805" s="282" t="n"/>
      <c r="S805" s="282" t="n"/>
      <c r="T805" s="535" t="n"/>
      <c r="U805" s="535" t="n"/>
      <c r="V805" s="282" t="n"/>
      <c r="W805" s="282" t="n"/>
      <c r="X805" s="536" t="n"/>
      <c r="Y805" s="536" t="n"/>
      <c r="Z805" s="282" t="n"/>
      <c r="AA805" s="282" t="n"/>
      <c r="AB805" s="536" t="n"/>
      <c r="AC805" s="536" t="n"/>
      <c r="AD805" s="282" t="n"/>
      <c r="AE805" s="282" t="n"/>
      <c r="AF805" s="537" t="n"/>
      <c r="AG805" s="537" t="n"/>
      <c r="AH805" s="282" t="n"/>
      <c r="AI805" s="282" t="n"/>
      <c r="AJ805" s="537" t="n"/>
      <c r="AK805" s="537" t="n"/>
      <c r="AL805" s="282" t="n"/>
      <c r="AM805" s="282" t="n"/>
      <c r="AN805" s="282" t="n"/>
      <c r="AO805" s="282" t="n"/>
      <c r="AP805" s="282" t="n"/>
      <c r="AQ805" s="282" t="n"/>
      <c r="AR805" s="535" t="n"/>
      <c r="AS805" s="535" t="n"/>
      <c r="AT805" s="282" t="n"/>
      <c r="AU805" s="282" t="n"/>
    </row>
    <row customHeight="1" ht="15.75" r="806" s="452" spans="1:48">
      <c r="A806" s="44" t="n"/>
      <c r="D806" s="535" t="n"/>
      <c r="E806" s="535" t="n"/>
      <c r="F806" s="282" t="n"/>
      <c r="G806" s="282" t="n"/>
      <c r="H806" s="536" t="n"/>
      <c r="I806" s="535" t="n"/>
      <c r="J806" s="282" t="n"/>
      <c r="K806" s="282" t="n"/>
      <c r="L806" s="536" t="n"/>
      <c r="M806" s="535" t="n"/>
      <c r="N806" s="282" t="n"/>
      <c r="O806" s="282" t="n"/>
      <c r="P806" s="535" t="n"/>
      <c r="Q806" s="535" t="n"/>
      <c r="R806" s="282" t="n"/>
      <c r="S806" s="282" t="n"/>
      <c r="T806" s="535" t="n"/>
      <c r="U806" s="535" t="n"/>
      <c r="V806" s="282" t="n"/>
      <c r="W806" s="282" t="n"/>
      <c r="X806" s="536" t="n"/>
      <c r="Y806" s="536" t="n"/>
      <c r="Z806" s="282" t="n"/>
      <c r="AA806" s="282" t="n"/>
      <c r="AB806" s="536" t="n"/>
      <c r="AC806" s="536" t="n"/>
      <c r="AD806" s="282" t="n"/>
      <c r="AE806" s="282" t="n"/>
      <c r="AF806" s="537" t="n"/>
      <c r="AG806" s="537" t="n"/>
      <c r="AH806" s="282" t="n"/>
      <c r="AI806" s="282" t="n"/>
      <c r="AJ806" s="537" t="n"/>
      <c r="AK806" s="537" t="n"/>
      <c r="AL806" s="282" t="n"/>
      <c r="AM806" s="282" t="n"/>
      <c r="AN806" s="282" t="n"/>
      <c r="AO806" s="282" t="n"/>
      <c r="AP806" s="282" t="n"/>
      <c r="AQ806" s="282" t="n"/>
      <c r="AR806" s="535" t="n"/>
      <c r="AS806" s="535" t="n"/>
      <c r="AT806" s="282" t="n"/>
      <c r="AU806" s="282" t="n"/>
    </row>
    <row customHeight="1" ht="15.75" r="807" s="452" spans="1:48">
      <c r="A807" s="44" t="n"/>
      <c r="D807" s="535" t="n"/>
      <c r="E807" s="535" t="n"/>
      <c r="F807" s="282" t="n"/>
      <c r="G807" s="282" t="n"/>
      <c r="H807" s="536" t="n"/>
      <c r="I807" s="535" t="n"/>
      <c r="J807" s="282" t="n"/>
      <c r="K807" s="282" t="n"/>
      <c r="L807" s="536" t="n"/>
      <c r="M807" s="535" t="n"/>
      <c r="N807" s="282" t="n"/>
      <c r="O807" s="282" t="n"/>
      <c r="P807" s="535" t="n"/>
      <c r="Q807" s="535" t="n"/>
      <c r="R807" s="282" t="n"/>
      <c r="S807" s="282" t="n"/>
      <c r="T807" s="535" t="n"/>
      <c r="U807" s="535" t="n"/>
      <c r="V807" s="282" t="n"/>
      <c r="W807" s="282" t="n"/>
      <c r="X807" s="536" t="n"/>
      <c r="Y807" s="536" t="n"/>
      <c r="Z807" s="282" t="n"/>
      <c r="AA807" s="282" t="n"/>
      <c r="AB807" s="536" t="n"/>
      <c r="AC807" s="536" t="n"/>
      <c r="AD807" s="282" t="n"/>
      <c r="AE807" s="282" t="n"/>
      <c r="AF807" s="537" t="n"/>
      <c r="AG807" s="537" t="n"/>
      <c r="AH807" s="282" t="n"/>
      <c r="AI807" s="282" t="n"/>
      <c r="AJ807" s="537" t="n"/>
      <c r="AK807" s="537" t="n"/>
      <c r="AL807" s="282" t="n"/>
      <c r="AM807" s="282" t="n"/>
      <c r="AN807" s="282" t="n"/>
      <c r="AO807" s="282" t="n"/>
      <c r="AP807" s="282" t="n"/>
      <c r="AQ807" s="282" t="n"/>
      <c r="AR807" s="535" t="n"/>
      <c r="AS807" s="535" t="n"/>
      <c r="AT807" s="282" t="n"/>
      <c r="AU807" s="282" t="n"/>
    </row>
    <row customHeight="1" ht="15.75" r="808" s="452" spans="1:48">
      <c r="A808" s="44" t="n"/>
      <c r="D808" s="535" t="n"/>
      <c r="E808" s="535" t="n"/>
      <c r="F808" s="282" t="n"/>
      <c r="G808" s="282" t="n"/>
      <c r="H808" s="536" t="n"/>
      <c r="I808" s="535" t="n"/>
      <c r="J808" s="282" t="n"/>
      <c r="K808" s="282" t="n"/>
      <c r="L808" s="536" t="n"/>
      <c r="M808" s="535" t="n"/>
      <c r="N808" s="282" t="n"/>
      <c r="O808" s="282" t="n"/>
      <c r="P808" s="535" t="n"/>
      <c r="Q808" s="535" t="n"/>
      <c r="R808" s="282" t="n"/>
      <c r="S808" s="282" t="n"/>
      <c r="T808" s="535" t="n"/>
      <c r="U808" s="535" t="n"/>
      <c r="V808" s="282" t="n"/>
      <c r="W808" s="282" t="n"/>
      <c r="X808" s="536" t="n"/>
      <c r="Y808" s="536" t="n"/>
      <c r="Z808" s="282" t="n"/>
      <c r="AA808" s="282" t="n"/>
      <c r="AB808" s="536" t="n"/>
      <c r="AC808" s="536" t="n"/>
      <c r="AD808" s="282" t="n"/>
      <c r="AE808" s="282" t="n"/>
      <c r="AF808" s="537" t="n"/>
      <c r="AG808" s="537" t="n"/>
      <c r="AH808" s="282" t="n"/>
      <c r="AI808" s="282" t="n"/>
      <c r="AJ808" s="537" t="n"/>
      <c r="AK808" s="537" t="n"/>
      <c r="AL808" s="282" t="n"/>
      <c r="AM808" s="282" t="n"/>
      <c r="AN808" s="282" t="n"/>
      <c r="AO808" s="282" t="n"/>
      <c r="AP808" s="282" t="n"/>
      <c r="AQ808" s="282" t="n"/>
      <c r="AR808" s="535" t="n"/>
      <c r="AS808" s="535" t="n"/>
      <c r="AT808" s="282" t="n"/>
      <c r="AU808" s="282" t="n"/>
    </row>
    <row customHeight="1" ht="15.75" r="809" s="452" spans="1:48">
      <c r="A809" s="44" t="n"/>
      <c r="D809" s="535" t="n"/>
      <c r="E809" s="535" t="n"/>
      <c r="F809" s="282" t="n"/>
      <c r="G809" s="282" t="n"/>
      <c r="H809" s="536" t="n"/>
      <c r="I809" s="535" t="n"/>
      <c r="J809" s="282" t="n"/>
      <c r="K809" s="282" t="n"/>
      <c r="L809" s="536" t="n"/>
      <c r="M809" s="535" t="n"/>
      <c r="N809" s="282" t="n"/>
      <c r="O809" s="282" t="n"/>
      <c r="P809" s="535" t="n"/>
      <c r="Q809" s="535" t="n"/>
      <c r="R809" s="282" t="n"/>
      <c r="S809" s="282" t="n"/>
      <c r="T809" s="535" t="n"/>
      <c r="U809" s="535" t="n"/>
      <c r="V809" s="282" t="n"/>
      <c r="W809" s="282" t="n"/>
      <c r="X809" s="536" t="n"/>
      <c r="Y809" s="536" t="n"/>
      <c r="Z809" s="282" t="n"/>
      <c r="AA809" s="282" t="n"/>
      <c r="AB809" s="536" t="n"/>
      <c r="AC809" s="536" t="n"/>
      <c r="AD809" s="282" t="n"/>
      <c r="AE809" s="282" t="n"/>
      <c r="AF809" s="537" t="n"/>
      <c r="AG809" s="537" t="n"/>
      <c r="AH809" s="282" t="n"/>
      <c r="AI809" s="282" t="n"/>
      <c r="AJ809" s="537" t="n"/>
      <c r="AK809" s="537" t="n"/>
      <c r="AL809" s="282" t="n"/>
      <c r="AM809" s="282" t="n"/>
      <c r="AN809" s="282" t="n"/>
      <c r="AO809" s="282" t="n"/>
      <c r="AP809" s="282" t="n"/>
      <c r="AQ809" s="282" t="n"/>
      <c r="AR809" s="535" t="n"/>
      <c r="AS809" s="535" t="n"/>
      <c r="AT809" s="282" t="n"/>
      <c r="AU809" s="282" t="n"/>
    </row>
    <row customHeight="1" ht="15.75" r="810" s="452" spans="1:48">
      <c r="A810" s="44" t="n"/>
      <c r="D810" s="535" t="n"/>
      <c r="E810" s="535" t="n"/>
      <c r="F810" s="282" t="n"/>
      <c r="G810" s="282" t="n"/>
      <c r="H810" s="536" t="n"/>
      <c r="I810" s="535" t="n"/>
      <c r="J810" s="282" t="n"/>
      <c r="K810" s="282" t="n"/>
      <c r="L810" s="536" t="n"/>
      <c r="M810" s="535" t="n"/>
      <c r="N810" s="282" t="n"/>
      <c r="O810" s="282" t="n"/>
      <c r="P810" s="535" t="n"/>
      <c r="Q810" s="535" t="n"/>
      <c r="R810" s="282" t="n"/>
      <c r="S810" s="282" t="n"/>
      <c r="T810" s="535" t="n"/>
      <c r="U810" s="535" t="n"/>
      <c r="V810" s="282" t="n"/>
      <c r="W810" s="282" t="n"/>
      <c r="X810" s="536" t="n"/>
      <c r="Y810" s="536" t="n"/>
      <c r="Z810" s="282" t="n"/>
      <c r="AA810" s="282" t="n"/>
      <c r="AB810" s="536" t="n"/>
      <c r="AC810" s="536" t="n"/>
      <c r="AD810" s="282" t="n"/>
      <c r="AE810" s="282" t="n"/>
      <c r="AF810" s="537" t="n"/>
      <c r="AG810" s="537" t="n"/>
      <c r="AH810" s="282" t="n"/>
      <c r="AI810" s="282" t="n"/>
      <c r="AJ810" s="537" t="n"/>
      <c r="AK810" s="537" t="n"/>
      <c r="AL810" s="282" t="n"/>
      <c r="AM810" s="282" t="n"/>
      <c r="AN810" s="282" t="n"/>
      <c r="AO810" s="282" t="n"/>
      <c r="AP810" s="282" t="n"/>
      <c r="AQ810" s="282" t="n"/>
      <c r="AR810" s="535" t="n"/>
      <c r="AS810" s="535" t="n"/>
      <c r="AT810" s="282" t="n"/>
      <c r="AU810" s="282" t="n"/>
    </row>
    <row customHeight="1" ht="15.75" r="811" s="452" spans="1:48">
      <c r="A811" s="44" t="n"/>
      <c r="D811" s="535" t="n"/>
      <c r="E811" s="535" t="n"/>
      <c r="F811" s="282" t="n"/>
      <c r="G811" s="282" t="n"/>
      <c r="H811" s="536" t="n"/>
      <c r="I811" s="535" t="n"/>
      <c r="J811" s="282" t="n"/>
      <c r="K811" s="282" t="n"/>
      <c r="L811" s="536" t="n"/>
      <c r="M811" s="535" t="n"/>
      <c r="N811" s="282" t="n"/>
      <c r="O811" s="282" t="n"/>
      <c r="P811" s="535" t="n"/>
      <c r="Q811" s="535" t="n"/>
      <c r="R811" s="282" t="n"/>
      <c r="S811" s="282" t="n"/>
      <c r="T811" s="535" t="n"/>
      <c r="U811" s="535" t="n"/>
      <c r="V811" s="282" t="n"/>
      <c r="W811" s="282" t="n"/>
      <c r="X811" s="536" t="n"/>
      <c r="Y811" s="536" t="n"/>
      <c r="Z811" s="282" t="n"/>
      <c r="AA811" s="282" t="n"/>
      <c r="AB811" s="536" t="n"/>
      <c r="AC811" s="536" t="n"/>
      <c r="AD811" s="282" t="n"/>
      <c r="AE811" s="282" t="n"/>
      <c r="AF811" s="537" t="n"/>
      <c r="AG811" s="537" t="n"/>
      <c r="AH811" s="282" t="n"/>
      <c r="AI811" s="282" t="n"/>
      <c r="AJ811" s="537" t="n"/>
      <c r="AK811" s="537" t="n"/>
      <c r="AL811" s="282" t="n"/>
      <c r="AM811" s="282" t="n"/>
      <c r="AN811" s="282" t="n"/>
      <c r="AO811" s="282" t="n"/>
      <c r="AP811" s="282" t="n"/>
      <c r="AQ811" s="282" t="n"/>
      <c r="AR811" s="535" t="n"/>
      <c r="AS811" s="535" t="n"/>
      <c r="AT811" s="282" t="n"/>
      <c r="AU811" s="282" t="n"/>
    </row>
    <row customHeight="1" ht="15.75" r="812" s="452" spans="1:48">
      <c r="A812" s="44" t="n"/>
      <c r="D812" s="535" t="n"/>
      <c r="E812" s="535" t="n"/>
      <c r="F812" s="282" t="n"/>
      <c r="G812" s="282" t="n"/>
      <c r="H812" s="536" t="n"/>
      <c r="I812" s="535" t="n"/>
      <c r="J812" s="282" t="n"/>
      <c r="K812" s="282" t="n"/>
      <c r="L812" s="536" t="n"/>
      <c r="M812" s="535" t="n"/>
      <c r="N812" s="282" t="n"/>
      <c r="O812" s="282" t="n"/>
      <c r="P812" s="535" t="n"/>
      <c r="Q812" s="535" t="n"/>
      <c r="R812" s="282" t="n"/>
      <c r="S812" s="282" t="n"/>
      <c r="T812" s="535" t="n"/>
      <c r="U812" s="535" t="n"/>
      <c r="V812" s="282" t="n"/>
      <c r="W812" s="282" t="n"/>
      <c r="X812" s="536" t="n"/>
      <c r="Y812" s="536" t="n"/>
      <c r="Z812" s="282" t="n"/>
      <c r="AA812" s="282" t="n"/>
      <c r="AB812" s="536" t="n"/>
      <c r="AC812" s="536" t="n"/>
      <c r="AD812" s="282" t="n"/>
      <c r="AE812" s="282" t="n"/>
      <c r="AF812" s="537" t="n"/>
      <c r="AG812" s="537" t="n"/>
      <c r="AH812" s="282" t="n"/>
      <c r="AI812" s="282" t="n"/>
      <c r="AJ812" s="537" t="n"/>
      <c r="AK812" s="537" t="n"/>
      <c r="AL812" s="282" t="n"/>
      <c r="AM812" s="282" t="n"/>
      <c r="AN812" s="282" t="n"/>
      <c r="AO812" s="282" t="n"/>
      <c r="AP812" s="282" t="n"/>
      <c r="AQ812" s="282" t="n"/>
      <c r="AR812" s="535" t="n"/>
      <c r="AS812" s="535" t="n"/>
      <c r="AT812" s="282" t="n"/>
      <c r="AU812" s="282" t="n"/>
    </row>
    <row customHeight="1" ht="15.75" r="813" s="452" spans="1:48">
      <c r="A813" s="44" t="n"/>
      <c r="D813" s="535" t="n"/>
      <c r="E813" s="535" t="n"/>
      <c r="F813" s="282" t="n"/>
      <c r="G813" s="282" t="n"/>
      <c r="H813" s="536" t="n"/>
      <c r="I813" s="535" t="n"/>
      <c r="J813" s="282" t="n"/>
      <c r="K813" s="282" t="n"/>
      <c r="L813" s="536" t="n"/>
      <c r="M813" s="535" t="n"/>
      <c r="N813" s="282" t="n"/>
      <c r="O813" s="282" t="n"/>
      <c r="P813" s="535" t="n"/>
      <c r="Q813" s="535" t="n"/>
      <c r="R813" s="282" t="n"/>
      <c r="S813" s="282" t="n"/>
      <c r="T813" s="535" t="n"/>
      <c r="U813" s="535" t="n"/>
      <c r="V813" s="282" t="n"/>
      <c r="W813" s="282" t="n"/>
      <c r="X813" s="536" t="n"/>
      <c r="Y813" s="536" t="n"/>
      <c r="Z813" s="282" t="n"/>
      <c r="AA813" s="282" t="n"/>
      <c r="AB813" s="536" t="n"/>
      <c r="AC813" s="536" t="n"/>
      <c r="AD813" s="282" t="n"/>
      <c r="AE813" s="282" t="n"/>
      <c r="AF813" s="537" t="n"/>
      <c r="AG813" s="537" t="n"/>
      <c r="AH813" s="282" t="n"/>
      <c r="AI813" s="282" t="n"/>
      <c r="AJ813" s="537" t="n"/>
      <c r="AK813" s="537" t="n"/>
      <c r="AL813" s="282" t="n"/>
      <c r="AM813" s="282" t="n"/>
      <c r="AN813" s="282" t="n"/>
      <c r="AO813" s="282" t="n"/>
      <c r="AP813" s="282" t="n"/>
      <c r="AQ813" s="282" t="n"/>
      <c r="AR813" s="535" t="n"/>
      <c r="AS813" s="535" t="n"/>
      <c r="AT813" s="282" t="n"/>
      <c r="AU813" s="282" t="n"/>
    </row>
    <row customHeight="1" ht="15.75" r="814" s="452" spans="1:48">
      <c r="A814" s="44" t="n"/>
      <c r="D814" s="535" t="n"/>
      <c r="E814" s="535" t="n"/>
      <c r="F814" s="282" t="n"/>
      <c r="G814" s="282" t="n"/>
      <c r="H814" s="536" t="n"/>
      <c r="I814" s="535" t="n"/>
      <c r="J814" s="282" t="n"/>
      <c r="K814" s="282" t="n"/>
      <c r="L814" s="536" t="n"/>
      <c r="M814" s="535" t="n"/>
      <c r="N814" s="282" t="n"/>
      <c r="O814" s="282" t="n"/>
      <c r="P814" s="535" t="n"/>
      <c r="Q814" s="535" t="n"/>
      <c r="R814" s="282" t="n"/>
      <c r="S814" s="282" t="n"/>
      <c r="T814" s="535" t="n"/>
      <c r="U814" s="535" t="n"/>
      <c r="V814" s="282" t="n"/>
      <c r="W814" s="282" t="n"/>
      <c r="X814" s="536" t="n"/>
      <c r="Y814" s="536" t="n"/>
      <c r="Z814" s="282" t="n"/>
      <c r="AA814" s="282" t="n"/>
      <c r="AB814" s="536" t="n"/>
      <c r="AC814" s="536" t="n"/>
      <c r="AD814" s="282" t="n"/>
      <c r="AE814" s="282" t="n"/>
      <c r="AF814" s="537" t="n"/>
      <c r="AG814" s="537" t="n"/>
      <c r="AH814" s="282" t="n"/>
      <c r="AI814" s="282" t="n"/>
      <c r="AJ814" s="537" t="n"/>
      <c r="AK814" s="537" t="n"/>
      <c r="AL814" s="282" t="n"/>
      <c r="AM814" s="282" t="n"/>
      <c r="AN814" s="282" t="n"/>
      <c r="AO814" s="282" t="n"/>
      <c r="AP814" s="282" t="n"/>
      <c r="AQ814" s="282" t="n"/>
      <c r="AR814" s="535" t="n"/>
      <c r="AS814" s="535" t="n"/>
      <c r="AT814" s="282" t="n"/>
      <c r="AU814" s="282" t="n"/>
    </row>
    <row customHeight="1" ht="15.75" r="815" s="452" spans="1:48">
      <c r="A815" s="44" t="n"/>
      <c r="D815" s="535" t="n"/>
      <c r="E815" s="535" t="n"/>
      <c r="F815" s="282" t="n"/>
      <c r="G815" s="282" t="n"/>
      <c r="H815" s="536" t="n"/>
      <c r="I815" s="535" t="n"/>
      <c r="J815" s="282" t="n"/>
      <c r="K815" s="282" t="n"/>
      <c r="L815" s="536" t="n"/>
      <c r="M815" s="535" t="n"/>
      <c r="N815" s="282" t="n"/>
      <c r="O815" s="282" t="n"/>
      <c r="P815" s="535" t="n"/>
      <c r="Q815" s="535" t="n"/>
      <c r="R815" s="282" t="n"/>
      <c r="S815" s="282" t="n"/>
      <c r="T815" s="535" t="n"/>
      <c r="U815" s="535" t="n"/>
      <c r="V815" s="282" t="n"/>
      <c r="W815" s="282" t="n"/>
      <c r="X815" s="536" t="n"/>
      <c r="Y815" s="536" t="n"/>
      <c r="Z815" s="282" t="n"/>
      <c r="AA815" s="282" t="n"/>
      <c r="AB815" s="536" t="n"/>
      <c r="AC815" s="536" t="n"/>
      <c r="AD815" s="282" t="n"/>
      <c r="AE815" s="282" t="n"/>
      <c r="AF815" s="537" t="n"/>
      <c r="AG815" s="537" t="n"/>
      <c r="AH815" s="282" t="n"/>
      <c r="AI815" s="282" t="n"/>
      <c r="AJ815" s="537" t="n"/>
      <c r="AK815" s="537" t="n"/>
      <c r="AL815" s="282" t="n"/>
      <c r="AM815" s="282" t="n"/>
      <c r="AN815" s="282" t="n"/>
      <c r="AO815" s="282" t="n"/>
      <c r="AP815" s="282" t="n"/>
      <c r="AQ815" s="282" t="n"/>
      <c r="AR815" s="535" t="n"/>
      <c r="AS815" s="535" t="n"/>
      <c r="AT815" s="282" t="n"/>
      <c r="AU815" s="282" t="n"/>
    </row>
    <row customHeight="1" ht="15.75" r="816" s="452" spans="1:48">
      <c r="A816" s="44" t="n"/>
      <c r="D816" s="535" t="n"/>
      <c r="E816" s="535" t="n"/>
      <c r="F816" s="282" t="n"/>
      <c r="G816" s="282" t="n"/>
      <c r="H816" s="536" t="n"/>
      <c r="I816" s="535" t="n"/>
      <c r="J816" s="282" t="n"/>
      <c r="K816" s="282" t="n"/>
      <c r="L816" s="536" t="n"/>
      <c r="M816" s="535" t="n"/>
      <c r="N816" s="282" t="n"/>
      <c r="O816" s="282" t="n"/>
      <c r="P816" s="535" t="n"/>
      <c r="Q816" s="535" t="n"/>
      <c r="R816" s="282" t="n"/>
      <c r="S816" s="282" t="n"/>
      <c r="T816" s="535" t="n"/>
      <c r="U816" s="535" t="n"/>
      <c r="V816" s="282" t="n"/>
      <c r="W816" s="282" t="n"/>
      <c r="X816" s="536" t="n"/>
      <c r="Y816" s="536" t="n"/>
      <c r="Z816" s="282" t="n"/>
      <c r="AA816" s="282" t="n"/>
      <c r="AB816" s="536" t="n"/>
      <c r="AC816" s="536" t="n"/>
      <c r="AD816" s="282" t="n"/>
      <c r="AE816" s="282" t="n"/>
      <c r="AF816" s="537" t="n"/>
      <c r="AG816" s="537" t="n"/>
      <c r="AH816" s="282" t="n"/>
      <c r="AI816" s="282" t="n"/>
      <c r="AJ816" s="537" t="n"/>
      <c r="AK816" s="537" t="n"/>
      <c r="AL816" s="282" t="n"/>
      <c r="AM816" s="282" t="n"/>
      <c r="AN816" s="282" t="n"/>
      <c r="AO816" s="282" t="n"/>
      <c r="AP816" s="282" t="n"/>
      <c r="AQ816" s="282" t="n"/>
      <c r="AR816" s="535" t="n"/>
      <c r="AS816" s="535" t="n"/>
      <c r="AT816" s="282" t="n"/>
      <c r="AU816" s="282" t="n"/>
    </row>
    <row customHeight="1" ht="15.75" r="817" s="452" spans="1:48">
      <c r="A817" s="44" t="n"/>
      <c r="D817" s="535" t="n"/>
      <c r="E817" s="535" t="n"/>
      <c r="F817" s="282" t="n"/>
      <c r="G817" s="282" t="n"/>
      <c r="H817" s="536" t="n"/>
      <c r="I817" s="535" t="n"/>
      <c r="J817" s="282" t="n"/>
      <c r="K817" s="282" t="n"/>
      <c r="L817" s="536" t="n"/>
      <c r="M817" s="535" t="n"/>
      <c r="N817" s="282" t="n"/>
      <c r="O817" s="282" t="n"/>
      <c r="P817" s="535" t="n"/>
      <c r="Q817" s="535" t="n"/>
      <c r="R817" s="282" t="n"/>
      <c r="S817" s="282" t="n"/>
      <c r="T817" s="535" t="n"/>
      <c r="U817" s="535" t="n"/>
      <c r="V817" s="282" t="n"/>
      <c r="W817" s="282" t="n"/>
      <c r="X817" s="536" t="n"/>
      <c r="Y817" s="536" t="n"/>
      <c r="Z817" s="282" t="n"/>
      <c r="AA817" s="282" t="n"/>
      <c r="AB817" s="536" t="n"/>
      <c r="AC817" s="536" t="n"/>
      <c r="AD817" s="282" t="n"/>
      <c r="AE817" s="282" t="n"/>
      <c r="AF817" s="537" t="n"/>
      <c r="AG817" s="537" t="n"/>
      <c r="AH817" s="282" t="n"/>
      <c r="AI817" s="282" t="n"/>
      <c r="AJ817" s="537" t="n"/>
      <c r="AK817" s="537" t="n"/>
      <c r="AL817" s="282" t="n"/>
      <c r="AM817" s="282" t="n"/>
      <c r="AN817" s="282" t="n"/>
      <c r="AO817" s="282" t="n"/>
      <c r="AP817" s="282" t="n"/>
      <c r="AQ817" s="282" t="n"/>
      <c r="AR817" s="535" t="n"/>
      <c r="AS817" s="535" t="n"/>
      <c r="AT817" s="282" t="n"/>
      <c r="AU817" s="282" t="n"/>
    </row>
    <row customHeight="1" ht="15.75" r="818" s="452" spans="1:48">
      <c r="A818" s="44" t="n"/>
      <c r="D818" s="535" t="n"/>
      <c r="E818" s="535" t="n"/>
      <c r="F818" s="282" t="n"/>
      <c r="G818" s="282" t="n"/>
      <c r="H818" s="536" t="n"/>
      <c r="I818" s="535" t="n"/>
      <c r="J818" s="282" t="n"/>
      <c r="K818" s="282" t="n"/>
      <c r="L818" s="536" t="n"/>
      <c r="M818" s="535" t="n"/>
      <c r="N818" s="282" t="n"/>
      <c r="O818" s="282" t="n"/>
      <c r="P818" s="535" t="n"/>
      <c r="Q818" s="535" t="n"/>
      <c r="R818" s="282" t="n"/>
      <c r="S818" s="282" t="n"/>
      <c r="T818" s="535" t="n"/>
      <c r="U818" s="535" t="n"/>
      <c r="V818" s="282" t="n"/>
      <c r="W818" s="282" t="n"/>
      <c r="X818" s="536" t="n"/>
      <c r="Y818" s="536" t="n"/>
      <c r="Z818" s="282" t="n"/>
      <c r="AA818" s="282" t="n"/>
      <c r="AB818" s="536" t="n"/>
      <c r="AC818" s="536" t="n"/>
      <c r="AD818" s="282" t="n"/>
      <c r="AE818" s="282" t="n"/>
      <c r="AF818" s="537" t="n"/>
      <c r="AG818" s="537" t="n"/>
      <c r="AH818" s="282" t="n"/>
      <c r="AI818" s="282" t="n"/>
      <c r="AJ818" s="537" t="n"/>
      <c r="AK818" s="537" t="n"/>
      <c r="AL818" s="282" t="n"/>
      <c r="AM818" s="282" t="n"/>
      <c r="AN818" s="282" t="n"/>
      <c r="AO818" s="282" t="n"/>
      <c r="AP818" s="282" t="n"/>
      <c r="AQ818" s="282" t="n"/>
      <c r="AR818" s="535" t="n"/>
      <c r="AS818" s="535" t="n"/>
      <c r="AT818" s="282" t="n"/>
      <c r="AU818" s="282" t="n"/>
    </row>
    <row customHeight="1" ht="15.75" r="819" s="452" spans="1:48">
      <c r="A819" s="44" t="n"/>
      <c r="D819" s="535" t="n"/>
      <c r="E819" s="535" t="n"/>
      <c r="F819" s="282" t="n"/>
      <c r="G819" s="282" t="n"/>
      <c r="H819" s="536" t="n"/>
      <c r="I819" s="535" t="n"/>
      <c r="J819" s="282" t="n"/>
      <c r="K819" s="282" t="n"/>
      <c r="L819" s="536" t="n"/>
      <c r="M819" s="535" t="n"/>
      <c r="N819" s="282" t="n"/>
      <c r="O819" s="282" t="n"/>
      <c r="P819" s="535" t="n"/>
      <c r="Q819" s="535" t="n"/>
      <c r="R819" s="282" t="n"/>
      <c r="S819" s="282" t="n"/>
      <c r="T819" s="535" t="n"/>
      <c r="U819" s="535" t="n"/>
      <c r="V819" s="282" t="n"/>
      <c r="W819" s="282" t="n"/>
      <c r="X819" s="536" t="n"/>
      <c r="Y819" s="536" t="n"/>
      <c r="Z819" s="282" t="n"/>
      <c r="AA819" s="282" t="n"/>
      <c r="AB819" s="536" t="n"/>
      <c r="AC819" s="536" t="n"/>
      <c r="AD819" s="282" t="n"/>
      <c r="AE819" s="282" t="n"/>
      <c r="AF819" s="537" t="n"/>
      <c r="AG819" s="537" t="n"/>
      <c r="AH819" s="282" t="n"/>
      <c r="AI819" s="282" t="n"/>
      <c r="AJ819" s="537" t="n"/>
      <c r="AK819" s="537" t="n"/>
      <c r="AL819" s="282" t="n"/>
      <c r="AM819" s="282" t="n"/>
      <c r="AN819" s="282" t="n"/>
      <c r="AO819" s="282" t="n"/>
      <c r="AP819" s="282" t="n"/>
      <c r="AQ819" s="282" t="n"/>
      <c r="AR819" s="535" t="n"/>
      <c r="AS819" s="535" t="n"/>
      <c r="AT819" s="282" t="n"/>
      <c r="AU819" s="282" t="n"/>
    </row>
    <row customHeight="1" ht="15.75" r="820" s="452" spans="1:48">
      <c r="A820" s="44" t="n"/>
      <c r="D820" s="535" t="n"/>
      <c r="E820" s="535" t="n"/>
      <c r="F820" s="282" t="n"/>
      <c r="G820" s="282" t="n"/>
      <c r="H820" s="536" t="n"/>
      <c r="I820" s="535" t="n"/>
      <c r="J820" s="282" t="n"/>
      <c r="K820" s="282" t="n"/>
      <c r="L820" s="536" t="n"/>
      <c r="M820" s="535" t="n"/>
      <c r="N820" s="282" t="n"/>
      <c r="O820" s="282" t="n"/>
      <c r="P820" s="535" t="n"/>
      <c r="Q820" s="535" t="n"/>
      <c r="R820" s="282" t="n"/>
      <c r="S820" s="282" t="n"/>
      <c r="T820" s="535" t="n"/>
      <c r="U820" s="535" t="n"/>
      <c r="V820" s="282" t="n"/>
      <c r="W820" s="282" t="n"/>
      <c r="X820" s="536" t="n"/>
      <c r="Y820" s="536" t="n"/>
      <c r="Z820" s="282" t="n"/>
      <c r="AA820" s="282" t="n"/>
      <c r="AB820" s="536" t="n"/>
      <c r="AC820" s="536" t="n"/>
      <c r="AD820" s="282" t="n"/>
      <c r="AE820" s="282" t="n"/>
      <c r="AF820" s="537" t="n"/>
      <c r="AG820" s="537" t="n"/>
      <c r="AH820" s="282" t="n"/>
      <c r="AI820" s="282" t="n"/>
      <c r="AJ820" s="537" t="n"/>
      <c r="AK820" s="537" t="n"/>
      <c r="AL820" s="282" t="n"/>
      <c r="AM820" s="282" t="n"/>
      <c r="AN820" s="282" t="n"/>
      <c r="AO820" s="282" t="n"/>
      <c r="AP820" s="282" t="n"/>
      <c r="AQ820" s="282" t="n"/>
      <c r="AR820" s="535" t="n"/>
      <c r="AS820" s="535" t="n"/>
      <c r="AT820" s="282" t="n"/>
      <c r="AU820" s="282" t="n"/>
    </row>
    <row customHeight="1" ht="15.75" r="821" s="452" spans="1:48">
      <c r="A821" s="44" t="n"/>
      <c r="D821" s="535" t="n"/>
      <c r="E821" s="535" t="n"/>
      <c r="F821" s="282" t="n"/>
      <c r="G821" s="282" t="n"/>
      <c r="H821" s="536" t="n"/>
      <c r="I821" s="535" t="n"/>
      <c r="J821" s="282" t="n"/>
      <c r="K821" s="282" t="n"/>
      <c r="L821" s="536" t="n"/>
      <c r="M821" s="535" t="n"/>
      <c r="N821" s="282" t="n"/>
      <c r="O821" s="282" t="n"/>
      <c r="P821" s="535" t="n"/>
      <c r="Q821" s="535" t="n"/>
      <c r="R821" s="282" t="n"/>
      <c r="S821" s="282" t="n"/>
      <c r="T821" s="535" t="n"/>
      <c r="U821" s="535" t="n"/>
      <c r="V821" s="282" t="n"/>
      <c r="W821" s="282" t="n"/>
      <c r="X821" s="536" t="n"/>
      <c r="Y821" s="536" t="n"/>
      <c r="Z821" s="282" t="n"/>
      <c r="AA821" s="282" t="n"/>
      <c r="AB821" s="536" t="n"/>
      <c r="AC821" s="536" t="n"/>
      <c r="AD821" s="282" t="n"/>
      <c r="AE821" s="282" t="n"/>
      <c r="AF821" s="537" t="n"/>
      <c r="AG821" s="537" t="n"/>
      <c r="AH821" s="282" t="n"/>
      <c r="AI821" s="282" t="n"/>
      <c r="AJ821" s="537" t="n"/>
      <c r="AK821" s="537" t="n"/>
      <c r="AL821" s="282" t="n"/>
      <c r="AM821" s="282" t="n"/>
      <c r="AN821" s="282" t="n"/>
      <c r="AO821" s="282" t="n"/>
      <c r="AP821" s="282" t="n"/>
      <c r="AQ821" s="282" t="n"/>
      <c r="AR821" s="535" t="n"/>
      <c r="AS821" s="535" t="n"/>
      <c r="AT821" s="282" t="n"/>
      <c r="AU821" s="282" t="n"/>
    </row>
    <row customHeight="1" ht="15.75" r="822" s="452" spans="1:48">
      <c r="A822" s="44" t="n"/>
      <c r="D822" s="535" t="n"/>
      <c r="E822" s="535" t="n"/>
      <c r="F822" s="282" t="n"/>
      <c r="G822" s="282" t="n"/>
      <c r="H822" s="536" t="n"/>
      <c r="I822" s="535" t="n"/>
      <c r="J822" s="282" t="n"/>
      <c r="K822" s="282" t="n"/>
      <c r="L822" s="536" t="n"/>
      <c r="M822" s="535" t="n"/>
      <c r="N822" s="282" t="n"/>
      <c r="O822" s="282" t="n"/>
      <c r="P822" s="535" t="n"/>
      <c r="Q822" s="535" t="n"/>
      <c r="R822" s="282" t="n"/>
      <c r="S822" s="282" t="n"/>
      <c r="T822" s="535" t="n"/>
      <c r="U822" s="535" t="n"/>
      <c r="V822" s="282" t="n"/>
      <c r="W822" s="282" t="n"/>
      <c r="X822" s="536" t="n"/>
      <c r="Y822" s="536" t="n"/>
      <c r="Z822" s="282" t="n"/>
      <c r="AA822" s="282" t="n"/>
      <c r="AB822" s="536" t="n"/>
      <c r="AC822" s="536" t="n"/>
      <c r="AD822" s="282" t="n"/>
      <c r="AE822" s="282" t="n"/>
      <c r="AF822" s="537" t="n"/>
      <c r="AG822" s="537" t="n"/>
      <c r="AH822" s="282" t="n"/>
      <c r="AI822" s="282" t="n"/>
      <c r="AJ822" s="537" t="n"/>
      <c r="AK822" s="537" t="n"/>
      <c r="AL822" s="282" t="n"/>
      <c r="AM822" s="282" t="n"/>
      <c r="AN822" s="282" t="n"/>
      <c r="AO822" s="282" t="n"/>
      <c r="AP822" s="282" t="n"/>
      <c r="AQ822" s="282" t="n"/>
      <c r="AR822" s="535" t="n"/>
      <c r="AS822" s="535" t="n"/>
      <c r="AT822" s="282" t="n"/>
      <c r="AU822" s="282" t="n"/>
    </row>
    <row customHeight="1" ht="15.75" r="823" s="452" spans="1:48">
      <c r="A823" s="44" t="n"/>
      <c r="D823" s="535" t="n"/>
      <c r="E823" s="535" t="n"/>
      <c r="F823" s="282" t="n"/>
      <c r="G823" s="282" t="n"/>
      <c r="H823" s="536" t="n"/>
      <c r="I823" s="535" t="n"/>
      <c r="J823" s="282" t="n"/>
      <c r="K823" s="282" t="n"/>
      <c r="L823" s="536" t="n"/>
      <c r="M823" s="535" t="n"/>
      <c r="N823" s="282" t="n"/>
      <c r="O823" s="282" t="n"/>
      <c r="P823" s="535" t="n"/>
      <c r="Q823" s="535" t="n"/>
      <c r="R823" s="282" t="n"/>
      <c r="S823" s="282" t="n"/>
      <c r="T823" s="535" t="n"/>
      <c r="U823" s="535" t="n"/>
      <c r="V823" s="282" t="n"/>
      <c r="W823" s="282" t="n"/>
      <c r="X823" s="536" t="n"/>
      <c r="Y823" s="536" t="n"/>
      <c r="Z823" s="282" t="n"/>
      <c r="AA823" s="282" t="n"/>
      <c r="AB823" s="536" t="n"/>
      <c r="AC823" s="536" t="n"/>
      <c r="AD823" s="282" t="n"/>
      <c r="AE823" s="282" t="n"/>
      <c r="AF823" s="537" t="n"/>
      <c r="AG823" s="537" t="n"/>
      <c r="AH823" s="282" t="n"/>
      <c r="AI823" s="282" t="n"/>
      <c r="AJ823" s="537" t="n"/>
      <c r="AK823" s="537" t="n"/>
      <c r="AL823" s="282" t="n"/>
      <c r="AM823" s="282" t="n"/>
      <c r="AN823" s="282" t="n"/>
      <c r="AO823" s="282" t="n"/>
      <c r="AP823" s="282" t="n"/>
      <c r="AQ823" s="282" t="n"/>
      <c r="AR823" s="535" t="n"/>
      <c r="AS823" s="535" t="n"/>
      <c r="AT823" s="282" t="n"/>
      <c r="AU823" s="282" t="n"/>
    </row>
    <row customHeight="1" ht="15.75" r="824" s="452" spans="1:48">
      <c r="A824" s="44" t="n"/>
      <c r="D824" s="535" t="n"/>
      <c r="E824" s="535" t="n"/>
      <c r="F824" s="282" t="n"/>
      <c r="G824" s="282" t="n"/>
      <c r="H824" s="536" t="n"/>
      <c r="I824" s="535" t="n"/>
      <c r="J824" s="282" t="n"/>
      <c r="K824" s="282" t="n"/>
      <c r="L824" s="536" t="n"/>
      <c r="M824" s="535" t="n"/>
      <c r="N824" s="282" t="n"/>
      <c r="O824" s="282" t="n"/>
      <c r="P824" s="535" t="n"/>
      <c r="Q824" s="535" t="n"/>
      <c r="R824" s="282" t="n"/>
      <c r="S824" s="282" t="n"/>
      <c r="T824" s="535" t="n"/>
      <c r="U824" s="535" t="n"/>
      <c r="V824" s="282" t="n"/>
      <c r="W824" s="282" t="n"/>
      <c r="X824" s="536" t="n"/>
      <c r="Y824" s="536" t="n"/>
      <c r="Z824" s="282" t="n"/>
      <c r="AA824" s="282" t="n"/>
      <c r="AB824" s="536" t="n"/>
      <c r="AC824" s="536" t="n"/>
      <c r="AD824" s="282" t="n"/>
      <c r="AE824" s="282" t="n"/>
      <c r="AF824" s="537" t="n"/>
      <c r="AG824" s="537" t="n"/>
      <c r="AH824" s="282" t="n"/>
      <c r="AI824" s="282" t="n"/>
      <c r="AJ824" s="537" t="n"/>
      <c r="AK824" s="537" t="n"/>
      <c r="AL824" s="282" t="n"/>
      <c r="AM824" s="282" t="n"/>
      <c r="AN824" s="282" t="n"/>
      <c r="AO824" s="282" t="n"/>
      <c r="AP824" s="282" t="n"/>
      <c r="AQ824" s="282" t="n"/>
      <c r="AR824" s="535" t="n"/>
      <c r="AS824" s="535" t="n"/>
      <c r="AT824" s="282" t="n"/>
      <c r="AU824" s="282" t="n"/>
    </row>
    <row customHeight="1" ht="15.75" r="825" s="452" spans="1:48">
      <c r="A825" s="44" t="n"/>
      <c r="D825" s="535" t="n"/>
      <c r="E825" s="535" t="n"/>
      <c r="F825" s="282" t="n"/>
      <c r="G825" s="282" t="n"/>
      <c r="H825" s="536" t="n"/>
      <c r="I825" s="535" t="n"/>
      <c r="J825" s="282" t="n"/>
      <c r="K825" s="282" t="n"/>
      <c r="L825" s="536" t="n"/>
      <c r="M825" s="535" t="n"/>
      <c r="N825" s="282" t="n"/>
      <c r="O825" s="282" t="n"/>
      <c r="P825" s="535" t="n"/>
      <c r="Q825" s="535" t="n"/>
      <c r="R825" s="282" t="n"/>
      <c r="S825" s="282" t="n"/>
      <c r="T825" s="535" t="n"/>
      <c r="U825" s="535" t="n"/>
      <c r="V825" s="282" t="n"/>
      <c r="W825" s="282" t="n"/>
      <c r="X825" s="536" t="n"/>
      <c r="Y825" s="536" t="n"/>
      <c r="Z825" s="282" t="n"/>
      <c r="AA825" s="282" t="n"/>
      <c r="AB825" s="536" t="n"/>
      <c r="AC825" s="536" t="n"/>
      <c r="AD825" s="282" t="n"/>
      <c r="AE825" s="282" t="n"/>
      <c r="AF825" s="537" t="n"/>
      <c r="AG825" s="537" t="n"/>
      <c r="AH825" s="282" t="n"/>
      <c r="AI825" s="282" t="n"/>
      <c r="AJ825" s="537" t="n"/>
      <c r="AK825" s="537" t="n"/>
      <c r="AL825" s="282" t="n"/>
      <c r="AM825" s="282" t="n"/>
      <c r="AN825" s="282" t="n"/>
      <c r="AO825" s="282" t="n"/>
      <c r="AP825" s="282" t="n"/>
      <c r="AQ825" s="282" t="n"/>
      <c r="AR825" s="535" t="n"/>
      <c r="AS825" s="535" t="n"/>
      <c r="AT825" s="282" t="n"/>
      <c r="AU825" s="282" t="n"/>
    </row>
    <row customHeight="1" ht="15.75" r="826" s="452" spans="1:48">
      <c r="A826" s="44" t="n"/>
      <c r="D826" s="535" t="n"/>
      <c r="E826" s="535" t="n"/>
      <c r="F826" s="282" t="n"/>
      <c r="G826" s="282" t="n"/>
      <c r="H826" s="536" t="n"/>
      <c r="I826" s="535" t="n"/>
      <c r="J826" s="282" t="n"/>
      <c r="K826" s="282" t="n"/>
      <c r="L826" s="536" t="n"/>
      <c r="M826" s="535" t="n"/>
      <c r="N826" s="282" t="n"/>
      <c r="O826" s="282" t="n"/>
      <c r="P826" s="535" t="n"/>
      <c r="Q826" s="535" t="n"/>
      <c r="R826" s="282" t="n"/>
      <c r="S826" s="282" t="n"/>
      <c r="T826" s="535" t="n"/>
      <c r="U826" s="535" t="n"/>
      <c r="V826" s="282" t="n"/>
      <c r="W826" s="282" t="n"/>
      <c r="X826" s="536" t="n"/>
      <c r="Y826" s="536" t="n"/>
      <c r="Z826" s="282" t="n"/>
      <c r="AA826" s="282" t="n"/>
      <c r="AB826" s="536" t="n"/>
      <c r="AC826" s="536" t="n"/>
      <c r="AD826" s="282" t="n"/>
      <c r="AE826" s="282" t="n"/>
      <c r="AF826" s="537" t="n"/>
      <c r="AG826" s="537" t="n"/>
      <c r="AH826" s="282" t="n"/>
      <c r="AI826" s="282" t="n"/>
      <c r="AJ826" s="537" t="n"/>
      <c r="AK826" s="537" t="n"/>
      <c r="AL826" s="282" t="n"/>
      <c r="AM826" s="282" t="n"/>
      <c r="AN826" s="282" t="n"/>
      <c r="AO826" s="282" t="n"/>
      <c r="AP826" s="282" t="n"/>
      <c r="AQ826" s="282" t="n"/>
      <c r="AR826" s="535" t="n"/>
      <c r="AS826" s="535" t="n"/>
      <c r="AT826" s="282" t="n"/>
      <c r="AU826" s="282" t="n"/>
    </row>
    <row customHeight="1" ht="15.75" r="827" s="452" spans="1:48">
      <c r="A827" s="44" t="n"/>
      <c r="D827" s="535" t="n"/>
      <c r="E827" s="535" t="n"/>
      <c r="F827" s="282" t="n"/>
      <c r="G827" s="282" t="n"/>
      <c r="H827" s="536" t="n"/>
      <c r="I827" s="535" t="n"/>
      <c r="J827" s="282" t="n"/>
      <c r="K827" s="282" t="n"/>
      <c r="L827" s="536" t="n"/>
      <c r="M827" s="535" t="n"/>
      <c r="N827" s="282" t="n"/>
      <c r="O827" s="282" t="n"/>
      <c r="P827" s="535" t="n"/>
      <c r="Q827" s="535" t="n"/>
      <c r="R827" s="282" t="n"/>
      <c r="S827" s="282" t="n"/>
      <c r="T827" s="535" t="n"/>
      <c r="U827" s="535" t="n"/>
      <c r="V827" s="282" t="n"/>
      <c r="W827" s="282" t="n"/>
      <c r="X827" s="536" t="n"/>
      <c r="Y827" s="536" t="n"/>
      <c r="Z827" s="282" t="n"/>
      <c r="AA827" s="282" t="n"/>
      <c r="AB827" s="536" t="n"/>
      <c r="AC827" s="536" t="n"/>
      <c r="AD827" s="282" t="n"/>
      <c r="AE827" s="282" t="n"/>
      <c r="AF827" s="537" t="n"/>
      <c r="AG827" s="537" t="n"/>
      <c r="AH827" s="282" t="n"/>
      <c r="AI827" s="282" t="n"/>
      <c r="AJ827" s="537" t="n"/>
      <c r="AK827" s="537" t="n"/>
      <c r="AL827" s="282" t="n"/>
      <c r="AM827" s="282" t="n"/>
      <c r="AN827" s="282" t="n"/>
      <c r="AO827" s="282" t="n"/>
      <c r="AP827" s="282" t="n"/>
      <c r="AQ827" s="282" t="n"/>
      <c r="AR827" s="535" t="n"/>
      <c r="AS827" s="535" t="n"/>
      <c r="AT827" s="282" t="n"/>
      <c r="AU827" s="282" t="n"/>
    </row>
    <row customHeight="1" ht="15.75" r="828" s="452" spans="1:48">
      <c r="A828" s="44" t="n"/>
      <c r="D828" s="535" t="n"/>
      <c r="E828" s="535" t="n"/>
      <c r="F828" s="282" t="n"/>
      <c r="G828" s="282" t="n"/>
      <c r="H828" s="536" t="n"/>
      <c r="I828" s="535" t="n"/>
      <c r="J828" s="282" t="n"/>
      <c r="K828" s="282" t="n"/>
      <c r="L828" s="536" t="n"/>
      <c r="M828" s="535" t="n"/>
      <c r="N828" s="282" t="n"/>
      <c r="O828" s="282" t="n"/>
      <c r="P828" s="535" t="n"/>
      <c r="Q828" s="535" t="n"/>
      <c r="R828" s="282" t="n"/>
      <c r="S828" s="282" t="n"/>
      <c r="T828" s="535" t="n"/>
      <c r="U828" s="535" t="n"/>
      <c r="V828" s="282" t="n"/>
      <c r="W828" s="282" t="n"/>
      <c r="X828" s="536" t="n"/>
      <c r="Y828" s="536" t="n"/>
      <c r="Z828" s="282" t="n"/>
      <c r="AA828" s="282" t="n"/>
      <c r="AB828" s="536" t="n"/>
      <c r="AC828" s="536" t="n"/>
      <c r="AD828" s="282" t="n"/>
      <c r="AE828" s="282" t="n"/>
      <c r="AF828" s="537" t="n"/>
      <c r="AG828" s="537" t="n"/>
      <c r="AH828" s="282" t="n"/>
      <c r="AI828" s="282" t="n"/>
      <c r="AJ828" s="537" t="n"/>
      <c r="AK828" s="537" t="n"/>
      <c r="AL828" s="282" t="n"/>
      <c r="AM828" s="282" t="n"/>
      <c r="AN828" s="282" t="n"/>
      <c r="AO828" s="282" t="n"/>
      <c r="AP828" s="282" t="n"/>
      <c r="AQ828" s="282" t="n"/>
      <c r="AR828" s="535" t="n"/>
      <c r="AS828" s="535" t="n"/>
      <c r="AT828" s="282" t="n"/>
      <c r="AU828" s="282" t="n"/>
    </row>
    <row customHeight="1" ht="15.75" r="829" s="452" spans="1:48">
      <c r="A829" s="44" t="n"/>
      <c r="D829" s="535" t="n"/>
      <c r="E829" s="535" t="n"/>
      <c r="F829" s="282" t="n"/>
      <c r="G829" s="282" t="n"/>
      <c r="H829" s="536" t="n"/>
      <c r="I829" s="535" t="n"/>
      <c r="J829" s="282" t="n"/>
      <c r="K829" s="282" t="n"/>
      <c r="L829" s="536" t="n"/>
      <c r="M829" s="535" t="n"/>
      <c r="N829" s="282" t="n"/>
      <c r="O829" s="282" t="n"/>
      <c r="P829" s="535" t="n"/>
      <c r="Q829" s="535" t="n"/>
      <c r="R829" s="282" t="n"/>
      <c r="S829" s="282" t="n"/>
      <c r="T829" s="535" t="n"/>
      <c r="U829" s="535" t="n"/>
      <c r="V829" s="282" t="n"/>
      <c r="W829" s="282" t="n"/>
      <c r="X829" s="536" t="n"/>
      <c r="Y829" s="536" t="n"/>
      <c r="Z829" s="282" t="n"/>
      <c r="AA829" s="282" t="n"/>
      <c r="AB829" s="536" t="n"/>
      <c r="AC829" s="536" t="n"/>
      <c r="AD829" s="282" t="n"/>
      <c r="AE829" s="282" t="n"/>
      <c r="AF829" s="537" t="n"/>
      <c r="AG829" s="537" t="n"/>
      <c r="AH829" s="282" t="n"/>
      <c r="AI829" s="282" t="n"/>
      <c r="AJ829" s="537" t="n"/>
      <c r="AK829" s="537" t="n"/>
      <c r="AL829" s="282" t="n"/>
      <c r="AM829" s="282" t="n"/>
      <c r="AN829" s="282" t="n"/>
      <c r="AO829" s="282" t="n"/>
      <c r="AP829" s="282" t="n"/>
      <c r="AQ829" s="282" t="n"/>
      <c r="AR829" s="535" t="n"/>
      <c r="AS829" s="535" t="n"/>
      <c r="AT829" s="282" t="n"/>
      <c r="AU829" s="282" t="n"/>
    </row>
    <row customHeight="1" ht="15.75" r="830" s="452" spans="1:48">
      <c r="A830" s="44" t="n"/>
      <c r="D830" s="535" t="n"/>
      <c r="E830" s="535" t="n"/>
      <c r="F830" s="282" t="n"/>
      <c r="G830" s="282" t="n"/>
      <c r="H830" s="536" t="n"/>
      <c r="I830" s="535" t="n"/>
      <c r="J830" s="282" t="n"/>
      <c r="K830" s="282" t="n"/>
      <c r="L830" s="536" t="n"/>
      <c r="M830" s="535" t="n"/>
      <c r="N830" s="282" t="n"/>
      <c r="O830" s="282" t="n"/>
      <c r="P830" s="535" t="n"/>
      <c r="Q830" s="535" t="n"/>
      <c r="R830" s="282" t="n"/>
      <c r="S830" s="282" t="n"/>
      <c r="T830" s="535" t="n"/>
      <c r="U830" s="535" t="n"/>
      <c r="V830" s="282" t="n"/>
      <c r="W830" s="282" t="n"/>
      <c r="X830" s="536" t="n"/>
      <c r="Y830" s="536" t="n"/>
      <c r="Z830" s="282" t="n"/>
      <c r="AA830" s="282" t="n"/>
      <c r="AB830" s="536" t="n"/>
      <c r="AC830" s="536" t="n"/>
      <c r="AD830" s="282" t="n"/>
      <c r="AE830" s="282" t="n"/>
      <c r="AF830" s="537" t="n"/>
      <c r="AG830" s="537" t="n"/>
      <c r="AH830" s="282" t="n"/>
      <c r="AI830" s="282" t="n"/>
      <c r="AJ830" s="537" t="n"/>
      <c r="AK830" s="537" t="n"/>
      <c r="AL830" s="282" t="n"/>
      <c r="AM830" s="282" t="n"/>
      <c r="AN830" s="282" t="n"/>
      <c r="AO830" s="282" t="n"/>
      <c r="AP830" s="282" t="n"/>
      <c r="AQ830" s="282" t="n"/>
      <c r="AR830" s="535" t="n"/>
      <c r="AS830" s="535" t="n"/>
      <c r="AT830" s="282" t="n"/>
      <c r="AU830" s="282" t="n"/>
    </row>
    <row customHeight="1" ht="15.75" r="831" s="452" spans="1:48">
      <c r="A831" s="44" t="n"/>
      <c r="D831" s="535" t="n"/>
      <c r="E831" s="535" t="n"/>
      <c r="F831" s="282" t="n"/>
      <c r="G831" s="282" t="n"/>
      <c r="H831" s="536" t="n"/>
      <c r="I831" s="535" t="n"/>
      <c r="J831" s="282" t="n"/>
      <c r="K831" s="282" t="n"/>
      <c r="L831" s="536" t="n"/>
      <c r="M831" s="535" t="n"/>
      <c r="N831" s="282" t="n"/>
      <c r="O831" s="282" t="n"/>
      <c r="P831" s="535" t="n"/>
      <c r="Q831" s="535" t="n"/>
      <c r="R831" s="282" t="n"/>
      <c r="S831" s="282" t="n"/>
      <c r="T831" s="535" t="n"/>
      <c r="U831" s="535" t="n"/>
      <c r="V831" s="282" t="n"/>
      <c r="W831" s="282" t="n"/>
      <c r="X831" s="536" t="n"/>
      <c r="Y831" s="536" t="n"/>
      <c r="Z831" s="282" t="n"/>
      <c r="AA831" s="282" t="n"/>
      <c r="AB831" s="536" t="n"/>
      <c r="AC831" s="536" t="n"/>
      <c r="AD831" s="282" t="n"/>
      <c r="AE831" s="282" t="n"/>
      <c r="AF831" s="537" t="n"/>
      <c r="AG831" s="537" t="n"/>
      <c r="AH831" s="282" t="n"/>
      <c r="AI831" s="282" t="n"/>
      <c r="AJ831" s="537" t="n"/>
      <c r="AK831" s="537" t="n"/>
      <c r="AL831" s="282" t="n"/>
      <c r="AM831" s="282" t="n"/>
      <c r="AN831" s="282" t="n"/>
      <c r="AO831" s="282" t="n"/>
      <c r="AP831" s="282" t="n"/>
      <c r="AQ831" s="282" t="n"/>
      <c r="AR831" s="535" t="n"/>
      <c r="AS831" s="535" t="n"/>
      <c r="AT831" s="282" t="n"/>
      <c r="AU831" s="282" t="n"/>
    </row>
    <row customHeight="1" ht="15.75" r="832" s="452" spans="1:48">
      <c r="A832" s="44" t="n"/>
      <c r="D832" s="535" t="n"/>
      <c r="E832" s="535" t="n"/>
      <c r="F832" s="282" t="n"/>
      <c r="G832" s="282" t="n"/>
      <c r="H832" s="536" t="n"/>
      <c r="I832" s="535" t="n"/>
      <c r="J832" s="282" t="n"/>
      <c r="K832" s="282" t="n"/>
      <c r="L832" s="536" t="n"/>
      <c r="M832" s="535" t="n"/>
      <c r="N832" s="282" t="n"/>
      <c r="O832" s="282" t="n"/>
      <c r="P832" s="535" t="n"/>
      <c r="Q832" s="535" t="n"/>
      <c r="R832" s="282" t="n"/>
      <c r="S832" s="282" t="n"/>
      <c r="T832" s="535" t="n"/>
      <c r="U832" s="535" t="n"/>
      <c r="V832" s="282" t="n"/>
      <c r="W832" s="282" t="n"/>
      <c r="X832" s="536" t="n"/>
      <c r="Y832" s="536" t="n"/>
      <c r="Z832" s="282" t="n"/>
      <c r="AA832" s="282" t="n"/>
      <c r="AB832" s="536" t="n"/>
      <c r="AC832" s="536" t="n"/>
      <c r="AD832" s="282" t="n"/>
      <c r="AE832" s="282" t="n"/>
      <c r="AF832" s="537" t="n"/>
      <c r="AG832" s="537" t="n"/>
      <c r="AH832" s="282" t="n"/>
      <c r="AI832" s="282" t="n"/>
      <c r="AJ832" s="537" t="n"/>
      <c r="AK832" s="537" t="n"/>
      <c r="AL832" s="282" t="n"/>
      <c r="AM832" s="282" t="n"/>
      <c r="AN832" s="282" t="n"/>
      <c r="AO832" s="282" t="n"/>
      <c r="AP832" s="282" t="n"/>
      <c r="AQ832" s="282" t="n"/>
      <c r="AR832" s="535" t="n"/>
      <c r="AS832" s="535" t="n"/>
      <c r="AT832" s="282" t="n"/>
      <c r="AU832" s="282" t="n"/>
    </row>
    <row customHeight="1" ht="15.75" r="833" s="452" spans="1:48">
      <c r="A833" s="44" t="n"/>
      <c r="D833" s="535" t="n"/>
      <c r="E833" s="535" t="n"/>
      <c r="F833" s="282" t="n"/>
      <c r="G833" s="282" t="n"/>
      <c r="H833" s="536" t="n"/>
      <c r="I833" s="535" t="n"/>
      <c r="J833" s="282" t="n"/>
      <c r="K833" s="282" t="n"/>
      <c r="L833" s="536" t="n"/>
      <c r="M833" s="535" t="n"/>
      <c r="N833" s="282" t="n"/>
      <c r="O833" s="282" t="n"/>
      <c r="P833" s="535" t="n"/>
      <c r="Q833" s="535" t="n"/>
      <c r="R833" s="282" t="n"/>
      <c r="S833" s="282" t="n"/>
      <c r="T833" s="535" t="n"/>
      <c r="U833" s="535" t="n"/>
      <c r="V833" s="282" t="n"/>
      <c r="W833" s="282" t="n"/>
      <c r="X833" s="536" t="n"/>
      <c r="Y833" s="536" t="n"/>
      <c r="Z833" s="282" t="n"/>
      <c r="AA833" s="282" t="n"/>
      <c r="AB833" s="536" t="n"/>
      <c r="AC833" s="536" t="n"/>
      <c r="AD833" s="282" t="n"/>
      <c r="AE833" s="282" t="n"/>
      <c r="AF833" s="537" t="n"/>
      <c r="AG833" s="537" t="n"/>
      <c r="AH833" s="282" t="n"/>
      <c r="AI833" s="282" t="n"/>
      <c r="AJ833" s="537" t="n"/>
      <c r="AK833" s="537" t="n"/>
      <c r="AL833" s="282" t="n"/>
      <c r="AM833" s="282" t="n"/>
      <c r="AN833" s="282" t="n"/>
      <c r="AO833" s="282" t="n"/>
      <c r="AP833" s="282" t="n"/>
      <c r="AQ833" s="282" t="n"/>
      <c r="AR833" s="535" t="n"/>
      <c r="AS833" s="535" t="n"/>
      <c r="AT833" s="282" t="n"/>
      <c r="AU833" s="282" t="n"/>
    </row>
    <row customHeight="1" ht="15.75" r="834" s="452" spans="1:48">
      <c r="A834" s="44" t="n"/>
      <c r="D834" s="535" t="n"/>
      <c r="E834" s="535" t="n"/>
      <c r="F834" s="282" t="n"/>
      <c r="G834" s="282" t="n"/>
      <c r="H834" s="536" t="n"/>
      <c r="I834" s="535" t="n"/>
      <c r="J834" s="282" t="n"/>
      <c r="K834" s="282" t="n"/>
      <c r="L834" s="536" t="n"/>
      <c r="M834" s="535" t="n"/>
      <c r="N834" s="282" t="n"/>
      <c r="O834" s="282" t="n"/>
      <c r="P834" s="535" t="n"/>
      <c r="Q834" s="535" t="n"/>
      <c r="R834" s="282" t="n"/>
      <c r="S834" s="282" t="n"/>
      <c r="T834" s="535" t="n"/>
      <c r="U834" s="535" t="n"/>
      <c r="V834" s="282" t="n"/>
      <c r="W834" s="282" t="n"/>
      <c r="X834" s="536" t="n"/>
      <c r="Y834" s="536" t="n"/>
      <c r="Z834" s="282" t="n"/>
      <c r="AA834" s="282" t="n"/>
      <c r="AB834" s="536" t="n"/>
      <c r="AC834" s="536" t="n"/>
      <c r="AD834" s="282" t="n"/>
      <c r="AE834" s="282" t="n"/>
      <c r="AF834" s="537" t="n"/>
      <c r="AG834" s="537" t="n"/>
      <c r="AH834" s="282" t="n"/>
      <c r="AI834" s="282" t="n"/>
      <c r="AJ834" s="537" t="n"/>
      <c r="AK834" s="537" t="n"/>
      <c r="AL834" s="282" t="n"/>
      <c r="AM834" s="282" t="n"/>
      <c r="AN834" s="282" t="n"/>
      <c r="AO834" s="282" t="n"/>
      <c r="AP834" s="282" t="n"/>
      <c r="AQ834" s="282" t="n"/>
      <c r="AR834" s="535" t="n"/>
      <c r="AS834" s="535" t="n"/>
      <c r="AT834" s="282" t="n"/>
      <c r="AU834" s="282" t="n"/>
    </row>
    <row customHeight="1" ht="15.75" r="835" s="452" spans="1:48">
      <c r="A835" s="44" t="n"/>
      <c r="D835" s="535" t="n"/>
      <c r="E835" s="535" t="n"/>
      <c r="F835" s="282" t="n"/>
      <c r="G835" s="282" t="n"/>
      <c r="H835" s="536" t="n"/>
      <c r="I835" s="535" t="n"/>
      <c r="J835" s="282" t="n"/>
      <c r="K835" s="282" t="n"/>
      <c r="L835" s="536" t="n"/>
      <c r="M835" s="535" t="n"/>
      <c r="N835" s="282" t="n"/>
      <c r="O835" s="282" t="n"/>
      <c r="P835" s="535" t="n"/>
      <c r="Q835" s="535" t="n"/>
      <c r="R835" s="282" t="n"/>
      <c r="S835" s="282" t="n"/>
      <c r="T835" s="535" t="n"/>
      <c r="U835" s="535" t="n"/>
      <c r="V835" s="282" t="n"/>
      <c r="W835" s="282" t="n"/>
      <c r="X835" s="536" t="n"/>
      <c r="Y835" s="536" t="n"/>
      <c r="Z835" s="282" t="n"/>
      <c r="AA835" s="282" t="n"/>
      <c r="AB835" s="536" t="n"/>
      <c r="AC835" s="536" t="n"/>
      <c r="AD835" s="282" t="n"/>
      <c r="AE835" s="282" t="n"/>
      <c r="AF835" s="537" t="n"/>
      <c r="AG835" s="537" t="n"/>
      <c r="AH835" s="282" t="n"/>
      <c r="AI835" s="282" t="n"/>
      <c r="AJ835" s="537" t="n"/>
      <c r="AK835" s="537" t="n"/>
      <c r="AL835" s="282" t="n"/>
      <c r="AM835" s="282" t="n"/>
      <c r="AN835" s="282" t="n"/>
      <c r="AO835" s="282" t="n"/>
      <c r="AP835" s="282" t="n"/>
      <c r="AQ835" s="282" t="n"/>
      <c r="AR835" s="535" t="n"/>
      <c r="AS835" s="535" t="n"/>
      <c r="AT835" s="282" t="n"/>
      <c r="AU835" s="282" t="n"/>
    </row>
    <row customHeight="1" ht="15.75" r="836" s="452" spans="1:48">
      <c r="A836" s="44" t="n"/>
      <c r="D836" s="535" t="n"/>
      <c r="E836" s="535" t="n"/>
      <c r="F836" s="282" t="n"/>
      <c r="G836" s="282" t="n"/>
      <c r="H836" s="536" t="n"/>
      <c r="I836" s="535" t="n"/>
      <c r="J836" s="282" t="n"/>
      <c r="K836" s="282" t="n"/>
      <c r="L836" s="536" t="n"/>
      <c r="M836" s="535" t="n"/>
      <c r="N836" s="282" t="n"/>
      <c r="O836" s="282" t="n"/>
      <c r="P836" s="535" t="n"/>
      <c r="Q836" s="535" t="n"/>
      <c r="R836" s="282" t="n"/>
      <c r="S836" s="282" t="n"/>
      <c r="T836" s="535" t="n"/>
      <c r="U836" s="535" t="n"/>
      <c r="V836" s="282" t="n"/>
      <c r="W836" s="282" t="n"/>
      <c r="X836" s="536" t="n"/>
      <c r="Y836" s="536" t="n"/>
      <c r="Z836" s="282" t="n"/>
      <c r="AA836" s="282" t="n"/>
      <c r="AB836" s="536" t="n"/>
      <c r="AC836" s="536" t="n"/>
      <c r="AD836" s="282" t="n"/>
      <c r="AE836" s="282" t="n"/>
      <c r="AF836" s="537" t="n"/>
      <c r="AG836" s="537" t="n"/>
      <c r="AH836" s="282" t="n"/>
      <c r="AI836" s="282" t="n"/>
      <c r="AJ836" s="537" t="n"/>
      <c r="AK836" s="537" t="n"/>
      <c r="AL836" s="282" t="n"/>
      <c r="AM836" s="282" t="n"/>
      <c r="AN836" s="282" t="n"/>
      <c r="AO836" s="282" t="n"/>
      <c r="AP836" s="282" t="n"/>
      <c r="AQ836" s="282" t="n"/>
      <c r="AR836" s="535" t="n"/>
      <c r="AS836" s="535" t="n"/>
      <c r="AT836" s="282" t="n"/>
      <c r="AU836" s="282" t="n"/>
    </row>
    <row customHeight="1" ht="15.75" r="837" s="452" spans="1:48">
      <c r="A837" s="44" t="n"/>
      <c r="D837" s="535" t="n"/>
      <c r="E837" s="535" t="n"/>
      <c r="F837" s="282" t="n"/>
      <c r="G837" s="282" t="n"/>
      <c r="H837" s="536" t="n"/>
      <c r="I837" s="535" t="n"/>
      <c r="J837" s="282" t="n"/>
      <c r="K837" s="282" t="n"/>
      <c r="L837" s="536" t="n"/>
      <c r="M837" s="535" t="n"/>
      <c r="N837" s="282" t="n"/>
      <c r="O837" s="282" t="n"/>
      <c r="P837" s="535" t="n"/>
      <c r="Q837" s="535" t="n"/>
      <c r="R837" s="282" t="n"/>
      <c r="S837" s="282" t="n"/>
      <c r="T837" s="535" t="n"/>
      <c r="U837" s="535" t="n"/>
      <c r="V837" s="282" t="n"/>
      <c r="W837" s="282" t="n"/>
      <c r="X837" s="536" t="n"/>
      <c r="Y837" s="536" t="n"/>
      <c r="Z837" s="282" t="n"/>
      <c r="AA837" s="282" t="n"/>
      <c r="AB837" s="536" t="n"/>
      <c r="AC837" s="536" t="n"/>
      <c r="AD837" s="282" t="n"/>
      <c r="AE837" s="282" t="n"/>
      <c r="AF837" s="537" t="n"/>
      <c r="AG837" s="537" t="n"/>
      <c r="AH837" s="282" t="n"/>
      <c r="AI837" s="282" t="n"/>
      <c r="AJ837" s="537" t="n"/>
      <c r="AK837" s="537" t="n"/>
      <c r="AL837" s="282" t="n"/>
      <c r="AM837" s="282" t="n"/>
      <c r="AN837" s="282" t="n"/>
      <c r="AO837" s="282" t="n"/>
      <c r="AP837" s="282" t="n"/>
      <c r="AQ837" s="282" t="n"/>
      <c r="AR837" s="535" t="n"/>
      <c r="AS837" s="535" t="n"/>
      <c r="AT837" s="282" t="n"/>
      <c r="AU837" s="282" t="n"/>
    </row>
    <row customHeight="1" ht="15.75" r="838" s="452" spans="1:48">
      <c r="A838" s="44" t="n"/>
      <c r="D838" s="535" t="n"/>
      <c r="E838" s="535" t="n"/>
      <c r="F838" s="282" t="n"/>
      <c r="G838" s="282" t="n"/>
      <c r="H838" s="536" t="n"/>
      <c r="I838" s="535" t="n"/>
      <c r="J838" s="282" t="n"/>
      <c r="K838" s="282" t="n"/>
      <c r="L838" s="536" t="n"/>
      <c r="M838" s="535" t="n"/>
      <c r="N838" s="282" t="n"/>
      <c r="O838" s="282" t="n"/>
      <c r="P838" s="535" t="n"/>
      <c r="Q838" s="535" t="n"/>
      <c r="R838" s="282" t="n"/>
      <c r="S838" s="282" t="n"/>
      <c r="T838" s="535" t="n"/>
      <c r="U838" s="535" t="n"/>
      <c r="V838" s="282" t="n"/>
      <c r="W838" s="282" t="n"/>
      <c r="X838" s="536" t="n"/>
      <c r="Y838" s="536" t="n"/>
      <c r="Z838" s="282" t="n"/>
      <c r="AA838" s="282" t="n"/>
      <c r="AB838" s="536" t="n"/>
      <c r="AC838" s="536" t="n"/>
      <c r="AD838" s="282" t="n"/>
      <c r="AE838" s="282" t="n"/>
      <c r="AF838" s="537" t="n"/>
      <c r="AG838" s="537" t="n"/>
      <c r="AH838" s="282" t="n"/>
      <c r="AI838" s="282" t="n"/>
      <c r="AJ838" s="537" t="n"/>
      <c r="AK838" s="537" t="n"/>
      <c r="AL838" s="282" t="n"/>
      <c r="AM838" s="282" t="n"/>
      <c r="AN838" s="282" t="n"/>
      <c r="AO838" s="282" t="n"/>
      <c r="AP838" s="282" t="n"/>
      <c r="AQ838" s="282" t="n"/>
      <c r="AR838" s="535" t="n"/>
      <c r="AS838" s="535" t="n"/>
      <c r="AT838" s="282" t="n"/>
      <c r="AU838" s="282" t="n"/>
    </row>
    <row customHeight="1" ht="15.75" r="839" s="452" spans="1:48">
      <c r="A839" s="44" t="n"/>
      <c r="D839" s="535" t="n"/>
      <c r="E839" s="535" t="n"/>
      <c r="F839" s="282" t="n"/>
      <c r="G839" s="282" t="n"/>
      <c r="H839" s="536" t="n"/>
      <c r="I839" s="535" t="n"/>
      <c r="J839" s="282" t="n"/>
      <c r="K839" s="282" t="n"/>
      <c r="L839" s="536" t="n"/>
      <c r="M839" s="535" t="n"/>
      <c r="N839" s="282" t="n"/>
      <c r="O839" s="282" t="n"/>
      <c r="P839" s="535" t="n"/>
      <c r="Q839" s="535" t="n"/>
      <c r="R839" s="282" t="n"/>
      <c r="S839" s="282" t="n"/>
      <c r="T839" s="535" t="n"/>
      <c r="U839" s="535" t="n"/>
      <c r="V839" s="282" t="n"/>
      <c r="W839" s="282" t="n"/>
      <c r="X839" s="536" t="n"/>
      <c r="Y839" s="536" t="n"/>
      <c r="Z839" s="282" t="n"/>
      <c r="AA839" s="282" t="n"/>
      <c r="AB839" s="536" t="n"/>
      <c r="AC839" s="536" t="n"/>
      <c r="AD839" s="282" t="n"/>
      <c r="AE839" s="282" t="n"/>
      <c r="AF839" s="537" t="n"/>
      <c r="AG839" s="537" t="n"/>
      <c r="AH839" s="282" t="n"/>
      <c r="AI839" s="282" t="n"/>
      <c r="AJ839" s="537" t="n"/>
      <c r="AK839" s="537" t="n"/>
      <c r="AL839" s="282" t="n"/>
      <c r="AM839" s="282" t="n"/>
      <c r="AN839" s="282" t="n"/>
      <c r="AO839" s="282" t="n"/>
      <c r="AP839" s="282" t="n"/>
      <c r="AQ839" s="282" t="n"/>
      <c r="AR839" s="535" t="n"/>
      <c r="AS839" s="535" t="n"/>
      <c r="AT839" s="282" t="n"/>
      <c r="AU839" s="282" t="n"/>
    </row>
    <row customHeight="1" ht="15.75" r="840" s="452" spans="1:48">
      <c r="A840" s="44" t="n"/>
      <c r="D840" s="535" t="n"/>
      <c r="E840" s="535" t="n"/>
      <c r="F840" s="282" t="n"/>
      <c r="G840" s="282" t="n"/>
      <c r="H840" s="536" t="n"/>
      <c r="I840" s="535" t="n"/>
      <c r="J840" s="282" t="n"/>
      <c r="K840" s="282" t="n"/>
      <c r="L840" s="536" t="n"/>
      <c r="M840" s="535" t="n"/>
      <c r="N840" s="282" t="n"/>
      <c r="O840" s="282" t="n"/>
      <c r="P840" s="535" t="n"/>
      <c r="Q840" s="535" t="n"/>
      <c r="R840" s="282" t="n"/>
      <c r="S840" s="282" t="n"/>
      <c r="T840" s="535" t="n"/>
      <c r="U840" s="535" t="n"/>
      <c r="V840" s="282" t="n"/>
      <c r="W840" s="282" t="n"/>
      <c r="X840" s="536" t="n"/>
      <c r="Y840" s="536" t="n"/>
      <c r="Z840" s="282" t="n"/>
      <c r="AA840" s="282" t="n"/>
      <c r="AB840" s="536" t="n"/>
      <c r="AC840" s="536" t="n"/>
      <c r="AD840" s="282" t="n"/>
      <c r="AE840" s="282" t="n"/>
      <c r="AF840" s="537" t="n"/>
      <c r="AG840" s="537" t="n"/>
      <c r="AH840" s="282" t="n"/>
      <c r="AI840" s="282" t="n"/>
      <c r="AJ840" s="537" t="n"/>
      <c r="AK840" s="537" t="n"/>
      <c r="AL840" s="282" t="n"/>
      <c r="AM840" s="282" t="n"/>
      <c r="AN840" s="282" t="n"/>
      <c r="AO840" s="282" t="n"/>
      <c r="AP840" s="282" t="n"/>
      <c r="AQ840" s="282" t="n"/>
      <c r="AR840" s="535" t="n"/>
      <c r="AS840" s="535" t="n"/>
      <c r="AT840" s="282" t="n"/>
      <c r="AU840" s="282" t="n"/>
    </row>
    <row customHeight="1" ht="15.75" r="841" s="452" spans="1:48">
      <c r="A841" s="44" t="n"/>
      <c r="D841" s="535" t="n"/>
      <c r="E841" s="535" t="n"/>
      <c r="F841" s="282" t="n"/>
      <c r="G841" s="282" t="n"/>
      <c r="H841" s="536" t="n"/>
      <c r="I841" s="535" t="n"/>
      <c r="J841" s="282" t="n"/>
      <c r="K841" s="282" t="n"/>
      <c r="L841" s="536" t="n"/>
      <c r="M841" s="535" t="n"/>
      <c r="N841" s="282" t="n"/>
      <c r="O841" s="282" t="n"/>
      <c r="P841" s="535" t="n"/>
      <c r="Q841" s="535" t="n"/>
      <c r="R841" s="282" t="n"/>
      <c r="S841" s="282" t="n"/>
      <c r="T841" s="535" t="n"/>
      <c r="U841" s="535" t="n"/>
      <c r="V841" s="282" t="n"/>
      <c r="W841" s="282" t="n"/>
      <c r="X841" s="536" t="n"/>
      <c r="Y841" s="536" t="n"/>
      <c r="Z841" s="282" t="n"/>
      <c r="AA841" s="282" t="n"/>
      <c r="AB841" s="536" t="n"/>
      <c r="AC841" s="536" t="n"/>
      <c r="AD841" s="282" t="n"/>
      <c r="AE841" s="282" t="n"/>
      <c r="AF841" s="537" t="n"/>
      <c r="AG841" s="537" t="n"/>
      <c r="AH841" s="282" t="n"/>
      <c r="AI841" s="282" t="n"/>
      <c r="AJ841" s="537" t="n"/>
      <c r="AK841" s="537" t="n"/>
      <c r="AL841" s="282" t="n"/>
      <c r="AM841" s="282" t="n"/>
      <c r="AN841" s="282" t="n"/>
      <c r="AO841" s="282" t="n"/>
      <c r="AP841" s="282" t="n"/>
      <c r="AQ841" s="282" t="n"/>
      <c r="AR841" s="535" t="n"/>
      <c r="AS841" s="535" t="n"/>
      <c r="AT841" s="282" t="n"/>
      <c r="AU841" s="282" t="n"/>
    </row>
    <row customHeight="1" ht="15.75" r="842" s="452" spans="1:48">
      <c r="A842" s="44" t="n"/>
      <c r="D842" s="535" t="n"/>
      <c r="E842" s="535" t="n"/>
      <c r="F842" s="282" t="n"/>
      <c r="G842" s="282" t="n"/>
      <c r="H842" s="536" t="n"/>
      <c r="I842" s="535" t="n"/>
      <c r="J842" s="282" t="n"/>
      <c r="K842" s="282" t="n"/>
      <c r="L842" s="536" t="n"/>
      <c r="M842" s="535" t="n"/>
      <c r="N842" s="282" t="n"/>
      <c r="O842" s="282" t="n"/>
      <c r="P842" s="535" t="n"/>
      <c r="Q842" s="535" t="n"/>
      <c r="R842" s="282" t="n"/>
      <c r="S842" s="282" t="n"/>
      <c r="T842" s="535" t="n"/>
      <c r="U842" s="535" t="n"/>
      <c r="V842" s="282" t="n"/>
      <c r="W842" s="282" t="n"/>
      <c r="X842" s="536" t="n"/>
      <c r="Y842" s="536" t="n"/>
      <c r="Z842" s="282" t="n"/>
      <c r="AA842" s="282" t="n"/>
      <c r="AB842" s="536" t="n"/>
      <c r="AC842" s="536" t="n"/>
      <c r="AD842" s="282" t="n"/>
      <c r="AE842" s="282" t="n"/>
      <c r="AF842" s="537" t="n"/>
      <c r="AG842" s="537" t="n"/>
      <c r="AH842" s="282" t="n"/>
      <c r="AI842" s="282" t="n"/>
      <c r="AJ842" s="537" t="n"/>
      <c r="AK842" s="537" t="n"/>
      <c r="AL842" s="282" t="n"/>
      <c r="AM842" s="282" t="n"/>
      <c r="AN842" s="282" t="n"/>
      <c r="AO842" s="282" t="n"/>
      <c r="AP842" s="282" t="n"/>
      <c r="AQ842" s="282" t="n"/>
      <c r="AR842" s="535" t="n"/>
      <c r="AS842" s="535" t="n"/>
      <c r="AT842" s="282" t="n"/>
      <c r="AU842" s="282" t="n"/>
    </row>
    <row customHeight="1" ht="15.75" r="843" s="452" spans="1:48">
      <c r="A843" s="44" t="n"/>
      <c r="D843" s="535" t="n"/>
      <c r="E843" s="535" t="n"/>
      <c r="F843" s="282" t="n"/>
      <c r="G843" s="282" t="n"/>
      <c r="H843" s="536" t="n"/>
      <c r="I843" s="535" t="n"/>
      <c r="J843" s="282" t="n"/>
      <c r="K843" s="282" t="n"/>
      <c r="L843" s="536" t="n"/>
      <c r="M843" s="535" t="n"/>
      <c r="N843" s="282" t="n"/>
      <c r="O843" s="282" t="n"/>
      <c r="P843" s="535" t="n"/>
      <c r="Q843" s="535" t="n"/>
      <c r="R843" s="282" t="n"/>
      <c r="S843" s="282" t="n"/>
      <c r="T843" s="535" t="n"/>
      <c r="U843" s="535" t="n"/>
      <c r="V843" s="282" t="n"/>
      <c r="W843" s="282" t="n"/>
      <c r="X843" s="536" t="n"/>
      <c r="Y843" s="536" t="n"/>
      <c r="Z843" s="282" t="n"/>
      <c r="AA843" s="282" t="n"/>
      <c r="AB843" s="536" t="n"/>
      <c r="AC843" s="536" t="n"/>
      <c r="AD843" s="282" t="n"/>
      <c r="AE843" s="282" t="n"/>
      <c r="AF843" s="537" t="n"/>
      <c r="AG843" s="537" t="n"/>
      <c r="AH843" s="282" t="n"/>
      <c r="AI843" s="282" t="n"/>
      <c r="AJ843" s="537" t="n"/>
      <c r="AK843" s="537" t="n"/>
      <c r="AL843" s="282" t="n"/>
      <c r="AM843" s="282" t="n"/>
      <c r="AN843" s="282" t="n"/>
      <c r="AO843" s="282" t="n"/>
      <c r="AP843" s="282" t="n"/>
      <c r="AQ843" s="282" t="n"/>
      <c r="AR843" s="535" t="n"/>
      <c r="AS843" s="535" t="n"/>
      <c r="AT843" s="282" t="n"/>
      <c r="AU843" s="282" t="n"/>
    </row>
    <row customHeight="1" ht="15.75" r="844" s="452" spans="1:48">
      <c r="A844" s="44" t="n"/>
      <c r="D844" s="535" t="n"/>
      <c r="E844" s="535" t="n"/>
      <c r="F844" s="282" t="n"/>
      <c r="G844" s="282" t="n"/>
      <c r="H844" s="536" t="n"/>
      <c r="I844" s="535" t="n"/>
      <c r="J844" s="282" t="n"/>
      <c r="K844" s="282" t="n"/>
      <c r="L844" s="536" t="n"/>
      <c r="M844" s="535" t="n"/>
      <c r="N844" s="282" t="n"/>
      <c r="O844" s="282" t="n"/>
      <c r="P844" s="535" t="n"/>
      <c r="Q844" s="535" t="n"/>
      <c r="R844" s="282" t="n"/>
      <c r="S844" s="282" t="n"/>
      <c r="T844" s="535" t="n"/>
      <c r="U844" s="535" t="n"/>
      <c r="V844" s="282" t="n"/>
      <c r="W844" s="282" t="n"/>
      <c r="X844" s="536" t="n"/>
      <c r="Y844" s="536" t="n"/>
      <c r="Z844" s="282" t="n"/>
      <c r="AA844" s="282" t="n"/>
      <c r="AB844" s="536" t="n"/>
      <c r="AC844" s="536" t="n"/>
      <c r="AD844" s="282" t="n"/>
      <c r="AE844" s="282" t="n"/>
      <c r="AF844" s="537" t="n"/>
      <c r="AG844" s="537" t="n"/>
      <c r="AH844" s="282" t="n"/>
      <c r="AI844" s="282" t="n"/>
      <c r="AJ844" s="537" t="n"/>
      <c r="AK844" s="537" t="n"/>
      <c r="AL844" s="282" t="n"/>
      <c r="AM844" s="282" t="n"/>
      <c r="AN844" s="282" t="n"/>
      <c r="AO844" s="282" t="n"/>
      <c r="AP844" s="282" t="n"/>
      <c r="AQ844" s="282" t="n"/>
      <c r="AR844" s="535" t="n"/>
      <c r="AS844" s="535" t="n"/>
      <c r="AT844" s="282" t="n"/>
      <c r="AU844" s="282" t="n"/>
    </row>
    <row customHeight="1" ht="15.75" r="845" s="452" spans="1:48">
      <c r="A845" s="44" t="n"/>
      <c r="D845" s="535" t="n"/>
      <c r="E845" s="535" t="n"/>
      <c r="F845" s="282" t="n"/>
      <c r="G845" s="282" t="n"/>
      <c r="H845" s="536" t="n"/>
      <c r="I845" s="535" t="n"/>
      <c r="J845" s="282" t="n"/>
      <c r="K845" s="282" t="n"/>
      <c r="L845" s="536" t="n"/>
      <c r="M845" s="535" t="n"/>
      <c r="N845" s="282" t="n"/>
      <c r="O845" s="282" t="n"/>
      <c r="P845" s="535" t="n"/>
      <c r="Q845" s="535" t="n"/>
      <c r="R845" s="282" t="n"/>
      <c r="S845" s="282" t="n"/>
      <c r="T845" s="535" t="n"/>
      <c r="U845" s="535" t="n"/>
      <c r="V845" s="282" t="n"/>
      <c r="W845" s="282" t="n"/>
      <c r="X845" s="536" t="n"/>
      <c r="Y845" s="536" t="n"/>
      <c r="Z845" s="282" t="n"/>
      <c r="AA845" s="282" t="n"/>
      <c r="AB845" s="536" t="n"/>
      <c r="AC845" s="536" t="n"/>
      <c r="AD845" s="282" t="n"/>
      <c r="AE845" s="282" t="n"/>
      <c r="AF845" s="537" t="n"/>
      <c r="AG845" s="537" t="n"/>
      <c r="AH845" s="282" t="n"/>
      <c r="AI845" s="282" t="n"/>
      <c r="AJ845" s="537" t="n"/>
      <c r="AK845" s="537" t="n"/>
      <c r="AL845" s="282" t="n"/>
      <c r="AM845" s="282" t="n"/>
      <c r="AN845" s="282" t="n"/>
      <c r="AO845" s="282" t="n"/>
      <c r="AP845" s="282" t="n"/>
      <c r="AQ845" s="282" t="n"/>
      <c r="AR845" s="535" t="n"/>
      <c r="AS845" s="535" t="n"/>
      <c r="AT845" s="282" t="n"/>
      <c r="AU845" s="282" t="n"/>
    </row>
    <row customHeight="1" ht="15.75" r="846" s="452" spans="1:48">
      <c r="A846" s="44" t="n"/>
      <c r="D846" s="535" t="n"/>
      <c r="E846" s="535" t="n"/>
      <c r="F846" s="282" t="n"/>
      <c r="G846" s="282" t="n"/>
      <c r="H846" s="536" t="n"/>
      <c r="I846" s="535" t="n"/>
      <c r="J846" s="282" t="n"/>
      <c r="K846" s="282" t="n"/>
      <c r="L846" s="536" t="n"/>
      <c r="M846" s="535" t="n"/>
      <c r="N846" s="282" t="n"/>
      <c r="O846" s="282" t="n"/>
      <c r="P846" s="535" t="n"/>
      <c r="Q846" s="535" t="n"/>
      <c r="R846" s="282" t="n"/>
      <c r="S846" s="282" t="n"/>
      <c r="T846" s="535" t="n"/>
      <c r="U846" s="535" t="n"/>
      <c r="V846" s="282" t="n"/>
      <c r="W846" s="282" t="n"/>
      <c r="X846" s="536" t="n"/>
      <c r="Y846" s="536" t="n"/>
      <c r="Z846" s="282" t="n"/>
      <c r="AA846" s="282" t="n"/>
      <c r="AB846" s="536" t="n"/>
      <c r="AC846" s="536" t="n"/>
      <c r="AD846" s="282" t="n"/>
      <c r="AE846" s="282" t="n"/>
      <c r="AF846" s="537" t="n"/>
      <c r="AG846" s="537" t="n"/>
      <c r="AH846" s="282" t="n"/>
      <c r="AI846" s="282" t="n"/>
      <c r="AJ846" s="537" t="n"/>
      <c r="AK846" s="537" t="n"/>
      <c r="AL846" s="282" t="n"/>
      <c r="AM846" s="282" t="n"/>
      <c r="AN846" s="282" t="n"/>
      <c r="AO846" s="282" t="n"/>
      <c r="AP846" s="282" t="n"/>
      <c r="AQ846" s="282" t="n"/>
      <c r="AR846" s="535" t="n"/>
      <c r="AS846" s="535" t="n"/>
      <c r="AT846" s="282" t="n"/>
      <c r="AU846" s="282" t="n"/>
    </row>
    <row customHeight="1" ht="15.75" r="847" s="452" spans="1:48">
      <c r="A847" s="44" t="n"/>
      <c r="D847" s="535" t="n"/>
      <c r="E847" s="535" t="n"/>
      <c r="F847" s="282" t="n"/>
      <c r="G847" s="282" t="n"/>
      <c r="H847" s="536" t="n"/>
      <c r="I847" s="535" t="n"/>
      <c r="J847" s="282" t="n"/>
      <c r="K847" s="282" t="n"/>
      <c r="L847" s="536" t="n"/>
      <c r="M847" s="535" t="n"/>
      <c r="N847" s="282" t="n"/>
      <c r="O847" s="282" t="n"/>
      <c r="P847" s="535" t="n"/>
      <c r="Q847" s="535" t="n"/>
      <c r="R847" s="282" t="n"/>
      <c r="S847" s="282" t="n"/>
      <c r="T847" s="535" t="n"/>
      <c r="U847" s="535" t="n"/>
      <c r="V847" s="282" t="n"/>
      <c r="W847" s="282" t="n"/>
      <c r="X847" s="536" t="n"/>
      <c r="Y847" s="536" t="n"/>
      <c r="Z847" s="282" t="n"/>
      <c r="AA847" s="282" t="n"/>
      <c r="AB847" s="536" t="n"/>
      <c r="AC847" s="536" t="n"/>
      <c r="AD847" s="282" t="n"/>
      <c r="AE847" s="282" t="n"/>
      <c r="AF847" s="537" t="n"/>
      <c r="AG847" s="537" t="n"/>
      <c r="AH847" s="282" t="n"/>
      <c r="AI847" s="282" t="n"/>
      <c r="AJ847" s="537" t="n"/>
      <c r="AK847" s="537" t="n"/>
      <c r="AL847" s="282" t="n"/>
      <c r="AM847" s="282" t="n"/>
      <c r="AN847" s="282" t="n"/>
      <c r="AO847" s="282" t="n"/>
      <c r="AP847" s="282" t="n"/>
      <c r="AQ847" s="282" t="n"/>
      <c r="AR847" s="535" t="n"/>
      <c r="AS847" s="535" t="n"/>
      <c r="AT847" s="282" t="n"/>
      <c r="AU847" s="282" t="n"/>
    </row>
    <row customHeight="1" ht="15.75" r="848" s="452" spans="1:48">
      <c r="A848" s="44" t="n"/>
      <c r="D848" s="535" t="n"/>
      <c r="E848" s="535" t="n"/>
      <c r="F848" s="282" t="n"/>
      <c r="G848" s="282" t="n"/>
      <c r="H848" s="536" t="n"/>
      <c r="I848" s="535" t="n"/>
      <c r="J848" s="282" t="n"/>
      <c r="K848" s="282" t="n"/>
      <c r="L848" s="536" t="n"/>
      <c r="M848" s="535" t="n"/>
      <c r="N848" s="282" t="n"/>
      <c r="O848" s="282" t="n"/>
      <c r="P848" s="535" t="n"/>
      <c r="Q848" s="535" t="n"/>
      <c r="R848" s="282" t="n"/>
      <c r="S848" s="282" t="n"/>
      <c r="T848" s="535" t="n"/>
      <c r="U848" s="535" t="n"/>
      <c r="V848" s="282" t="n"/>
      <c r="W848" s="282" t="n"/>
      <c r="X848" s="536" t="n"/>
      <c r="Y848" s="536" t="n"/>
      <c r="Z848" s="282" t="n"/>
      <c r="AA848" s="282" t="n"/>
      <c r="AB848" s="536" t="n"/>
      <c r="AC848" s="536" t="n"/>
      <c r="AD848" s="282" t="n"/>
      <c r="AE848" s="282" t="n"/>
      <c r="AF848" s="537" t="n"/>
      <c r="AG848" s="537" t="n"/>
      <c r="AH848" s="282" t="n"/>
      <c r="AI848" s="282" t="n"/>
      <c r="AJ848" s="537" t="n"/>
      <c r="AK848" s="537" t="n"/>
      <c r="AL848" s="282" t="n"/>
      <c r="AM848" s="282" t="n"/>
      <c r="AN848" s="282" t="n"/>
      <c r="AO848" s="282" t="n"/>
      <c r="AP848" s="282" t="n"/>
      <c r="AQ848" s="282" t="n"/>
      <c r="AR848" s="535" t="n"/>
      <c r="AS848" s="535" t="n"/>
      <c r="AT848" s="282" t="n"/>
      <c r="AU848" s="282" t="n"/>
    </row>
    <row customHeight="1" ht="15.75" r="849" s="452" spans="1:48">
      <c r="A849" s="44" t="n"/>
      <c r="D849" s="535" t="n"/>
      <c r="E849" s="535" t="n"/>
      <c r="F849" s="282" t="n"/>
      <c r="G849" s="282" t="n"/>
      <c r="H849" s="536" t="n"/>
      <c r="I849" s="535" t="n"/>
      <c r="J849" s="282" t="n"/>
      <c r="K849" s="282" t="n"/>
      <c r="L849" s="536" t="n"/>
      <c r="M849" s="535" t="n"/>
      <c r="N849" s="282" t="n"/>
      <c r="O849" s="282" t="n"/>
      <c r="P849" s="535" t="n"/>
      <c r="Q849" s="535" t="n"/>
      <c r="R849" s="282" t="n"/>
      <c r="S849" s="282" t="n"/>
      <c r="T849" s="535" t="n"/>
      <c r="U849" s="535" t="n"/>
      <c r="V849" s="282" t="n"/>
      <c r="W849" s="282" t="n"/>
      <c r="X849" s="536" t="n"/>
      <c r="Y849" s="536" t="n"/>
      <c r="Z849" s="282" t="n"/>
      <c r="AA849" s="282" t="n"/>
      <c r="AB849" s="536" t="n"/>
      <c r="AC849" s="536" t="n"/>
      <c r="AD849" s="282" t="n"/>
      <c r="AE849" s="282" t="n"/>
      <c r="AF849" s="537" t="n"/>
      <c r="AG849" s="537" t="n"/>
      <c r="AH849" s="282" t="n"/>
      <c r="AI849" s="282" t="n"/>
      <c r="AJ849" s="537" t="n"/>
      <c r="AK849" s="537" t="n"/>
      <c r="AL849" s="282" t="n"/>
      <c r="AM849" s="282" t="n"/>
      <c r="AN849" s="282" t="n"/>
      <c r="AO849" s="282" t="n"/>
      <c r="AP849" s="282" t="n"/>
      <c r="AQ849" s="282" t="n"/>
      <c r="AR849" s="535" t="n"/>
      <c r="AS849" s="535" t="n"/>
      <c r="AT849" s="282" t="n"/>
      <c r="AU849" s="282" t="n"/>
    </row>
    <row customHeight="1" ht="15.75" r="850" s="452" spans="1:48">
      <c r="A850" s="44" t="n"/>
      <c r="D850" s="535" t="n"/>
      <c r="E850" s="535" t="n"/>
      <c r="F850" s="282" t="n"/>
      <c r="G850" s="282" t="n"/>
      <c r="H850" s="536" t="n"/>
      <c r="I850" s="535" t="n"/>
      <c r="J850" s="282" t="n"/>
      <c r="K850" s="282" t="n"/>
      <c r="L850" s="536" t="n"/>
      <c r="M850" s="535" t="n"/>
      <c r="N850" s="282" t="n"/>
      <c r="O850" s="282" t="n"/>
      <c r="P850" s="535" t="n"/>
      <c r="Q850" s="535" t="n"/>
      <c r="R850" s="282" t="n"/>
      <c r="S850" s="282" t="n"/>
      <c r="T850" s="535" t="n"/>
      <c r="U850" s="535" t="n"/>
      <c r="V850" s="282" t="n"/>
      <c r="W850" s="282" t="n"/>
      <c r="X850" s="536" t="n"/>
      <c r="Y850" s="536" t="n"/>
      <c r="Z850" s="282" t="n"/>
      <c r="AA850" s="282" t="n"/>
      <c r="AB850" s="536" t="n"/>
      <c r="AC850" s="536" t="n"/>
      <c r="AD850" s="282" t="n"/>
      <c r="AE850" s="282" t="n"/>
      <c r="AF850" s="537" t="n"/>
      <c r="AG850" s="537" t="n"/>
      <c r="AH850" s="282" t="n"/>
      <c r="AI850" s="282" t="n"/>
      <c r="AJ850" s="537" t="n"/>
      <c r="AK850" s="537" t="n"/>
      <c r="AL850" s="282" t="n"/>
      <c r="AM850" s="282" t="n"/>
      <c r="AN850" s="282" t="n"/>
      <c r="AO850" s="282" t="n"/>
      <c r="AP850" s="282" t="n"/>
      <c r="AQ850" s="282" t="n"/>
      <c r="AR850" s="535" t="n"/>
      <c r="AS850" s="535" t="n"/>
      <c r="AT850" s="282" t="n"/>
      <c r="AU850" s="282" t="n"/>
    </row>
    <row customHeight="1" ht="15.75" r="851" s="452" spans="1:48">
      <c r="A851" s="44" t="n"/>
      <c r="D851" s="535" t="n"/>
      <c r="E851" s="535" t="n"/>
      <c r="F851" s="282" t="n"/>
      <c r="G851" s="282" t="n"/>
      <c r="H851" s="536" t="n"/>
      <c r="I851" s="535" t="n"/>
      <c r="J851" s="282" t="n"/>
      <c r="K851" s="282" t="n"/>
      <c r="L851" s="536" t="n"/>
      <c r="M851" s="535" t="n"/>
      <c r="N851" s="282" t="n"/>
      <c r="O851" s="282" t="n"/>
      <c r="P851" s="535" t="n"/>
      <c r="Q851" s="535" t="n"/>
      <c r="R851" s="282" t="n"/>
      <c r="S851" s="282" t="n"/>
      <c r="T851" s="535" t="n"/>
      <c r="U851" s="535" t="n"/>
      <c r="V851" s="282" t="n"/>
      <c r="W851" s="282" t="n"/>
      <c r="X851" s="536" t="n"/>
      <c r="Y851" s="536" t="n"/>
      <c r="Z851" s="282" t="n"/>
      <c r="AA851" s="282" t="n"/>
      <c r="AB851" s="536" t="n"/>
      <c r="AC851" s="536" t="n"/>
      <c r="AD851" s="282" t="n"/>
      <c r="AE851" s="282" t="n"/>
      <c r="AF851" s="537" t="n"/>
      <c r="AG851" s="537" t="n"/>
      <c r="AH851" s="282" t="n"/>
      <c r="AI851" s="282" t="n"/>
      <c r="AJ851" s="537" t="n"/>
      <c r="AK851" s="537" t="n"/>
      <c r="AL851" s="282" t="n"/>
      <c r="AM851" s="282" t="n"/>
      <c r="AN851" s="282" t="n"/>
      <c r="AO851" s="282" t="n"/>
      <c r="AP851" s="282" t="n"/>
      <c r="AQ851" s="282" t="n"/>
      <c r="AR851" s="535" t="n"/>
      <c r="AS851" s="535" t="n"/>
      <c r="AT851" s="282" t="n"/>
      <c r="AU851" s="282" t="n"/>
    </row>
    <row customHeight="1" ht="15.75" r="852" s="452" spans="1:48">
      <c r="A852" s="44" t="n"/>
      <c r="D852" s="535" t="n"/>
      <c r="E852" s="535" t="n"/>
      <c r="F852" s="282" t="n"/>
      <c r="G852" s="282" t="n"/>
      <c r="H852" s="536" t="n"/>
      <c r="I852" s="535" t="n"/>
      <c r="J852" s="282" t="n"/>
      <c r="K852" s="282" t="n"/>
      <c r="L852" s="536" t="n"/>
      <c r="M852" s="535" t="n"/>
      <c r="N852" s="282" t="n"/>
      <c r="O852" s="282" t="n"/>
      <c r="P852" s="535" t="n"/>
      <c r="Q852" s="535" t="n"/>
      <c r="R852" s="282" t="n"/>
      <c r="S852" s="282" t="n"/>
      <c r="T852" s="535" t="n"/>
      <c r="U852" s="535" t="n"/>
      <c r="V852" s="282" t="n"/>
      <c r="W852" s="282" t="n"/>
      <c r="X852" s="536" t="n"/>
      <c r="Y852" s="536" t="n"/>
      <c r="Z852" s="282" t="n"/>
      <c r="AA852" s="282" t="n"/>
      <c r="AB852" s="536" t="n"/>
      <c r="AC852" s="536" t="n"/>
      <c r="AD852" s="282" t="n"/>
      <c r="AE852" s="282" t="n"/>
      <c r="AF852" s="537" t="n"/>
      <c r="AG852" s="537" t="n"/>
      <c r="AH852" s="282" t="n"/>
      <c r="AI852" s="282" t="n"/>
      <c r="AJ852" s="537" t="n"/>
      <c r="AK852" s="537" t="n"/>
      <c r="AL852" s="282" t="n"/>
      <c r="AM852" s="282" t="n"/>
      <c r="AN852" s="282" t="n"/>
      <c r="AO852" s="282" t="n"/>
      <c r="AP852" s="282" t="n"/>
      <c r="AQ852" s="282" t="n"/>
      <c r="AR852" s="535" t="n"/>
      <c r="AS852" s="535" t="n"/>
      <c r="AT852" s="282" t="n"/>
      <c r="AU852" s="282" t="n"/>
    </row>
    <row customHeight="1" ht="15.75" r="853" s="452" spans="1:48">
      <c r="A853" s="44" t="n"/>
      <c r="D853" s="535" t="n"/>
      <c r="E853" s="535" t="n"/>
      <c r="F853" s="282" t="n"/>
      <c r="G853" s="282" t="n"/>
      <c r="H853" s="536" t="n"/>
      <c r="I853" s="535" t="n"/>
      <c r="J853" s="282" t="n"/>
      <c r="K853" s="282" t="n"/>
      <c r="L853" s="536" t="n"/>
      <c r="M853" s="535" t="n"/>
      <c r="N853" s="282" t="n"/>
      <c r="O853" s="282" t="n"/>
      <c r="P853" s="535" t="n"/>
      <c r="Q853" s="535" t="n"/>
      <c r="R853" s="282" t="n"/>
      <c r="S853" s="282" t="n"/>
      <c r="T853" s="535" t="n"/>
      <c r="U853" s="535" t="n"/>
      <c r="V853" s="282" t="n"/>
      <c r="W853" s="282" t="n"/>
      <c r="X853" s="536" t="n"/>
      <c r="Y853" s="536" t="n"/>
      <c r="Z853" s="282" t="n"/>
      <c r="AA853" s="282" t="n"/>
      <c r="AB853" s="536" t="n"/>
      <c r="AC853" s="536" t="n"/>
      <c r="AD853" s="282" t="n"/>
      <c r="AE853" s="282" t="n"/>
      <c r="AF853" s="537" t="n"/>
      <c r="AG853" s="537" t="n"/>
      <c r="AH853" s="282" t="n"/>
      <c r="AI853" s="282" t="n"/>
      <c r="AJ853" s="537" t="n"/>
      <c r="AK853" s="537" t="n"/>
      <c r="AL853" s="282" t="n"/>
      <c r="AM853" s="282" t="n"/>
      <c r="AN853" s="282" t="n"/>
      <c r="AO853" s="282" t="n"/>
      <c r="AP853" s="282" t="n"/>
      <c r="AQ853" s="282" t="n"/>
      <c r="AR853" s="535" t="n"/>
      <c r="AS853" s="535" t="n"/>
      <c r="AT853" s="282" t="n"/>
      <c r="AU853" s="282" t="n"/>
    </row>
    <row customHeight="1" ht="15.75" r="854" s="452" spans="1:48">
      <c r="A854" s="44" t="n"/>
      <c r="D854" s="535" t="n"/>
      <c r="E854" s="535" t="n"/>
      <c r="F854" s="282" t="n"/>
      <c r="G854" s="282" t="n"/>
      <c r="H854" s="536" t="n"/>
      <c r="I854" s="535" t="n"/>
      <c r="J854" s="282" t="n"/>
      <c r="K854" s="282" t="n"/>
      <c r="L854" s="536" t="n"/>
      <c r="M854" s="535" t="n"/>
      <c r="N854" s="282" t="n"/>
      <c r="O854" s="282" t="n"/>
      <c r="P854" s="535" t="n"/>
      <c r="Q854" s="535" t="n"/>
      <c r="R854" s="282" t="n"/>
      <c r="S854" s="282" t="n"/>
      <c r="T854" s="535" t="n"/>
      <c r="U854" s="535" t="n"/>
      <c r="V854" s="282" t="n"/>
      <c r="W854" s="282" t="n"/>
      <c r="X854" s="536" t="n"/>
      <c r="Y854" s="536" t="n"/>
      <c r="Z854" s="282" t="n"/>
      <c r="AA854" s="282" t="n"/>
      <c r="AB854" s="536" t="n"/>
      <c r="AC854" s="536" t="n"/>
      <c r="AD854" s="282" t="n"/>
      <c r="AE854" s="282" t="n"/>
      <c r="AF854" s="537" t="n"/>
      <c r="AG854" s="537" t="n"/>
      <c r="AH854" s="282" t="n"/>
      <c r="AI854" s="282" t="n"/>
      <c r="AJ854" s="537" t="n"/>
      <c r="AK854" s="537" t="n"/>
      <c r="AL854" s="282" t="n"/>
      <c r="AM854" s="282" t="n"/>
      <c r="AN854" s="282" t="n"/>
      <c r="AO854" s="282" t="n"/>
      <c r="AP854" s="282" t="n"/>
      <c r="AQ854" s="282" t="n"/>
      <c r="AR854" s="535" t="n"/>
      <c r="AS854" s="535" t="n"/>
      <c r="AT854" s="282" t="n"/>
      <c r="AU854" s="282" t="n"/>
    </row>
    <row customHeight="1" ht="15.75" r="855" s="452" spans="1:48">
      <c r="A855" s="44" t="n"/>
      <c r="D855" s="535" t="n"/>
      <c r="E855" s="535" t="n"/>
      <c r="F855" s="282" t="n"/>
      <c r="G855" s="282" t="n"/>
      <c r="H855" s="536" t="n"/>
      <c r="I855" s="535" t="n"/>
      <c r="J855" s="282" t="n"/>
      <c r="K855" s="282" t="n"/>
      <c r="L855" s="536" t="n"/>
      <c r="M855" s="535" t="n"/>
      <c r="N855" s="282" t="n"/>
      <c r="O855" s="282" t="n"/>
      <c r="P855" s="535" t="n"/>
      <c r="Q855" s="535" t="n"/>
      <c r="R855" s="282" t="n"/>
      <c r="S855" s="282" t="n"/>
      <c r="T855" s="535" t="n"/>
      <c r="U855" s="535" t="n"/>
      <c r="V855" s="282" t="n"/>
      <c r="W855" s="282" t="n"/>
      <c r="X855" s="536" t="n"/>
      <c r="Y855" s="536" t="n"/>
      <c r="Z855" s="282" t="n"/>
      <c r="AA855" s="282" t="n"/>
      <c r="AB855" s="536" t="n"/>
      <c r="AC855" s="536" t="n"/>
      <c r="AD855" s="282" t="n"/>
      <c r="AE855" s="282" t="n"/>
      <c r="AF855" s="537" t="n"/>
      <c r="AG855" s="537" t="n"/>
      <c r="AH855" s="282" t="n"/>
      <c r="AI855" s="282" t="n"/>
      <c r="AJ855" s="537" t="n"/>
      <c r="AK855" s="537" t="n"/>
      <c r="AL855" s="282" t="n"/>
      <c r="AM855" s="282" t="n"/>
      <c r="AN855" s="282" t="n"/>
      <c r="AO855" s="282" t="n"/>
      <c r="AP855" s="282" t="n"/>
      <c r="AQ855" s="282" t="n"/>
      <c r="AR855" s="535" t="n"/>
      <c r="AS855" s="535" t="n"/>
      <c r="AT855" s="282" t="n"/>
      <c r="AU855" s="282" t="n"/>
    </row>
    <row customHeight="1" ht="15.75" r="856" s="452" spans="1:48">
      <c r="A856" s="44" t="n"/>
      <c r="D856" s="535" t="n"/>
      <c r="E856" s="535" t="n"/>
      <c r="F856" s="282" t="n"/>
      <c r="G856" s="282" t="n"/>
      <c r="H856" s="536" t="n"/>
      <c r="I856" s="535" t="n"/>
      <c r="J856" s="282" t="n"/>
      <c r="K856" s="282" t="n"/>
      <c r="L856" s="536" t="n"/>
      <c r="M856" s="535" t="n"/>
      <c r="N856" s="282" t="n"/>
      <c r="O856" s="282" t="n"/>
      <c r="P856" s="535" t="n"/>
      <c r="Q856" s="535" t="n"/>
      <c r="R856" s="282" t="n"/>
      <c r="S856" s="282" t="n"/>
      <c r="T856" s="535" t="n"/>
      <c r="U856" s="535" t="n"/>
      <c r="V856" s="282" t="n"/>
      <c r="W856" s="282" t="n"/>
      <c r="X856" s="536" t="n"/>
      <c r="Y856" s="536" t="n"/>
      <c r="Z856" s="282" t="n"/>
      <c r="AA856" s="282" t="n"/>
      <c r="AB856" s="536" t="n"/>
      <c r="AC856" s="536" t="n"/>
      <c r="AD856" s="282" t="n"/>
      <c r="AE856" s="282" t="n"/>
      <c r="AF856" s="537" t="n"/>
      <c r="AG856" s="537" t="n"/>
      <c r="AH856" s="282" t="n"/>
      <c r="AI856" s="282" t="n"/>
      <c r="AJ856" s="537" t="n"/>
      <c r="AK856" s="537" t="n"/>
      <c r="AL856" s="282" t="n"/>
      <c r="AM856" s="282" t="n"/>
      <c r="AN856" s="282" t="n"/>
      <c r="AO856" s="282" t="n"/>
      <c r="AP856" s="282" t="n"/>
      <c r="AQ856" s="282" t="n"/>
      <c r="AR856" s="535" t="n"/>
      <c r="AS856" s="535" t="n"/>
      <c r="AT856" s="282" t="n"/>
      <c r="AU856" s="282" t="n"/>
    </row>
    <row customHeight="1" ht="15.75" r="857" s="452" spans="1:48">
      <c r="A857" s="44" t="n"/>
      <c r="D857" s="535" t="n"/>
      <c r="E857" s="535" t="n"/>
      <c r="F857" s="282" t="n"/>
      <c r="G857" s="282" t="n"/>
      <c r="H857" s="536" t="n"/>
      <c r="I857" s="535" t="n"/>
      <c r="J857" s="282" t="n"/>
      <c r="K857" s="282" t="n"/>
      <c r="L857" s="536" t="n"/>
      <c r="M857" s="535" t="n"/>
      <c r="N857" s="282" t="n"/>
      <c r="O857" s="282" t="n"/>
      <c r="P857" s="535" t="n"/>
      <c r="Q857" s="535" t="n"/>
      <c r="R857" s="282" t="n"/>
      <c r="S857" s="282" t="n"/>
      <c r="T857" s="535" t="n"/>
      <c r="U857" s="535" t="n"/>
      <c r="V857" s="282" t="n"/>
      <c r="W857" s="282" t="n"/>
      <c r="X857" s="536" t="n"/>
      <c r="Y857" s="536" t="n"/>
      <c r="Z857" s="282" t="n"/>
      <c r="AA857" s="282" t="n"/>
      <c r="AB857" s="536" t="n"/>
      <c r="AC857" s="536" t="n"/>
      <c r="AD857" s="282" t="n"/>
      <c r="AE857" s="282" t="n"/>
      <c r="AF857" s="537" t="n"/>
      <c r="AG857" s="537" t="n"/>
      <c r="AH857" s="282" t="n"/>
      <c r="AI857" s="282" t="n"/>
      <c r="AJ857" s="537" t="n"/>
      <c r="AK857" s="537" t="n"/>
      <c r="AL857" s="282" t="n"/>
      <c r="AM857" s="282" t="n"/>
      <c r="AN857" s="282" t="n"/>
      <c r="AO857" s="282" t="n"/>
      <c r="AP857" s="282" t="n"/>
      <c r="AQ857" s="282" t="n"/>
      <c r="AR857" s="535" t="n"/>
      <c r="AS857" s="535" t="n"/>
      <c r="AT857" s="282" t="n"/>
      <c r="AU857" s="282" t="n"/>
    </row>
    <row customHeight="1" ht="15.75" r="858" s="452" spans="1:48">
      <c r="A858" s="44" t="n"/>
      <c r="D858" s="535" t="n"/>
      <c r="E858" s="535" t="n"/>
      <c r="F858" s="282" t="n"/>
      <c r="G858" s="282" t="n"/>
      <c r="H858" s="536" t="n"/>
      <c r="I858" s="535" t="n"/>
      <c r="J858" s="282" t="n"/>
      <c r="K858" s="282" t="n"/>
      <c r="L858" s="536" t="n"/>
      <c r="M858" s="535" t="n"/>
      <c r="N858" s="282" t="n"/>
      <c r="O858" s="282" t="n"/>
      <c r="P858" s="535" t="n"/>
      <c r="Q858" s="535" t="n"/>
      <c r="R858" s="282" t="n"/>
      <c r="S858" s="282" t="n"/>
      <c r="T858" s="535" t="n"/>
      <c r="U858" s="535" t="n"/>
      <c r="V858" s="282" t="n"/>
      <c r="W858" s="282" t="n"/>
      <c r="X858" s="536" t="n"/>
      <c r="Y858" s="536" t="n"/>
      <c r="Z858" s="282" t="n"/>
      <c r="AA858" s="282" t="n"/>
      <c r="AB858" s="536" t="n"/>
      <c r="AC858" s="536" t="n"/>
      <c r="AD858" s="282" t="n"/>
      <c r="AE858" s="282" t="n"/>
      <c r="AF858" s="537" t="n"/>
      <c r="AG858" s="537" t="n"/>
      <c r="AH858" s="282" t="n"/>
      <c r="AI858" s="282" t="n"/>
      <c r="AJ858" s="537" t="n"/>
      <c r="AK858" s="537" t="n"/>
      <c r="AL858" s="282" t="n"/>
      <c r="AM858" s="282" t="n"/>
      <c r="AN858" s="282" t="n"/>
      <c r="AO858" s="282" t="n"/>
      <c r="AP858" s="282" t="n"/>
      <c r="AQ858" s="282" t="n"/>
      <c r="AR858" s="535" t="n"/>
      <c r="AS858" s="535" t="n"/>
      <c r="AT858" s="282" t="n"/>
      <c r="AU858" s="282" t="n"/>
    </row>
    <row customHeight="1" ht="15.75" r="859" s="452" spans="1:48">
      <c r="A859" s="44" t="n"/>
      <c r="D859" s="535" t="n"/>
      <c r="E859" s="535" t="n"/>
      <c r="F859" s="282" t="n"/>
      <c r="G859" s="282" t="n"/>
      <c r="H859" s="536" t="n"/>
      <c r="I859" s="535" t="n"/>
      <c r="J859" s="282" t="n"/>
      <c r="K859" s="282" t="n"/>
      <c r="L859" s="536" t="n"/>
      <c r="M859" s="535" t="n"/>
      <c r="N859" s="282" t="n"/>
      <c r="O859" s="282" t="n"/>
      <c r="P859" s="535" t="n"/>
      <c r="Q859" s="535" t="n"/>
      <c r="R859" s="282" t="n"/>
      <c r="S859" s="282" t="n"/>
      <c r="T859" s="535" t="n"/>
      <c r="U859" s="535" t="n"/>
      <c r="V859" s="282" t="n"/>
      <c r="W859" s="282" t="n"/>
      <c r="X859" s="536" t="n"/>
      <c r="Y859" s="536" t="n"/>
      <c r="Z859" s="282" t="n"/>
      <c r="AA859" s="282" t="n"/>
      <c r="AB859" s="536" t="n"/>
      <c r="AC859" s="536" t="n"/>
      <c r="AD859" s="282" t="n"/>
      <c r="AE859" s="282" t="n"/>
      <c r="AF859" s="537" t="n"/>
      <c r="AG859" s="537" t="n"/>
      <c r="AH859" s="282" t="n"/>
      <c r="AI859" s="282" t="n"/>
      <c r="AJ859" s="537" t="n"/>
      <c r="AK859" s="537" t="n"/>
      <c r="AL859" s="282" t="n"/>
      <c r="AM859" s="282" t="n"/>
      <c r="AN859" s="282" t="n"/>
      <c r="AO859" s="282" t="n"/>
      <c r="AP859" s="282" t="n"/>
      <c r="AQ859" s="282" t="n"/>
      <c r="AR859" s="535" t="n"/>
      <c r="AS859" s="535" t="n"/>
      <c r="AT859" s="282" t="n"/>
      <c r="AU859" s="282" t="n"/>
    </row>
    <row customHeight="1" ht="15.75" r="860" s="452" spans="1:48">
      <c r="A860" s="44" t="n"/>
      <c r="D860" s="535" t="n"/>
      <c r="E860" s="535" t="n"/>
      <c r="F860" s="282" t="n"/>
      <c r="G860" s="282" t="n"/>
      <c r="H860" s="536" t="n"/>
      <c r="I860" s="535" t="n"/>
      <c r="J860" s="282" t="n"/>
      <c r="K860" s="282" t="n"/>
      <c r="L860" s="536" t="n"/>
      <c r="M860" s="535" t="n"/>
      <c r="N860" s="282" t="n"/>
      <c r="O860" s="282" t="n"/>
      <c r="P860" s="535" t="n"/>
      <c r="Q860" s="535" t="n"/>
      <c r="R860" s="282" t="n"/>
      <c r="S860" s="282" t="n"/>
      <c r="T860" s="535" t="n"/>
      <c r="U860" s="535" t="n"/>
      <c r="V860" s="282" t="n"/>
      <c r="W860" s="282" t="n"/>
      <c r="X860" s="536" t="n"/>
      <c r="Y860" s="536" t="n"/>
      <c r="Z860" s="282" t="n"/>
      <c r="AA860" s="282" t="n"/>
      <c r="AB860" s="536" t="n"/>
      <c r="AC860" s="536" t="n"/>
      <c r="AD860" s="282" t="n"/>
      <c r="AE860" s="282" t="n"/>
      <c r="AF860" s="537" t="n"/>
      <c r="AG860" s="537" t="n"/>
      <c r="AH860" s="282" t="n"/>
      <c r="AI860" s="282" t="n"/>
      <c r="AJ860" s="537" t="n"/>
      <c r="AK860" s="537" t="n"/>
      <c r="AL860" s="282" t="n"/>
      <c r="AM860" s="282" t="n"/>
      <c r="AN860" s="282" t="n"/>
      <c r="AO860" s="282" t="n"/>
      <c r="AP860" s="282" t="n"/>
      <c r="AQ860" s="282" t="n"/>
      <c r="AR860" s="535" t="n"/>
      <c r="AS860" s="535" t="n"/>
      <c r="AT860" s="282" t="n"/>
      <c r="AU860" s="282" t="n"/>
    </row>
    <row customHeight="1" ht="15.75" r="861" s="452" spans="1:48">
      <c r="A861" s="44" t="n"/>
      <c r="D861" s="535" t="n"/>
      <c r="E861" s="535" t="n"/>
      <c r="F861" s="282" t="n"/>
      <c r="G861" s="282" t="n"/>
      <c r="H861" s="536" t="n"/>
      <c r="I861" s="535" t="n"/>
      <c r="J861" s="282" t="n"/>
      <c r="K861" s="282" t="n"/>
      <c r="L861" s="536" t="n"/>
      <c r="M861" s="535" t="n"/>
      <c r="N861" s="282" t="n"/>
      <c r="O861" s="282" t="n"/>
      <c r="P861" s="535" t="n"/>
      <c r="Q861" s="535" t="n"/>
      <c r="R861" s="282" t="n"/>
      <c r="S861" s="282" t="n"/>
      <c r="T861" s="535" t="n"/>
      <c r="U861" s="535" t="n"/>
      <c r="V861" s="282" t="n"/>
      <c r="W861" s="282" t="n"/>
      <c r="X861" s="536" t="n"/>
      <c r="Y861" s="536" t="n"/>
      <c r="Z861" s="282" t="n"/>
      <c r="AA861" s="282" t="n"/>
      <c r="AB861" s="536" t="n"/>
      <c r="AC861" s="536" t="n"/>
      <c r="AD861" s="282" t="n"/>
      <c r="AE861" s="282" t="n"/>
      <c r="AF861" s="537" t="n"/>
      <c r="AG861" s="537" t="n"/>
      <c r="AH861" s="282" t="n"/>
      <c r="AI861" s="282" t="n"/>
      <c r="AJ861" s="537" t="n"/>
      <c r="AK861" s="537" t="n"/>
      <c r="AL861" s="282" t="n"/>
      <c r="AM861" s="282" t="n"/>
      <c r="AN861" s="282" t="n"/>
      <c r="AO861" s="282" t="n"/>
      <c r="AP861" s="282" t="n"/>
      <c r="AQ861" s="282" t="n"/>
      <c r="AR861" s="535" t="n"/>
      <c r="AS861" s="535" t="n"/>
      <c r="AT861" s="282" t="n"/>
      <c r="AU861" s="282" t="n"/>
    </row>
    <row customHeight="1" ht="15.75" r="862" s="452" spans="1:48">
      <c r="A862" s="44" t="n"/>
      <c r="D862" s="535" t="n"/>
      <c r="E862" s="535" t="n"/>
      <c r="F862" s="282" t="n"/>
      <c r="G862" s="282" t="n"/>
      <c r="H862" s="536" t="n"/>
      <c r="I862" s="535" t="n"/>
      <c r="J862" s="282" t="n"/>
      <c r="K862" s="282" t="n"/>
      <c r="L862" s="536" t="n"/>
      <c r="M862" s="535" t="n"/>
      <c r="N862" s="282" t="n"/>
      <c r="O862" s="282" t="n"/>
      <c r="P862" s="535" t="n"/>
      <c r="Q862" s="535" t="n"/>
      <c r="R862" s="282" t="n"/>
      <c r="S862" s="282" t="n"/>
      <c r="T862" s="535" t="n"/>
      <c r="U862" s="535" t="n"/>
      <c r="V862" s="282" t="n"/>
      <c r="W862" s="282" t="n"/>
      <c r="X862" s="536" t="n"/>
      <c r="Y862" s="536" t="n"/>
      <c r="Z862" s="282" t="n"/>
      <c r="AA862" s="282" t="n"/>
      <c r="AB862" s="536" t="n"/>
      <c r="AC862" s="536" t="n"/>
      <c r="AD862" s="282" t="n"/>
      <c r="AE862" s="282" t="n"/>
      <c r="AF862" s="537" t="n"/>
      <c r="AG862" s="537" t="n"/>
      <c r="AH862" s="282" t="n"/>
      <c r="AI862" s="282" t="n"/>
      <c r="AJ862" s="537" t="n"/>
      <c r="AK862" s="537" t="n"/>
      <c r="AL862" s="282" t="n"/>
      <c r="AM862" s="282" t="n"/>
      <c r="AN862" s="282" t="n"/>
      <c r="AO862" s="282" t="n"/>
      <c r="AP862" s="282" t="n"/>
      <c r="AQ862" s="282" t="n"/>
      <c r="AR862" s="535" t="n"/>
      <c r="AS862" s="535" t="n"/>
      <c r="AT862" s="282" t="n"/>
      <c r="AU862" s="282" t="n"/>
    </row>
    <row customHeight="1" ht="15.75" r="863" s="452" spans="1:48">
      <c r="A863" s="44" t="n"/>
      <c r="D863" s="535" t="n"/>
      <c r="E863" s="535" t="n"/>
      <c r="F863" s="282" t="n"/>
      <c r="G863" s="282" t="n"/>
      <c r="H863" s="536" t="n"/>
      <c r="I863" s="535" t="n"/>
      <c r="J863" s="282" t="n"/>
      <c r="K863" s="282" t="n"/>
      <c r="L863" s="536" t="n"/>
      <c r="M863" s="535" t="n"/>
      <c r="N863" s="282" t="n"/>
      <c r="O863" s="282" t="n"/>
      <c r="P863" s="535" t="n"/>
      <c r="Q863" s="535" t="n"/>
      <c r="R863" s="282" t="n"/>
      <c r="S863" s="282" t="n"/>
      <c r="T863" s="535" t="n"/>
      <c r="U863" s="535" t="n"/>
      <c r="V863" s="282" t="n"/>
      <c r="W863" s="282" t="n"/>
      <c r="X863" s="536" t="n"/>
      <c r="Y863" s="536" t="n"/>
      <c r="Z863" s="282" t="n"/>
      <c r="AA863" s="282" t="n"/>
      <c r="AB863" s="536" t="n"/>
      <c r="AC863" s="536" t="n"/>
      <c r="AD863" s="282" t="n"/>
      <c r="AE863" s="282" t="n"/>
      <c r="AF863" s="537" t="n"/>
      <c r="AG863" s="537" t="n"/>
      <c r="AH863" s="282" t="n"/>
      <c r="AI863" s="282" t="n"/>
      <c r="AJ863" s="537" t="n"/>
      <c r="AK863" s="537" t="n"/>
      <c r="AL863" s="282" t="n"/>
      <c r="AM863" s="282" t="n"/>
      <c r="AN863" s="282" t="n"/>
      <c r="AO863" s="282" t="n"/>
      <c r="AP863" s="282" t="n"/>
      <c r="AQ863" s="282" t="n"/>
      <c r="AR863" s="535" t="n"/>
      <c r="AS863" s="535" t="n"/>
      <c r="AT863" s="282" t="n"/>
      <c r="AU863" s="282" t="n"/>
    </row>
    <row customHeight="1" ht="15.75" r="864" s="452" spans="1:48">
      <c r="A864" s="44" t="n"/>
      <c r="D864" s="535" t="n"/>
      <c r="E864" s="535" t="n"/>
      <c r="F864" s="282" t="n"/>
      <c r="G864" s="282" t="n"/>
      <c r="H864" s="536" t="n"/>
      <c r="I864" s="535" t="n"/>
      <c r="J864" s="282" t="n"/>
      <c r="K864" s="282" t="n"/>
      <c r="L864" s="536" t="n"/>
      <c r="M864" s="535" t="n"/>
      <c r="N864" s="282" t="n"/>
      <c r="O864" s="282" t="n"/>
      <c r="P864" s="535" t="n"/>
      <c r="Q864" s="535" t="n"/>
      <c r="R864" s="282" t="n"/>
      <c r="S864" s="282" t="n"/>
      <c r="T864" s="535" t="n"/>
      <c r="U864" s="535" t="n"/>
      <c r="V864" s="282" t="n"/>
      <c r="W864" s="282" t="n"/>
      <c r="X864" s="536" t="n"/>
      <c r="Y864" s="536" t="n"/>
      <c r="Z864" s="282" t="n"/>
      <c r="AA864" s="282" t="n"/>
      <c r="AB864" s="536" t="n"/>
      <c r="AC864" s="536" t="n"/>
      <c r="AD864" s="282" t="n"/>
      <c r="AE864" s="282" t="n"/>
      <c r="AF864" s="537" t="n"/>
      <c r="AG864" s="537" t="n"/>
      <c r="AH864" s="282" t="n"/>
      <c r="AI864" s="282" t="n"/>
      <c r="AJ864" s="537" t="n"/>
      <c r="AK864" s="537" t="n"/>
      <c r="AL864" s="282" t="n"/>
      <c r="AM864" s="282" t="n"/>
      <c r="AN864" s="282" t="n"/>
      <c r="AO864" s="282" t="n"/>
      <c r="AP864" s="282" t="n"/>
      <c r="AQ864" s="282" t="n"/>
      <c r="AR864" s="535" t="n"/>
      <c r="AS864" s="535" t="n"/>
      <c r="AT864" s="282" t="n"/>
      <c r="AU864" s="282" t="n"/>
    </row>
    <row customHeight="1" ht="15.75" r="865" s="452" spans="1:48">
      <c r="A865" s="44" t="n"/>
      <c r="D865" s="535" t="n"/>
      <c r="E865" s="535" t="n"/>
      <c r="F865" s="282" t="n"/>
      <c r="G865" s="282" t="n"/>
      <c r="H865" s="536" t="n"/>
      <c r="I865" s="535" t="n"/>
      <c r="J865" s="282" t="n"/>
      <c r="K865" s="282" t="n"/>
      <c r="L865" s="536" t="n"/>
      <c r="M865" s="535" t="n"/>
      <c r="N865" s="282" t="n"/>
      <c r="O865" s="282" t="n"/>
      <c r="P865" s="535" t="n"/>
      <c r="Q865" s="535" t="n"/>
      <c r="R865" s="282" t="n"/>
      <c r="S865" s="282" t="n"/>
      <c r="T865" s="535" t="n"/>
      <c r="U865" s="535" t="n"/>
      <c r="V865" s="282" t="n"/>
      <c r="W865" s="282" t="n"/>
      <c r="X865" s="536" t="n"/>
      <c r="Y865" s="536" t="n"/>
      <c r="Z865" s="282" t="n"/>
      <c r="AA865" s="282" t="n"/>
      <c r="AB865" s="536" t="n"/>
      <c r="AC865" s="536" t="n"/>
      <c r="AD865" s="282" t="n"/>
      <c r="AE865" s="282" t="n"/>
      <c r="AF865" s="537" t="n"/>
      <c r="AG865" s="537" t="n"/>
      <c r="AH865" s="282" t="n"/>
      <c r="AI865" s="282" t="n"/>
      <c r="AJ865" s="537" t="n"/>
      <c r="AK865" s="537" t="n"/>
      <c r="AL865" s="282" t="n"/>
      <c r="AM865" s="282" t="n"/>
      <c r="AN865" s="282" t="n"/>
      <c r="AO865" s="282" t="n"/>
      <c r="AP865" s="282" t="n"/>
      <c r="AQ865" s="282" t="n"/>
      <c r="AR865" s="535" t="n"/>
      <c r="AS865" s="535" t="n"/>
      <c r="AT865" s="282" t="n"/>
      <c r="AU865" s="282" t="n"/>
    </row>
    <row customHeight="1" ht="15.75" r="866" s="452" spans="1:48">
      <c r="A866" s="44" t="n"/>
      <c r="D866" s="535" t="n"/>
      <c r="E866" s="535" t="n"/>
      <c r="F866" s="282" t="n"/>
      <c r="G866" s="282" t="n"/>
      <c r="H866" s="536" t="n"/>
      <c r="I866" s="535" t="n"/>
      <c r="J866" s="282" t="n"/>
      <c r="K866" s="282" t="n"/>
      <c r="L866" s="536" t="n"/>
      <c r="M866" s="535" t="n"/>
      <c r="N866" s="282" t="n"/>
      <c r="O866" s="282" t="n"/>
      <c r="P866" s="535" t="n"/>
      <c r="Q866" s="535" t="n"/>
      <c r="R866" s="282" t="n"/>
      <c r="S866" s="282" t="n"/>
      <c r="T866" s="535" t="n"/>
      <c r="U866" s="535" t="n"/>
      <c r="V866" s="282" t="n"/>
      <c r="W866" s="282" t="n"/>
      <c r="X866" s="536" t="n"/>
      <c r="Y866" s="536" t="n"/>
      <c r="Z866" s="282" t="n"/>
      <c r="AA866" s="282" t="n"/>
      <c r="AB866" s="536" t="n"/>
      <c r="AC866" s="536" t="n"/>
      <c r="AD866" s="282" t="n"/>
      <c r="AE866" s="282" t="n"/>
      <c r="AF866" s="537" t="n"/>
      <c r="AG866" s="537" t="n"/>
      <c r="AH866" s="282" t="n"/>
      <c r="AI866" s="282" t="n"/>
      <c r="AJ866" s="537" t="n"/>
      <c r="AK866" s="537" t="n"/>
      <c r="AL866" s="282" t="n"/>
      <c r="AM866" s="282" t="n"/>
      <c r="AN866" s="282" t="n"/>
      <c r="AO866" s="282" t="n"/>
      <c r="AP866" s="282" t="n"/>
      <c r="AQ866" s="282" t="n"/>
      <c r="AR866" s="535" t="n"/>
      <c r="AS866" s="535" t="n"/>
      <c r="AT866" s="282" t="n"/>
      <c r="AU866" s="282" t="n"/>
    </row>
    <row customHeight="1" ht="15.75" r="867" s="452" spans="1:48">
      <c r="A867" s="44" t="n"/>
      <c r="D867" s="535" t="n"/>
      <c r="E867" s="535" t="n"/>
      <c r="F867" s="282" t="n"/>
      <c r="G867" s="282" t="n"/>
      <c r="H867" s="536" t="n"/>
      <c r="I867" s="535" t="n"/>
      <c r="J867" s="282" t="n"/>
      <c r="K867" s="282" t="n"/>
      <c r="L867" s="536" t="n"/>
      <c r="M867" s="535" t="n"/>
      <c r="N867" s="282" t="n"/>
      <c r="O867" s="282" t="n"/>
      <c r="P867" s="535" t="n"/>
      <c r="Q867" s="535" t="n"/>
      <c r="R867" s="282" t="n"/>
      <c r="S867" s="282" t="n"/>
      <c r="T867" s="535" t="n"/>
      <c r="U867" s="535" t="n"/>
      <c r="V867" s="282" t="n"/>
      <c r="W867" s="282" t="n"/>
      <c r="X867" s="536" t="n"/>
      <c r="Y867" s="536" t="n"/>
      <c r="Z867" s="282" t="n"/>
      <c r="AA867" s="282" t="n"/>
      <c r="AB867" s="536" t="n"/>
      <c r="AC867" s="536" t="n"/>
      <c r="AD867" s="282" t="n"/>
      <c r="AE867" s="282" t="n"/>
      <c r="AF867" s="537" t="n"/>
      <c r="AG867" s="537" t="n"/>
      <c r="AH867" s="282" t="n"/>
      <c r="AI867" s="282" t="n"/>
      <c r="AJ867" s="537" t="n"/>
      <c r="AK867" s="537" t="n"/>
      <c r="AL867" s="282" t="n"/>
      <c r="AM867" s="282" t="n"/>
      <c r="AN867" s="282" t="n"/>
      <c r="AO867" s="282" t="n"/>
      <c r="AP867" s="282" t="n"/>
      <c r="AQ867" s="282" t="n"/>
      <c r="AR867" s="535" t="n"/>
      <c r="AS867" s="535" t="n"/>
      <c r="AT867" s="282" t="n"/>
      <c r="AU867" s="282" t="n"/>
    </row>
    <row customHeight="1" ht="15.75" r="868" s="452" spans="1:48">
      <c r="A868" s="44" t="n"/>
      <c r="D868" s="535" t="n"/>
      <c r="E868" s="535" t="n"/>
      <c r="F868" s="282" t="n"/>
      <c r="G868" s="282" t="n"/>
      <c r="H868" s="536" t="n"/>
      <c r="I868" s="535" t="n"/>
      <c r="J868" s="282" t="n"/>
      <c r="K868" s="282" t="n"/>
      <c r="L868" s="536" t="n"/>
      <c r="M868" s="535" t="n"/>
      <c r="N868" s="282" t="n"/>
      <c r="O868" s="282" t="n"/>
      <c r="P868" s="535" t="n"/>
      <c r="Q868" s="535" t="n"/>
      <c r="R868" s="282" t="n"/>
      <c r="S868" s="282" t="n"/>
      <c r="T868" s="535" t="n"/>
      <c r="U868" s="535" t="n"/>
      <c r="V868" s="282" t="n"/>
      <c r="W868" s="282" t="n"/>
      <c r="X868" s="536" t="n"/>
      <c r="Y868" s="536" t="n"/>
      <c r="Z868" s="282" t="n"/>
      <c r="AA868" s="282" t="n"/>
      <c r="AB868" s="536" t="n"/>
      <c r="AC868" s="536" t="n"/>
      <c r="AD868" s="282" t="n"/>
      <c r="AE868" s="282" t="n"/>
      <c r="AF868" s="537" t="n"/>
      <c r="AG868" s="537" t="n"/>
      <c r="AH868" s="282" t="n"/>
      <c r="AI868" s="282" t="n"/>
      <c r="AJ868" s="537" t="n"/>
      <c r="AK868" s="537" t="n"/>
      <c r="AL868" s="282" t="n"/>
      <c r="AM868" s="282" t="n"/>
      <c r="AN868" s="282" t="n"/>
      <c r="AO868" s="282" t="n"/>
      <c r="AP868" s="282" t="n"/>
      <c r="AQ868" s="282" t="n"/>
      <c r="AR868" s="535" t="n"/>
      <c r="AS868" s="535" t="n"/>
      <c r="AT868" s="282" t="n"/>
      <c r="AU868" s="282" t="n"/>
    </row>
    <row customHeight="1" ht="15.75" r="869" s="452" spans="1:48">
      <c r="A869" s="44" t="n"/>
      <c r="D869" s="535" t="n"/>
      <c r="E869" s="535" t="n"/>
      <c r="F869" s="282" t="n"/>
      <c r="G869" s="282" t="n"/>
      <c r="H869" s="536" t="n"/>
      <c r="I869" s="535" t="n"/>
      <c r="J869" s="282" t="n"/>
      <c r="K869" s="282" t="n"/>
      <c r="L869" s="536" t="n"/>
      <c r="M869" s="535" t="n"/>
      <c r="N869" s="282" t="n"/>
      <c r="O869" s="282" t="n"/>
      <c r="P869" s="535" t="n"/>
      <c r="Q869" s="535" t="n"/>
      <c r="R869" s="282" t="n"/>
      <c r="S869" s="282" t="n"/>
      <c r="T869" s="535" t="n"/>
      <c r="U869" s="535" t="n"/>
      <c r="V869" s="282" t="n"/>
      <c r="W869" s="282" t="n"/>
      <c r="X869" s="536" t="n"/>
      <c r="Y869" s="536" t="n"/>
      <c r="Z869" s="282" t="n"/>
      <c r="AA869" s="282" t="n"/>
      <c r="AB869" s="536" t="n"/>
      <c r="AC869" s="536" t="n"/>
      <c r="AD869" s="282" t="n"/>
      <c r="AE869" s="282" t="n"/>
      <c r="AF869" s="537" t="n"/>
      <c r="AG869" s="537" t="n"/>
      <c r="AH869" s="282" t="n"/>
      <c r="AI869" s="282" t="n"/>
      <c r="AJ869" s="537" t="n"/>
      <c r="AK869" s="537" t="n"/>
      <c r="AL869" s="282" t="n"/>
      <c r="AM869" s="282" t="n"/>
      <c r="AN869" s="282" t="n"/>
      <c r="AO869" s="282" t="n"/>
      <c r="AP869" s="282" t="n"/>
      <c r="AQ869" s="282" t="n"/>
      <c r="AR869" s="535" t="n"/>
      <c r="AS869" s="535" t="n"/>
      <c r="AT869" s="282" t="n"/>
      <c r="AU869" s="282" t="n"/>
    </row>
    <row customHeight="1" ht="15.75" r="870" s="452" spans="1:48">
      <c r="A870" s="44" t="n"/>
      <c r="D870" s="535" t="n"/>
      <c r="E870" s="535" t="n"/>
      <c r="F870" s="282" t="n"/>
      <c r="G870" s="282" t="n"/>
      <c r="H870" s="536" t="n"/>
      <c r="I870" s="535" t="n"/>
      <c r="J870" s="282" t="n"/>
      <c r="K870" s="282" t="n"/>
      <c r="L870" s="536" t="n"/>
      <c r="M870" s="535" t="n"/>
      <c r="N870" s="282" t="n"/>
      <c r="O870" s="282" t="n"/>
      <c r="P870" s="535" t="n"/>
      <c r="Q870" s="535" t="n"/>
      <c r="R870" s="282" t="n"/>
      <c r="S870" s="282" t="n"/>
      <c r="T870" s="535" t="n"/>
      <c r="U870" s="535" t="n"/>
      <c r="V870" s="282" t="n"/>
      <c r="W870" s="282" t="n"/>
      <c r="X870" s="536" t="n"/>
      <c r="Y870" s="536" t="n"/>
      <c r="Z870" s="282" t="n"/>
      <c r="AA870" s="282" t="n"/>
      <c r="AB870" s="536" t="n"/>
      <c r="AC870" s="536" t="n"/>
      <c r="AD870" s="282" t="n"/>
      <c r="AE870" s="282" t="n"/>
      <c r="AF870" s="537" t="n"/>
      <c r="AG870" s="537" t="n"/>
      <c r="AH870" s="282" t="n"/>
      <c r="AI870" s="282" t="n"/>
      <c r="AJ870" s="537" t="n"/>
      <c r="AK870" s="537" t="n"/>
      <c r="AL870" s="282" t="n"/>
      <c r="AM870" s="282" t="n"/>
      <c r="AN870" s="282" t="n"/>
      <c r="AO870" s="282" t="n"/>
      <c r="AP870" s="282" t="n"/>
      <c r="AQ870" s="282" t="n"/>
      <c r="AR870" s="535" t="n"/>
      <c r="AS870" s="535" t="n"/>
      <c r="AT870" s="282" t="n"/>
      <c r="AU870" s="282" t="n"/>
    </row>
    <row customHeight="1" ht="15.75" r="871" s="452" spans="1:48">
      <c r="A871" s="44" t="n"/>
      <c r="D871" s="535" t="n"/>
      <c r="E871" s="535" t="n"/>
      <c r="F871" s="282" t="n"/>
      <c r="G871" s="282" t="n"/>
      <c r="H871" s="536" t="n"/>
      <c r="I871" s="535" t="n"/>
      <c r="J871" s="282" t="n"/>
      <c r="K871" s="282" t="n"/>
      <c r="L871" s="536" t="n"/>
      <c r="M871" s="535" t="n"/>
      <c r="N871" s="282" t="n"/>
      <c r="O871" s="282" t="n"/>
      <c r="P871" s="535" t="n"/>
      <c r="Q871" s="535" t="n"/>
      <c r="R871" s="282" t="n"/>
      <c r="S871" s="282" t="n"/>
      <c r="T871" s="535" t="n"/>
      <c r="U871" s="535" t="n"/>
      <c r="V871" s="282" t="n"/>
      <c r="W871" s="282" t="n"/>
      <c r="X871" s="536" t="n"/>
      <c r="Y871" s="536" t="n"/>
      <c r="Z871" s="282" t="n"/>
      <c r="AA871" s="282" t="n"/>
      <c r="AB871" s="536" t="n"/>
      <c r="AC871" s="536" t="n"/>
      <c r="AD871" s="282" t="n"/>
      <c r="AE871" s="282" t="n"/>
      <c r="AF871" s="537" t="n"/>
      <c r="AG871" s="537" t="n"/>
      <c r="AH871" s="282" t="n"/>
      <c r="AI871" s="282" t="n"/>
      <c r="AJ871" s="537" t="n"/>
      <c r="AK871" s="537" t="n"/>
      <c r="AL871" s="282" t="n"/>
      <c r="AM871" s="282" t="n"/>
      <c r="AN871" s="282" t="n"/>
      <c r="AO871" s="282" t="n"/>
      <c r="AP871" s="282" t="n"/>
      <c r="AQ871" s="282" t="n"/>
      <c r="AR871" s="535" t="n"/>
      <c r="AS871" s="535" t="n"/>
      <c r="AT871" s="282" t="n"/>
      <c r="AU871" s="282" t="n"/>
    </row>
    <row customHeight="1" ht="15.75" r="872" s="452" spans="1:48">
      <c r="A872" s="44" t="n"/>
      <c r="D872" s="535" t="n"/>
      <c r="E872" s="535" t="n"/>
      <c r="F872" s="282" t="n"/>
      <c r="G872" s="282" t="n"/>
      <c r="H872" s="536" t="n"/>
      <c r="I872" s="535" t="n"/>
      <c r="J872" s="282" t="n"/>
      <c r="K872" s="282" t="n"/>
      <c r="L872" s="536" t="n"/>
      <c r="M872" s="535" t="n"/>
      <c r="N872" s="282" t="n"/>
      <c r="O872" s="282" t="n"/>
      <c r="P872" s="535" t="n"/>
      <c r="Q872" s="535" t="n"/>
      <c r="R872" s="282" t="n"/>
      <c r="S872" s="282" t="n"/>
      <c r="T872" s="535" t="n"/>
      <c r="U872" s="535" t="n"/>
      <c r="V872" s="282" t="n"/>
      <c r="W872" s="282" t="n"/>
      <c r="X872" s="536" t="n"/>
      <c r="Y872" s="536" t="n"/>
      <c r="Z872" s="282" t="n"/>
      <c r="AA872" s="282" t="n"/>
      <c r="AB872" s="536" t="n"/>
      <c r="AC872" s="536" t="n"/>
      <c r="AD872" s="282" t="n"/>
      <c r="AE872" s="282" t="n"/>
      <c r="AF872" s="537" t="n"/>
      <c r="AG872" s="537" t="n"/>
      <c r="AH872" s="282" t="n"/>
      <c r="AI872" s="282" t="n"/>
      <c r="AJ872" s="537" t="n"/>
      <c r="AK872" s="537" t="n"/>
      <c r="AL872" s="282" t="n"/>
      <c r="AM872" s="282" t="n"/>
      <c r="AN872" s="282" t="n"/>
      <c r="AO872" s="282" t="n"/>
      <c r="AP872" s="282" t="n"/>
      <c r="AQ872" s="282" t="n"/>
      <c r="AR872" s="535" t="n"/>
      <c r="AS872" s="535" t="n"/>
      <c r="AT872" s="282" t="n"/>
      <c r="AU872" s="282" t="n"/>
    </row>
    <row customHeight="1" ht="15.75" r="873" s="452" spans="1:48">
      <c r="A873" s="44" t="n"/>
      <c r="D873" s="535" t="n"/>
      <c r="E873" s="535" t="n"/>
      <c r="F873" s="282" t="n"/>
      <c r="G873" s="282" t="n"/>
      <c r="H873" s="536" t="n"/>
      <c r="I873" s="535" t="n"/>
      <c r="J873" s="282" t="n"/>
      <c r="K873" s="282" t="n"/>
      <c r="L873" s="536" t="n"/>
      <c r="M873" s="535" t="n"/>
      <c r="N873" s="282" t="n"/>
      <c r="O873" s="282" t="n"/>
      <c r="P873" s="535" t="n"/>
      <c r="Q873" s="535" t="n"/>
      <c r="R873" s="282" t="n"/>
      <c r="S873" s="282" t="n"/>
      <c r="T873" s="535" t="n"/>
      <c r="U873" s="535" t="n"/>
      <c r="V873" s="282" t="n"/>
      <c r="W873" s="282" t="n"/>
      <c r="X873" s="536" t="n"/>
      <c r="Y873" s="536" t="n"/>
      <c r="Z873" s="282" t="n"/>
      <c r="AA873" s="282" t="n"/>
      <c r="AB873" s="536" t="n"/>
      <c r="AC873" s="536" t="n"/>
      <c r="AD873" s="282" t="n"/>
      <c r="AE873" s="282" t="n"/>
      <c r="AF873" s="537" t="n"/>
      <c r="AG873" s="537" t="n"/>
      <c r="AH873" s="282" t="n"/>
      <c r="AI873" s="282" t="n"/>
      <c r="AJ873" s="537" t="n"/>
      <c r="AK873" s="537" t="n"/>
      <c r="AL873" s="282" t="n"/>
      <c r="AM873" s="282" t="n"/>
      <c r="AN873" s="282" t="n"/>
      <c r="AO873" s="282" t="n"/>
      <c r="AP873" s="282" t="n"/>
      <c r="AQ873" s="282" t="n"/>
      <c r="AR873" s="535" t="n"/>
      <c r="AS873" s="535" t="n"/>
      <c r="AT873" s="282" t="n"/>
      <c r="AU873" s="282" t="n"/>
    </row>
    <row customHeight="1" ht="15.75" r="874" s="452" spans="1:48">
      <c r="A874" s="44" t="n"/>
      <c r="D874" s="535" t="n"/>
      <c r="E874" s="535" t="n"/>
      <c r="F874" s="282" t="n"/>
      <c r="G874" s="282" t="n"/>
      <c r="H874" s="536" t="n"/>
      <c r="I874" s="535" t="n"/>
      <c r="J874" s="282" t="n"/>
      <c r="K874" s="282" t="n"/>
      <c r="L874" s="536" t="n"/>
      <c r="M874" s="535" t="n"/>
      <c r="N874" s="282" t="n"/>
      <c r="O874" s="282" t="n"/>
      <c r="P874" s="535" t="n"/>
      <c r="Q874" s="535" t="n"/>
      <c r="R874" s="282" t="n"/>
      <c r="S874" s="282" t="n"/>
      <c r="T874" s="535" t="n"/>
      <c r="U874" s="535" t="n"/>
      <c r="V874" s="282" t="n"/>
      <c r="W874" s="282" t="n"/>
      <c r="X874" s="536" t="n"/>
      <c r="Y874" s="536" t="n"/>
      <c r="Z874" s="282" t="n"/>
      <c r="AA874" s="282" t="n"/>
      <c r="AB874" s="536" t="n"/>
      <c r="AC874" s="536" t="n"/>
      <c r="AD874" s="282" t="n"/>
      <c r="AE874" s="282" t="n"/>
      <c r="AF874" s="537" t="n"/>
      <c r="AG874" s="537" t="n"/>
      <c r="AH874" s="282" t="n"/>
      <c r="AI874" s="282" t="n"/>
      <c r="AJ874" s="537" t="n"/>
      <c r="AK874" s="537" t="n"/>
      <c r="AL874" s="282" t="n"/>
      <c r="AM874" s="282" t="n"/>
      <c r="AN874" s="282" t="n"/>
      <c r="AO874" s="282" t="n"/>
      <c r="AP874" s="282" t="n"/>
      <c r="AQ874" s="282" t="n"/>
      <c r="AR874" s="535" t="n"/>
      <c r="AS874" s="535" t="n"/>
      <c r="AT874" s="282" t="n"/>
      <c r="AU874" s="282" t="n"/>
    </row>
    <row customHeight="1" ht="15.75" r="875" s="452" spans="1:48">
      <c r="A875" s="44" t="n"/>
      <c r="D875" s="535" t="n"/>
      <c r="E875" s="535" t="n"/>
      <c r="F875" s="282" t="n"/>
      <c r="G875" s="282" t="n"/>
      <c r="H875" s="536" t="n"/>
      <c r="I875" s="535" t="n"/>
      <c r="J875" s="282" t="n"/>
      <c r="K875" s="282" t="n"/>
      <c r="L875" s="536" t="n"/>
      <c r="M875" s="535" t="n"/>
      <c r="N875" s="282" t="n"/>
      <c r="O875" s="282" t="n"/>
      <c r="P875" s="535" t="n"/>
      <c r="Q875" s="535" t="n"/>
      <c r="R875" s="282" t="n"/>
      <c r="S875" s="282" t="n"/>
      <c r="T875" s="535" t="n"/>
      <c r="U875" s="535" t="n"/>
      <c r="V875" s="282" t="n"/>
      <c r="W875" s="282" t="n"/>
      <c r="X875" s="536" t="n"/>
      <c r="Y875" s="536" t="n"/>
      <c r="Z875" s="282" t="n"/>
      <c r="AA875" s="282" t="n"/>
      <c r="AB875" s="536" t="n"/>
      <c r="AC875" s="536" t="n"/>
      <c r="AD875" s="282" t="n"/>
      <c r="AE875" s="282" t="n"/>
      <c r="AF875" s="537" t="n"/>
      <c r="AG875" s="537" t="n"/>
      <c r="AH875" s="282" t="n"/>
      <c r="AI875" s="282" t="n"/>
      <c r="AJ875" s="537" t="n"/>
      <c r="AK875" s="537" t="n"/>
      <c r="AL875" s="282" t="n"/>
      <c r="AM875" s="282" t="n"/>
      <c r="AN875" s="282" t="n"/>
      <c r="AO875" s="282" t="n"/>
      <c r="AP875" s="282" t="n"/>
      <c r="AQ875" s="282" t="n"/>
      <c r="AR875" s="535" t="n"/>
      <c r="AS875" s="535" t="n"/>
      <c r="AT875" s="282" t="n"/>
      <c r="AU875" s="282" t="n"/>
    </row>
    <row customHeight="1" ht="15.75" r="876" s="452" spans="1:48">
      <c r="A876" s="44" t="n"/>
      <c r="D876" s="535" t="n"/>
      <c r="E876" s="535" t="n"/>
      <c r="F876" s="282" t="n"/>
      <c r="G876" s="282" t="n"/>
      <c r="H876" s="536" t="n"/>
      <c r="I876" s="535" t="n"/>
      <c r="J876" s="282" t="n"/>
      <c r="K876" s="282" t="n"/>
      <c r="L876" s="536" t="n"/>
      <c r="M876" s="535" t="n"/>
      <c r="N876" s="282" t="n"/>
      <c r="O876" s="282" t="n"/>
      <c r="P876" s="535" t="n"/>
      <c r="Q876" s="535" t="n"/>
      <c r="R876" s="282" t="n"/>
      <c r="S876" s="282" t="n"/>
      <c r="T876" s="535" t="n"/>
      <c r="U876" s="535" t="n"/>
      <c r="V876" s="282" t="n"/>
      <c r="W876" s="282" t="n"/>
      <c r="X876" s="536" t="n"/>
      <c r="Y876" s="536" t="n"/>
      <c r="Z876" s="282" t="n"/>
      <c r="AA876" s="282" t="n"/>
      <c r="AB876" s="536" t="n"/>
      <c r="AC876" s="536" t="n"/>
      <c r="AD876" s="282" t="n"/>
      <c r="AE876" s="282" t="n"/>
      <c r="AF876" s="537" t="n"/>
      <c r="AG876" s="537" t="n"/>
      <c r="AH876" s="282" t="n"/>
      <c r="AI876" s="282" t="n"/>
      <c r="AJ876" s="537" t="n"/>
      <c r="AK876" s="537" t="n"/>
      <c r="AL876" s="282" t="n"/>
      <c r="AM876" s="282" t="n"/>
      <c r="AN876" s="282" t="n"/>
      <c r="AO876" s="282" t="n"/>
      <c r="AP876" s="282" t="n"/>
      <c r="AQ876" s="282" t="n"/>
      <c r="AR876" s="535" t="n"/>
      <c r="AS876" s="535" t="n"/>
      <c r="AT876" s="282" t="n"/>
      <c r="AU876" s="282" t="n"/>
    </row>
    <row customHeight="1" ht="15.75" r="877" s="452" spans="1:48">
      <c r="A877" s="44" t="n"/>
      <c r="D877" s="535" t="n"/>
      <c r="E877" s="535" t="n"/>
      <c r="F877" s="282" t="n"/>
      <c r="G877" s="282" t="n"/>
      <c r="H877" s="536" t="n"/>
      <c r="I877" s="535" t="n"/>
      <c r="J877" s="282" t="n"/>
      <c r="K877" s="282" t="n"/>
      <c r="L877" s="536" t="n"/>
      <c r="M877" s="535" t="n"/>
      <c r="N877" s="282" t="n"/>
      <c r="O877" s="282" t="n"/>
      <c r="P877" s="535" t="n"/>
      <c r="Q877" s="535" t="n"/>
      <c r="R877" s="282" t="n"/>
      <c r="S877" s="282" t="n"/>
      <c r="T877" s="535" t="n"/>
      <c r="U877" s="535" t="n"/>
      <c r="V877" s="282" t="n"/>
      <c r="W877" s="282" t="n"/>
      <c r="X877" s="536" t="n"/>
      <c r="Y877" s="536" t="n"/>
      <c r="Z877" s="282" t="n"/>
      <c r="AA877" s="282" t="n"/>
      <c r="AB877" s="536" t="n"/>
      <c r="AC877" s="536" t="n"/>
      <c r="AD877" s="282" t="n"/>
      <c r="AE877" s="282" t="n"/>
      <c r="AF877" s="537" t="n"/>
      <c r="AG877" s="537" t="n"/>
      <c r="AH877" s="282" t="n"/>
      <c r="AI877" s="282" t="n"/>
      <c r="AJ877" s="537" t="n"/>
      <c r="AK877" s="537" t="n"/>
      <c r="AL877" s="282" t="n"/>
      <c r="AM877" s="282" t="n"/>
      <c r="AN877" s="282" t="n"/>
      <c r="AO877" s="282" t="n"/>
      <c r="AP877" s="282" t="n"/>
      <c r="AQ877" s="282" t="n"/>
      <c r="AR877" s="535" t="n"/>
      <c r="AS877" s="535" t="n"/>
      <c r="AT877" s="282" t="n"/>
      <c r="AU877" s="282" t="n"/>
    </row>
    <row customHeight="1" ht="15.75" r="878" s="452" spans="1:48">
      <c r="A878" s="44" t="n"/>
      <c r="D878" s="535" t="n"/>
      <c r="E878" s="535" t="n"/>
      <c r="F878" s="282" t="n"/>
      <c r="G878" s="282" t="n"/>
      <c r="H878" s="536" t="n"/>
      <c r="I878" s="535" t="n"/>
      <c r="J878" s="282" t="n"/>
      <c r="K878" s="282" t="n"/>
      <c r="L878" s="536" t="n"/>
      <c r="M878" s="535" t="n"/>
      <c r="N878" s="282" t="n"/>
      <c r="O878" s="282" t="n"/>
      <c r="P878" s="535" t="n"/>
      <c r="Q878" s="535" t="n"/>
      <c r="R878" s="282" t="n"/>
      <c r="S878" s="282" t="n"/>
      <c r="T878" s="535" t="n"/>
      <c r="U878" s="535" t="n"/>
      <c r="V878" s="282" t="n"/>
      <c r="W878" s="282" t="n"/>
      <c r="X878" s="536" t="n"/>
      <c r="Y878" s="536" t="n"/>
      <c r="Z878" s="282" t="n"/>
      <c r="AA878" s="282" t="n"/>
      <c r="AB878" s="536" t="n"/>
      <c r="AC878" s="536" t="n"/>
      <c r="AD878" s="282" t="n"/>
      <c r="AE878" s="282" t="n"/>
      <c r="AF878" s="537" t="n"/>
      <c r="AG878" s="537" t="n"/>
      <c r="AH878" s="282" t="n"/>
      <c r="AI878" s="282" t="n"/>
      <c r="AJ878" s="537" t="n"/>
      <c r="AK878" s="537" t="n"/>
      <c r="AL878" s="282" t="n"/>
      <c r="AM878" s="282" t="n"/>
      <c r="AN878" s="282" t="n"/>
      <c r="AO878" s="282" t="n"/>
      <c r="AP878" s="282" t="n"/>
      <c r="AQ878" s="282" t="n"/>
      <c r="AR878" s="535" t="n"/>
      <c r="AS878" s="535" t="n"/>
      <c r="AT878" s="282" t="n"/>
      <c r="AU878" s="282" t="n"/>
    </row>
    <row customHeight="1" ht="15.75" r="879" s="452" spans="1:48">
      <c r="A879" s="44" t="n"/>
      <c r="D879" s="535" t="n"/>
      <c r="E879" s="535" t="n"/>
      <c r="F879" s="282" t="n"/>
      <c r="G879" s="282" t="n"/>
      <c r="H879" s="536" t="n"/>
      <c r="I879" s="535" t="n"/>
      <c r="J879" s="282" t="n"/>
      <c r="K879" s="282" t="n"/>
      <c r="L879" s="536" t="n"/>
      <c r="M879" s="535" t="n"/>
      <c r="N879" s="282" t="n"/>
      <c r="O879" s="282" t="n"/>
      <c r="P879" s="535" t="n"/>
      <c r="Q879" s="535" t="n"/>
      <c r="R879" s="282" t="n"/>
      <c r="S879" s="282" t="n"/>
      <c r="T879" s="535" t="n"/>
      <c r="U879" s="535" t="n"/>
      <c r="V879" s="282" t="n"/>
      <c r="W879" s="282" t="n"/>
      <c r="X879" s="536" t="n"/>
      <c r="Y879" s="536" t="n"/>
      <c r="Z879" s="282" t="n"/>
      <c r="AA879" s="282" t="n"/>
      <c r="AB879" s="536" t="n"/>
      <c r="AC879" s="536" t="n"/>
      <c r="AD879" s="282" t="n"/>
      <c r="AE879" s="282" t="n"/>
      <c r="AF879" s="537" t="n"/>
      <c r="AG879" s="537" t="n"/>
      <c r="AH879" s="282" t="n"/>
      <c r="AI879" s="282" t="n"/>
      <c r="AJ879" s="537" t="n"/>
      <c r="AK879" s="537" t="n"/>
      <c r="AL879" s="282" t="n"/>
      <c r="AM879" s="282" t="n"/>
      <c r="AN879" s="282" t="n"/>
      <c r="AO879" s="282" t="n"/>
      <c r="AP879" s="282" t="n"/>
      <c r="AQ879" s="282" t="n"/>
      <c r="AR879" s="535" t="n"/>
      <c r="AS879" s="535" t="n"/>
      <c r="AT879" s="282" t="n"/>
      <c r="AU879" s="282" t="n"/>
    </row>
    <row customHeight="1" ht="15.75" r="880" s="452" spans="1:48">
      <c r="A880" s="44" t="n"/>
      <c r="D880" s="535" t="n"/>
      <c r="E880" s="535" t="n"/>
      <c r="F880" s="282" t="n"/>
      <c r="G880" s="282" t="n"/>
      <c r="H880" s="536" t="n"/>
      <c r="I880" s="535" t="n"/>
      <c r="J880" s="282" t="n"/>
      <c r="K880" s="282" t="n"/>
      <c r="L880" s="536" t="n"/>
      <c r="M880" s="535" t="n"/>
      <c r="N880" s="282" t="n"/>
      <c r="O880" s="282" t="n"/>
      <c r="P880" s="535" t="n"/>
      <c r="Q880" s="535" t="n"/>
      <c r="R880" s="282" t="n"/>
      <c r="S880" s="282" t="n"/>
      <c r="T880" s="535" t="n"/>
      <c r="U880" s="535" t="n"/>
      <c r="V880" s="282" t="n"/>
      <c r="W880" s="282" t="n"/>
      <c r="X880" s="536" t="n"/>
      <c r="Y880" s="536" t="n"/>
      <c r="Z880" s="282" t="n"/>
      <c r="AA880" s="282" t="n"/>
      <c r="AB880" s="536" t="n"/>
      <c r="AC880" s="536" t="n"/>
      <c r="AD880" s="282" t="n"/>
      <c r="AE880" s="282" t="n"/>
      <c r="AF880" s="537" t="n"/>
      <c r="AG880" s="537" t="n"/>
      <c r="AH880" s="282" t="n"/>
      <c r="AI880" s="282" t="n"/>
      <c r="AJ880" s="537" t="n"/>
      <c r="AK880" s="537" t="n"/>
      <c r="AL880" s="282" t="n"/>
      <c r="AM880" s="282" t="n"/>
      <c r="AN880" s="282" t="n"/>
      <c r="AO880" s="282" t="n"/>
      <c r="AP880" s="282" t="n"/>
      <c r="AQ880" s="282" t="n"/>
      <c r="AR880" s="535" t="n"/>
      <c r="AS880" s="535" t="n"/>
      <c r="AT880" s="282" t="n"/>
      <c r="AU880" s="282" t="n"/>
    </row>
    <row customHeight="1" ht="15.75" r="881" s="452" spans="1:48">
      <c r="A881" s="44" t="n"/>
      <c r="D881" s="535" t="n"/>
      <c r="E881" s="535" t="n"/>
      <c r="F881" s="282" t="n"/>
      <c r="G881" s="282" t="n"/>
      <c r="H881" s="536" t="n"/>
      <c r="I881" s="535" t="n"/>
      <c r="J881" s="282" t="n"/>
      <c r="K881" s="282" t="n"/>
      <c r="L881" s="536" t="n"/>
      <c r="M881" s="535" t="n"/>
      <c r="N881" s="282" t="n"/>
      <c r="O881" s="282" t="n"/>
      <c r="P881" s="535" t="n"/>
      <c r="Q881" s="535" t="n"/>
      <c r="R881" s="282" t="n"/>
      <c r="S881" s="282" t="n"/>
      <c r="T881" s="535" t="n"/>
      <c r="U881" s="535" t="n"/>
      <c r="V881" s="282" t="n"/>
      <c r="W881" s="282" t="n"/>
      <c r="X881" s="536" t="n"/>
      <c r="Y881" s="536" t="n"/>
      <c r="Z881" s="282" t="n"/>
      <c r="AA881" s="282" t="n"/>
      <c r="AB881" s="536" t="n"/>
      <c r="AC881" s="536" t="n"/>
      <c r="AD881" s="282" t="n"/>
      <c r="AE881" s="282" t="n"/>
      <c r="AF881" s="537" t="n"/>
      <c r="AG881" s="537" t="n"/>
      <c r="AH881" s="282" t="n"/>
      <c r="AI881" s="282" t="n"/>
      <c r="AJ881" s="537" t="n"/>
      <c r="AK881" s="537" t="n"/>
      <c r="AL881" s="282" t="n"/>
      <c r="AM881" s="282" t="n"/>
      <c r="AN881" s="282" t="n"/>
      <c r="AO881" s="282" t="n"/>
      <c r="AP881" s="282" t="n"/>
      <c r="AQ881" s="282" t="n"/>
      <c r="AR881" s="535" t="n"/>
      <c r="AS881" s="535" t="n"/>
      <c r="AT881" s="282" t="n"/>
      <c r="AU881" s="282" t="n"/>
    </row>
    <row customHeight="1" ht="15.75" r="882" s="452" spans="1:48">
      <c r="A882" s="44" t="n"/>
      <c r="D882" s="535" t="n"/>
      <c r="E882" s="535" t="n"/>
      <c r="F882" s="282" t="n"/>
      <c r="G882" s="282" t="n"/>
      <c r="H882" s="536" t="n"/>
      <c r="I882" s="535" t="n"/>
      <c r="J882" s="282" t="n"/>
      <c r="K882" s="282" t="n"/>
      <c r="L882" s="536" t="n"/>
      <c r="M882" s="535" t="n"/>
      <c r="N882" s="282" t="n"/>
      <c r="O882" s="282" t="n"/>
      <c r="P882" s="535" t="n"/>
      <c r="Q882" s="535" t="n"/>
      <c r="R882" s="282" t="n"/>
      <c r="S882" s="282" t="n"/>
      <c r="T882" s="535" t="n"/>
      <c r="U882" s="535" t="n"/>
      <c r="V882" s="282" t="n"/>
      <c r="W882" s="282" t="n"/>
      <c r="X882" s="536" t="n"/>
      <c r="Y882" s="536" t="n"/>
      <c r="Z882" s="282" t="n"/>
      <c r="AA882" s="282" t="n"/>
      <c r="AB882" s="536" t="n"/>
      <c r="AC882" s="536" t="n"/>
      <c r="AD882" s="282" t="n"/>
      <c r="AE882" s="282" t="n"/>
      <c r="AF882" s="537" t="n"/>
      <c r="AG882" s="537" t="n"/>
      <c r="AH882" s="282" t="n"/>
      <c r="AI882" s="282" t="n"/>
      <c r="AJ882" s="537" t="n"/>
      <c r="AK882" s="537" t="n"/>
      <c r="AL882" s="282" t="n"/>
      <c r="AM882" s="282" t="n"/>
      <c r="AN882" s="282" t="n"/>
      <c r="AO882" s="282" t="n"/>
      <c r="AP882" s="282" t="n"/>
      <c r="AQ882" s="282" t="n"/>
      <c r="AR882" s="535" t="n"/>
      <c r="AS882" s="535" t="n"/>
      <c r="AT882" s="282" t="n"/>
      <c r="AU882" s="282" t="n"/>
    </row>
    <row customHeight="1" ht="15.75" r="883" s="452" spans="1:48">
      <c r="A883" s="44" t="n"/>
      <c r="D883" s="535" t="n"/>
      <c r="E883" s="535" t="n"/>
      <c r="F883" s="282" t="n"/>
      <c r="G883" s="282" t="n"/>
      <c r="H883" s="536" t="n"/>
      <c r="I883" s="535" t="n"/>
      <c r="J883" s="282" t="n"/>
      <c r="K883" s="282" t="n"/>
      <c r="L883" s="536" t="n"/>
      <c r="M883" s="535" t="n"/>
      <c r="N883" s="282" t="n"/>
      <c r="O883" s="282" t="n"/>
      <c r="P883" s="535" t="n"/>
      <c r="Q883" s="535" t="n"/>
      <c r="R883" s="282" t="n"/>
      <c r="S883" s="282" t="n"/>
      <c r="T883" s="535" t="n"/>
      <c r="U883" s="535" t="n"/>
      <c r="V883" s="282" t="n"/>
      <c r="W883" s="282" t="n"/>
      <c r="X883" s="536" t="n"/>
      <c r="Y883" s="536" t="n"/>
      <c r="Z883" s="282" t="n"/>
      <c r="AA883" s="282" t="n"/>
      <c r="AB883" s="536" t="n"/>
      <c r="AC883" s="536" t="n"/>
      <c r="AD883" s="282" t="n"/>
      <c r="AE883" s="282" t="n"/>
      <c r="AF883" s="537" t="n"/>
      <c r="AG883" s="537" t="n"/>
      <c r="AH883" s="282" t="n"/>
      <c r="AI883" s="282" t="n"/>
      <c r="AJ883" s="537" t="n"/>
      <c r="AK883" s="537" t="n"/>
      <c r="AL883" s="282" t="n"/>
      <c r="AM883" s="282" t="n"/>
      <c r="AN883" s="282" t="n"/>
      <c r="AO883" s="282" t="n"/>
      <c r="AP883" s="282" t="n"/>
      <c r="AQ883" s="282" t="n"/>
      <c r="AR883" s="535" t="n"/>
      <c r="AS883" s="535" t="n"/>
      <c r="AT883" s="282" t="n"/>
      <c r="AU883" s="282" t="n"/>
    </row>
    <row customHeight="1" ht="15.75" r="884" s="452" spans="1:48">
      <c r="A884" s="44" t="n"/>
      <c r="D884" s="535" t="n"/>
      <c r="E884" s="535" t="n"/>
      <c r="F884" s="282" t="n"/>
      <c r="G884" s="282" t="n"/>
      <c r="H884" s="536" t="n"/>
      <c r="I884" s="535" t="n"/>
      <c r="J884" s="282" t="n"/>
      <c r="K884" s="282" t="n"/>
      <c r="L884" s="536" t="n"/>
      <c r="M884" s="535" t="n"/>
      <c r="N884" s="282" t="n"/>
      <c r="O884" s="282" t="n"/>
      <c r="P884" s="535" t="n"/>
      <c r="Q884" s="535" t="n"/>
      <c r="R884" s="282" t="n"/>
      <c r="S884" s="282" t="n"/>
      <c r="T884" s="535" t="n"/>
      <c r="U884" s="535" t="n"/>
      <c r="V884" s="282" t="n"/>
      <c r="W884" s="282" t="n"/>
      <c r="X884" s="536" t="n"/>
      <c r="Y884" s="536" t="n"/>
      <c r="Z884" s="282" t="n"/>
      <c r="AA884" s="282" t="n"/>
      <c r="AB884" s="536" t="n"/>
      <c r="AC884" s="536" t="n"/>
      <c r="AD884" s="282" t="n"/>
      <c r="AE884" s="282" t="n"/>
      <c r="AF884" s="537" t="n"/>
      <c r="AG884" s="537" t="n"/>
      <c r="AH884" s="282" t="n"/>
      <c r="AI884" s="282" t="n"/>
      <c r="AJ884" s="537" t="n"/>
      <c r="AK884" s="537" t="n"/>
      <c r="AL884" s="282" t="n"/>
      <c r="AM884" s="282" t="n"/>
      <c r="AN884" s="282" t="n"/>
      <c r="AO884" s="282" t="n"/>
      <c r="AP884" s="282" t="n"/>
      <c r="AQ884" s="282" t="n"/>
      <c r="AR884" s="535" t="n"/>
      <c r="AS884" s="535" t="n"/>
      <c r="AT884" s="282" t="n"/>
      <c r="AU884" s="282" t="n"/>
    </row>
    <row customHeight="1" ht="15.75" r="885" s="452" spans="1:48">
      <c r="A885" s="44" t="n"/>
      <c r="D885" s="535" t="n"/>
      <c r="E885" s="535" t="n"/>
      <c r="F885" s="282" t="n"/>
      <c r="G885" s="282" t="n"/>
      <c r="H885" s="536" t="n"/>
      <c r="I885" s="535" t="n"/>
      <c r="J885" s="282" t="n"/>
      <c r="K885" s="282" t="n"/>
      <c r="L885" s="536" t="n"/>
      <c r="M885" s="535" t="n"/>
      <c r="N885" s="282" t="n"/>
      <c r="O885" s="282" t="n"/>
      <c r="P885" s="535" t="n"/>
      <c r="Q885" s="535" t="n"/>
      <c r="R885" s="282" t="n"/>
      <c r="S885" s="282" t="n"/>
      <c r="T885" s="535" t="n"/>
      <c r="U885" s="535" t="n"/>
      <c r="V885" s="282" t="n"/>
      <c r="W885" s="282" t="n"/>
      <c r="X885" s="536" t="n"/>
      <c r="Y885" s="536" t="n"/>
      <c r="Z885" s="282" t="n"/>
      <c r="AA885" s="282" t="n"/>
      <c r="AB885" s="536" t="n"/>
      <c r="AC885" s="536" t="n"/>
      <c r="AD885" s="282" t="n"/>
      <c r="AE885" s="282" t="n"/>
      <c r="AF885" s="537" t="n"/>
      <c r="AG885" s="537" t="n"/>
      <c r="AH885" s="282" t="n"/>
      <c r="AI885" s="282" t="n"/>
      <c r="AJ885" s="537" t="n"/>
      <c r="AK885" s="537" t="n"/>
      <c r="AL885" s="282" t="n"/>
      <c r="AM885" s="282" t="n"/>
      <c r="AN885" s="282" t="n"/>
      <c r="AO885" s="282" t="n"/>
      <c r="AP885" s="282" t="n"/>
      <c r="AQ885" s="282" t="n"/>
      <c r="AR885" s="535" t="n"/>
      <c r="AS885" s="535" t="n"/>
      <c r="AT885" s="282" t="n"/>
      <c r="AU885" s="282" t="n"/>
    </row>
    <row customHeight="1" ht="15.75" r="886" s="452" spans="1:48">
      <c r="A886" s="44" t="n"/>
      <c r="D886" s="535" t="n"/>
      <c r="E886" s="535" t="n"/>
      <c r="F886" s="282" t="n"/>
      <c r="G886" s="282" t="n"/>
      <c r="H886" s="536" t="n"/>
      <c r="I886" s="535" t="n"/>
      <c r="J886" s="282" t="n"/>
      <c r="K886" s="282" t="n"/>
      <c r="L886" s="536" t="n"/>
      <c r="M886" s="535" t="n"/>
      <c r="N886" s="282" t="n"/>
      <c r="O886" s="282" t="n"/>
      <c r="P886" s="535" t="n"/>
      <c r="Q886" s="535" t="n"/>
      <c r="R886" s="282" t="n"/>
      <c r="S886" s="282" t="n"/>
      <c r="T886" s="535" t="n"/>
      <c r="U886" s="535" t="n"/>
      <c r="V886" s="282" t="n"/>
      <c r="W886" s="282" t="n"/>
      <c r="X886" s="536" t="n"/>
      <c r="Y886" s="536" t="n"/>
      <c r="Z886" s="282" t="n"/>
      <c r="AA886" s="282" t="n"/>
      <c r="AB886" s="536" t="n"/>
      <c r="AC886" s="536" t="n"/>
      <c r="AD886" s="282" t="n"/>
      <c r="AE886" s="282" t="n"/>
      <c r="AF886" s="537" t="n"/>
      <c r="AG886" s="537" t="n"/>
      <c r="AH886" s="282" t="n"/>
      <c r="AI886" s="282" t="n"/>
      <c r="AJ886" s="537" t="n"/>
      <c r="AK886" s="537" t="n"/>
      <c r="AL886" s="282" t="n"/>
      <c r="AM886" s="282" t="n"/>
      <c r="AN886" s="282" t="n"/>
      <c r="AO886" s="282" t="n"/>
      <c r="AP886" s="282" t="n"/>
      <c r="AQ886" s="282" t="n"/>
      <c r="AR886" s="535" t="n"/>
      <c r="AS886" s="535" t="n"/>
      <c r="AT886" s="282" t="n"/>
      <c r="AU886" s="282" t="n"/>
    </row>
    <row customHeight="1" ht="15.75" r="887" s="452" spans="1:48">
      <c r="A887" s="44" t="n"/>
      <c r="D887" s="535" t="n"/>
      <c r="E887" s="535" t="n"/>
      <c r="F887" s="282" t="n"/>
      <c r="G887" s="282" t="n"/>
      <c r="H887" s="536" t="n"/>
      <c r="I887" s="535" t="n"/>
      <c r="J887" s="282" t="n"/>
      <c r="K887" s="282" t="n"/>
      <c r="L887" s="536" t="n"/>
      <c r="M887" s="535" t="n"/>
      <c r="N887" s="282" t="n"/>
      <c r="O887" s="282" t="n"/>
      <c r="P887" s="535" t="n"/>
      <c r="Q887" s="535" t="n"/>
      <c r="R887" s="282" t="n"/>
      <c r="S887" s="282" t="n"/>
      <c r="T887" s="535" t="n"/>
      <c r="U887" s="535" t="n"/>
      <c r="V887" s="282" t="n"/>
      <c r="W887" s="282" t="n"/>
      <c r="X887" s="536" t="n"/>
      <c r="Y887" s="536" t="n"/>
      <c r="Z887" s="282" t="n"/>
      <c r="AA887" s="282" t="n"/>
      <c r="AB887" s="536" t="n"/>
      <c r="AC887" s="536" t="n"/>
      <c r="AD887" s="282" t="n"/>
      <c r="AE887" s="282" t="n"/>
      <c r="AF887" s="537" t="n"/>
      <c r="AG887" s="537" t="n"/>
      <c r="AH887" s="282" t="n"/>
      <c r="AI887" s="282" t="n"/>
      <c r="AJ887" s="537" t="n"/>
      <c r="AK887" s="537" t="n"/>
      <c r="AL887" s="282" t="n"/>
      <c r="AM887" s="282" t="n"/>
      <c r="AN887" s="282" t="n"/>
      <c r="AO887" s="282" t="n"/>
      <c r="AP887" s="282" t="n"/>
      <c r="AQ887" s="282" t="n"/>
      <c r="AR887" s="535" t="n"/>
      <c r="AS887" s="535" t="n"/>
      <c r="AT887" s="282" t="n"/>
      <c r="AU887" s="282" t="n"/>
    </row>
    <row customHeight="1" ht="15.75" r="888" s="452" spans="1:48">
      <c r="A888" s="44" t="n"/>
      <c r="D888" s="535" t="n"/>
      <c r="E888" s="535" t="n"/>
      <c r="F888" s="282" t="n"/>
      <c r="G888" s="282" t="n"/>
      <c r="H888" s="536" t="n"/>
      <c r="I888" s="535" t="n"/>
      <c r="J888" s="282" t="n"/>
      <c r="K888" s="282" t="n"/>
      <c r="L888" s="536" t="n"/>
      <c r="M888" s="535" t="n"/>
      <c r="N888" s="282" t="n"/>
      <c r="O888" s="282" t="n"/>
      <c r="P888" s="535" t="n"/>
      <c r="Q888" s="535" t="n"/>
      <c r="R888" s="282" t="n"/>
      <c r="S888" s="282" t="n"/>
      <c r="T888" s="535" t="n"/>
      <c r="U888" s="535" t="n"/>
      <c r="V888" s="282" t="n"/>
      <c r="W888" s="282" t="n"/>
      <c r="X888" s="536" t="n"/>
      <c r="Y888" s="536" t="n"/>
      <c r="Z888" s="282" t="n"/>
      <c r="AA888" s="282" t="n"/>
      <c r="AB888" s="536" t="n"/>
      <c r="AC888" s="536" t="n"/>
      <c r="AD888" s="282" t="n"/>
      <c r="AE888" s="282" t="n"/>
      <c r="AF888" s="537" t="n"/>
      <c r="AG888" s="537" t="n"/>
      <c r="AH888" s="282" t="n"/>
      <c r="AI888" s="282" t="n"/>
      <c r="AJ888" s="537" t="n"/>
      <c r="AK888" s="537" t="n"/>
      <c r="AL888" s="282" t="n"/>
      <c r="AM888" s="282" t="n"/>
      <c r="AN888" s="282" t="n"/>
      <c r="AO888" s="282" t="n"/>
      <c r="AP888" s="282" t="n"/>
      <c r="AQ888" s="282" t="n"/>
      <c r="AR888" s="535" t="n"/>
      <c r="AS888" s="535" t="n"/>
      <c r="AT888" s="282" t="n"/>
      <c r="AU888" s="282" t="n"/>
    </row>
    <row customHeight="1" ht="15.75" r="889" s="452" spans="1:48">
      <c r="A889" s="44" t="n"/>
      <c r="D889" s="535" t="n"/>
      <c r="E889" s="535" t="n"/>
      <c r="F889" s="282" t="n"/>
      <c r="G889" s="282" t="n"/>
      <c r="H889" s="536" t="n"/>
      <c r="I889" s="535" t="n"/>
      <c r="J889" s="282" t="n"/>
      <c r="K889" s="282" t="n"/>
      <c r="L889" s="536" t="n"/>
      <c r="M889" s="535" t="n"/>
      <c r="N889" s="282" t="n"/>
      <c r="O889" s="282" t="n"/>
      <c r="P889" s="535" t="n"/>
      <c r="Q889" s="535" t="n"/>
      <c r="R889" s="282" t="n"/>
      <c r="S889" s="282" t="n"/>
      <c r="T889" s="535" t="n"/>
      <c r="U889" s="535" t="n"/>
      <c r="V889" s="282" t="n"/>
      <c r="W889" s="282" t="n"/>
      <c r="X889" s="536" t="n"/>
      <c r="Y889" s="536" t="n"/>
      <c r="Z889" s="282" t="n"/>
      <c r="AA889" s="282" t="n"/>
      <c r="AB889" s="536" t="n"/>
      <c r="AC889" s="536" t="n"/>
      <c r="AD889" s="282" t="n"/>
      <c r="AE889" s="282" t="n"/>
      <c r="AF889" s="537" t="n"/>
      <c r="AG889" s="537" t="n"/>
      <c r="AH889" s="282" t="n"/>
      <c r="AI889" s="282" t="n"/>
      <c r="AJ889" s="537" t="n"/>
      <c r="AK889" s="537" t="n"/>
      <c r="AL889" s="282" t="n"/>
      <c r="AM889" s="282" t="n"/>
      <c r="AN889" s="282" t="n"/>
      <c r="AO889" s="282" t="n"/>
      <c r="AP889" s="282" t="n"/>
      <c r="AQ889" s="282" t="n"/>
      <c r="AR889" s="535" t="n"/>
      <c r="AS889" s="535" t="n"/>
      <c r="AT889" s="282" t="n"/>
      <c r="AU889" s="282" t="n"/>
    </row>
    <row customHeight="1" ht="15.75" r="890" s="452" spans="1:48">
      <c r="A890" s="44" t="n"/>
      <c r="D890" s="535" t="n"/>
      <c r="E890" s="535" t="n"/>
      <c r="F890" s="282" t="n"/>
      <c r="G890" s="282" t="n"/>
      <c r="H890" s="536" t="n"/>
      <c r="I890" s="535" t="n"/>
      <c r="J890" s="282" t="n"/>
      <c r="K890" s="282" t="n"/>
      <c r="L890" s="536" t="n"/>
      <c r="M890" s="535" t="n"/>
      <c r="N890" s="282" t="n"/>
      <c r="O890" s="282" t="n"/>
      <c r="P890" s="535" t="n"/>
      <c r="Q890" s="535" t="n"/>
      <c r="R890" s="282" t="n"/>
      <c r="S890" s="282" t="n"/>
      <c r="T890" s="535" t="n"/>
      <c r="U890" s="535" t="n"/>
      <c r="V890" s="282" t="n"/>
      <c r="W890" s="282" t="n"/>
      <c r="X890" s="536" t="n"/>
      <c r="Y890" s="536" t="n"/>
      <c r="Z890" s="282" t="n"/>
      <c r="AA890" s="282" t="n"/>
      <c r="AB890" s="536" t="n"/>
      <c r="AC890" s="536" t="n"/>
      <c r="AD890" s="282" t="n"/>
      <c r="AE890" s="282" t="n"/>
      <c r="AF890" s="537" t="n"/>
      <c r="AG890" s="537" t="n"/>
      <c r="AH890" s="282" t="n"/>
      <c r="AI890" s="282" t="n"/>
      <c r="AJ890" s="537" t="n"/>
      <c r="AK890" s="537" t="n"/>
      <c r="AL890" s="282" t="n"/>
      <c r="AM890" s="282" t="n"/>
      <c r="AN890" s="282" t="n"/>
      <c r="AO890" s="282" t="n"/>
      <c r="AP890" s="282" t="n"/>
      <c r="AQ890" s="282" t="n"/>
      <c r="AR890" s="535" t="n"/>
      <c r="AS890" s="535" t="n"/>
      <c r="AT890" s="282" t="n"/>
      <c r="AU890" s="282" t="n"/>
    </row>
    <row customHeight="1" ht="15.75" r="891" s="452" spans="1:48">
      <c r="A891" s="44" t="n"/>
      <c r="D891" s="535" t="n"/>
      <c r="E891" s="535" t="n"/>
      <c r="F891" s="282" t="n"/>
      <c r="G891" s="282" t="n"/>
      <c r="H891" s="536" t="n"/>
      <c r="I891" s="535" t="n"/>
      <c r="J891" s="282" t="n"/>
      <c r="K891" s="282" t="n"/>
      <c r="L891" s="536" t="n"/>
      <c r="M891" s="535" t="n"/>
      <c r="N891" s="282" t="n"/>
      <c r="O891" s="282" t="n"/>
      <c r="P891" s="535" t="n"/>
      <c r="Q891" s="535" t="n"/>
      <c r="R891" s="282" t="n"/>
      <c r="S891" s="282" t="n"/>
      <c r="T891" s="535" t="n"/>
      <c r="U891" s="535" t="n"/>
      <c r="V891" s="282" t="n"/>
      <c r="W891" s="282" t="n"/>
      <c r="X891" s="536" t="n"/>
      <c r="Y891" s="536" t="n"/>
      <c r="Z891" s="282" t="n"/>
      <c r="AA891" s="282" t="n"/>
      <c r="AB891" s="536" t="n"/>
      <c r="AC891" s="536" t="n"/>
      <c r="AD891" s="282" t="n"/>
      <c r="AE891" s="282" t="n"/>
      <c r="AF891" s="537" t="n"/>
      <c r="AG891" s="537" t="n"/>
      <c r="AH891" s="282" t="n"/>
      <c r="AI891" s="282" t="n"/>
      <c r="AJ891" s="537" t="n"/>
      <c r="AK891" s="537" t="n"/>
      <c r="AL891" s="282" t="n"/>
      <c r="AM891" s="282" t="n"/>
      <c r="AN891" s="282" t="n"/>
      <c r="AO891" s="282" t="n"/>
      <c r="AP891" s="282" t="n"/>
      <c r="AQ891" s="282" t="n"/>
      <c r="AR891" s="535" t="n"/>
      <c r="AS891" s="535" t="n"/>
      <c r="AT891" s="282" t="n"/>
      <c r="AU891" s="282" t="n"/>
    </row>
    <row customHeight="1" ht="15.75" r="892" s="452" spans="1:48">
      <c r="A892" s="44" t="n"/>
      <c r="D892" s="535" t="n"/>
      <c r="E892" s="535" t="n"/>
      <c r="F892" s="282" t="n"/>
      <c r="G892" s="282" t="n"/>
      <c r="H892" s="536" t="n"/>
      <c r="I892" s="535" t="n"/>
      <c r="J892" s="282" t="n"/>
      <c r="K892" s="282" t="n"/>
      <c r="L892" s="536" t="n"/>
      <c r="M892" s="535" t="n"/>
      <c r="N892" s="282" t="n"/>
      <c r="O892" s="282" t="n"/>
      <c r="P892" s="535" t="n"/>
      <c r="Q892" s="535" t="n"/>
      <c r="R892" s="282" t="n"/>
      <c r="S892" s="282" t="n"/>
      <c r="T892" s="535" t="n"/>
      <c r="U892" s="535" t="n"/>
      <c r="V892" s="282" t="n"/>
      <c r="W892" s="282" t="n"/>
      <c r="X892" s="536" t="n"/>
      <c r="Y892" s="536" t="n"/>
      <c r="Z892" s="282" t="n"/>
      <c r="AA892" s="282" t="n"/>
      <c r="AB892" s="536" t="n"/>
      <c r="AC892" s="536" t="n"/>
      <c r="AD892" s="282" t="n"/>
      <c r="AE892" s="282" t="n"/>
      <c r="AF892" s="537" t="n"/>
      <c r="AG892" s="537" t="n"/>
      <c r="AH892" s="282" t="n"/>
      <c r="AI892" s="282" t="n"/>
      <c r="AJ892" s="537" t="n"/>
      <c r="AK892" s="537" t="n"/>
      <c r="AL892" s="282" t="n"/>
      <c r="AM892" s="282" t="n"/>
      <c r="AN892" s="282" t="n"/>
      <c r="AO892" s="282" t="n"/>
      <c r="AP892" s="282" t="n"/>
      <c r="AQ892" s="282" t="n"/>
      <c r="AR892" s="535" t="n"/>
      <c r="AS892" s="535" t="n"/>
      <c r="AT892" s="282" t="n"/>
      <c r="AU892" s="282" t="n"/>
    </row>
    <row customHeight="1" ht="15.75" r="893" s="452" spans="1:48">
      <c r="A893" s="44" t="n"/>
      <c r="D893" s="535" t="n"/>
      <c r="E893" s="535" t="n"/>
      <c r="F893" s="282" t="n"/>
      <c r="G893" s="282" t="n"/>
      <c r="H893" s="536" t="n"/>
      <c r="I893" s="535" t="n"/>
      <c r="J893" s="282" t="n"/>
      <c r="K893" s="282" t="n"/>
      <c r="L893" s="536" t="n"/>
      <c r="M893" s="535" t="n"/>
      <c r="N893" s="282" t="n"/>
      <c r="O893" s="282" t="n"/>
      <c r="P893" s="535" t="n"/>
      <c r="Q893" s="535" t="n"/>
      <c r="R893" s="282" t="n"/>
      <c r="S893" s="282" t="n"/>
      <c r="T893" s="535" t="n"/>
      <c r="U893" s="535" t="n"/>
      <c r="V893" s="282" t="n"/>
      <c r="W893" s="282" t="n"/>
      <c r="X893" s="536" t="n"/>
      <c r="Y893" s="536" t="n"/>
      <c r="Z893" s="282" t="n"/>
      <c r="AA893" s="282" t="n"/>
      <c r="AB893" s="536" t="n"/>
      <c r="AC893" s="536" t="n"/>
      <c r="AD893" s="282" t="n"/>
      <c r="AE893" s="282" t="n"/>
      <c r="AF893" s="537" t="n"/>
      <c r="AG893" s="537" t="n"/>
      <c r="AH893" s="282" t="n"/>
      <c r="AI893" s="282" t="n"/>
      <c r="AJ893" s="537" t="n"/>
      <c r="AK893" s="537" t="n"/>
      <c r="AL893" s="282" t="n"/>
      <c r="AM893" s="282" t="n"/>
      <c r="AN893" s="282" t="n"/>
      <c r="AO893" s="282" t="n"/>
      <c r="AP893" s="282" t="n"/>
      <c r="AQ893" s="282" t="n"/>
      <c r="AR893" s="535" t="n"/>
      <c r="AS893" s="535" t="n"/>
      <c r="AT893" s="282" t="n"/>
      <c r="AU893" s="282" t="n"/>
    </row>
    <row customHeight="1" ht="15.75" r="894" s="452" spans="1:48">
      <c r="A894" s="44" t="n"/>
      <c r="D894" s="535" t="n"/>
      <c r="E894" s="535" t="n"/>
      <c r="F894" s="282" t="n"/>
      <c r="G894" s="282" t="n"/>
      <c r="H894" s="536" t="n"/>
      <c r="I894" s="535" t="n"/>
      <c r="J894" s="282" t="n"/>
      <c r="K894" s="282" t="n"/>
      <c r="L894" s="536" t="n"/>
      <c r="M894" s="535" t="n"/>
      <c r="N894" s="282" t="n"/>
      <c r="O894" s="282" t="n"/>
      <c r="P894" s="535" t="n"/>
      <c r="Q894" s="535" t="n"/>
      <c r="R894" s="282" t="n"/>
      <c r="S894" s="282" t="n"/>
      <c r="T894" s="535" t="n"/>
      <c r="U894" s="535" t="n"/>
      <c r="V894" s="282" t="n"/>
      <c r="W894" s="282" t="n"/>
      <c r="X894" s="536" t="n"/>
      <c r="Y894" s="536" t="n"/>
      <c r="Z894" s="282" t="n"/>
      <c r="AA894" s="282" t="n"/>
      <c r="AB894" s="536" t="n"/>
      <c r="AC894" s="536" t="n"/>
      <c r="AD894" s="282" t="n"/>
      <c r="AE894" s="282" t="n"/>
      <c r="AF894" s="537" t="n"/>
      <c r="AG894" s="537" t="n"/>
      <c r="AH894" s="282" t="n"/>
      <c r="AI894" s="282" t="n"/>
      <c r="AJ894" s="537" t="n"/>
      <c r="AK894" s="537" t="n"/>
      <c r="AL894" s="282" t="n"/>
      <c r="AM894" s="282" t="n"/>
      <c r="AN894" s="282" t="n"/>
      <c r="AO894" s="282" t="n"/>
      <c r="AP894" s="282" t="n"/>
      <c r="AQ894" s="282" t="n"/>
      <c r="AR894" s="535" t="n"/>
      <c r="AS894" s="535" t="n"/>
      <c r="AT894" s="282" t="n"/>
      <c r="AU894" s="282" t="n"/>
    </row>
    <row customHeight="1" ht="15.75" r="895" s="452" spans="1:48">
      <c r="A895" s="44" t="n"/>
      <c r="D895" s="535" t="n"/>
      <c r="E895" s="535" t="n"/>
      <c r="F895" s="282" t="n"/>
      <c r="G895" s="282" t="n"/>
      <c r="H895" s="536" t="n"/>
      <c r="I895" s="535" t="n"/>
      <c r="J895" s="282" t="n"/>
      <c r="K895" s="282" t="n"/>
      <c r="L895" s="536" t="n"/>
      <c r="M895" s="535" t="n"/>
      <c r="N895" s="282" t="n"/>
      <c r="O895" s="282" t="n"/>
      <c r="P895" s="535" t="n"/>
      <c r="Q895" s="535" t="n"/>
      <c r="R895" s="282" t="n"/>
      <c r="S895" s="282" t="n"/>
      <c r="T895" s="535" t="n"/>
      <c r="U895" s="535" t="n"/>
      <c r="V895" s="282" t="n"/>
      <c r="W895" s="282" t="n"/>
      <c r="X895" s="536" t="n"/>
      <c r="Y895" s="536" t="n"/>
      <c r="Z895" s="282" t="n"/>
      <c r="AA895" s="282" t="n"/>
      <c r="AB895" s="536" t="n"/>
      <c r="AC895" s="536" t="n"/>
      <c r="AD895" s="282" t="n"/>
      <c r="AE895" s="282" t="n"/>
      <c r="AF895" s="537" t="n"/>
      <c r="AG895" s="537" t="n"/>
      <c r="AH895" s="282" t="n"/>
      <c r="AI895" s="282" t="n"/>
      <c r="AJ895" s="537" t="n"/>
      <c r="AK895" s="537" t="n"/>
      <c r="AL895" s="282" t="n"/>
      <c r="AM895" s="282" t="n"/>
      <c r="AN895" s="282" t="n"/>
      <c r="AO895" s="282" t="n"/>
      <c r="AP895" s="282" t="n"/>
      <c r="AQ895" s="282" t="n"/>
      <c r="AR895" s="535" t="n"/>
      <c r="AS895" s="535" t="n"/>
      <c r="AT895" s="282" t="n"/>
      <c r="AU895" s="282" t="n"/>
    </row>
    <row customHeight="1" ht="15.75" r="896" s="452" spans="1:48">
      <c r="A896" s="44" t="n"/>
      <c r="D896" s="535" t="n"/>
      <c r="E896" s="535" t="n"/>
      <c r="F896" s="282" t="n"/>
      <c r="G896" s="282" t="n"/>
      <c r="H896" s="536" t="n"/>
      <c r="I896" s="535" t="n"/>
      <c r="J896" s="282" t="n"/>
      <c r="K896" s="282" t="n"/>
      <c r="L896" s="536" t="n"/>
      <c r="M896" s="535" t="n"/>
      <c r="N896" s="282" t="n"/>
      <c r="O896" s="282" t="n"/>
      <c r="P896" s="535" t="n"/>
      <c r="Q896" s="535" t="n"/>
      <c r="R896" s="282" t="n"/>
      <c r="S896" s="282" t="n"/>
      <c r="T896" s="535" t="n"/>
      <c r="U896" s="535" t="n"/>
      <c r="V896" s="282" t="n"/>
      <c r="W896" s="282" t="n"/>
      <c r="X896" s="536" t="n"/>
      <c r="Y896" s="536" t="n"/>
      <c r="Z896" s="282" t="n"/>
      <c r="AA896" s="282" t="n"/>
      <c r="AB896" s="536" t="n"/>
      <c r="AC896" s="536" t="n"/>
      <c r="AD896" s="282" t="n"/>
      <c r="AE896" s="282" t="n"/>
      <c r="AF896" s="537" t="n"/>
      <c r="AG896" s="537" t="n"/>
      <c r="AH896" s="282" t="n"/>
      <c r="AI896" s="282" t="n"/>
      <c r="AJ896" s="537" t="n"/>
      <c r="AK896" s="537" t="n"/>
      <c r="AL896" s="282" t="n"/>
      <c r="AM896" s="282" t="n"/>
      <c r="AN896" s="282" t="n"/>
      <c r="AO896" s="282" t="n"/>
      <c r="AP896" s="282" t="n"/>
      <c r="AQ896" s="282" t="n"/>
      <c r="AR896" s="535" t="n"/>
      <c r="AS896" s="535" t="n"/>
      <c r="AT896" s="282" t="n"/>
      <c r="AU896" s="282" t="n"/>
    </row>
    <row customHeight="1" ht="15.75" r="897" s="452" spans="1:48">
      <c r="A897" s="44" t="n"/>
      <c r="D897" s="535" t="n"/>
      <c r="E897" s="535" t="n"/>
      <c r="F897" s="282" t="n"/>
      <c r="G897" s="282" t="n"/>
      <c r="H897" s="536" t="n"/>
      <c r="I897" s="535" t="n"/>
      <c r="J897" s="282" t="n"/>
      <c r="K897" s="282" t="n"/>
      <c r="L897" s="536" t="n"/>
      <c r="M897" s="535" t="n"/>
      <c r="N897" s="282" t="n"/>
      <c r="O897" s="282" t="n"/>
      <c r="P897" s="535" t="n"/>
      <c r="Q897" s="535" t="n"/>
      <c r="R897" s="282" t="n"/>
      <c r="S897" s="282" t="n"/>
      <c r="T897" s="535" t="n"/>
      <c r="U897" s="535" t="n"/>
      <c r="V897" s="282" t="n"/>
      <c r="W897" s="282" t="n"/>
      <c r="X897" s="536" t="n"/>
      <c r="Y897" s="536" t="n"/>
      <c r="Z897" s="282" t="n"/>
      <c r="AA897" s="282" t="n"/>
      <c r="AB897" s="536" t="n"/>
      <c r="AC897" s="536" t="n"/>
      <c r="AD897" s="282" t="n"/>
      <c r="AE897" s="282" t="n"/>
      <c r="AF897" s="537" t="n"/>
      <c r="AG897" s="537" t="n"/>
      <c r="AH897" s="282" t="n"/>
      <c r="AI897" s="282" t="n"/>
      <c r="AJ897" s="537" t="n"/>
      <c r="AK897" s="537" t="n"/>
      <c r="AL897" s="282" t="n"/>
      <c r="AM897" s="282" t="n"/>
      <c r="AN897" s="282" t="n"/>
      <c r="AO897" s="282" t="n"/>
      <c r="AP897" s="282" t="n"/>
      <c r="AQ897" s="282" t="n"/>
      <c r="AR897" s="535" t="n"/>
      <c r="AS897" s="535" t="n"/>
      <c r="AT897" s="282" t="n"/>
      <c r="AU897" s="282" t="n"/>
    </row>
    <row customHeight="1" ht="15.75" r="898" s="452" spans="1:48">
      <c r="A898" s="44" t="n"/>
      <c r="D898" s="535" t="n"/>
      <c r="E898" s="535" t="n"/>
      <c r="F898" s="282" t="n"/>
      <c r="G898" s="282" t="n"/>
      <c r="H898" s="536" t="n"/>
      <c r="I898" s="535" t="n"/>
      <c r="J898" s="282" t="n"/>
      <c r="K898" s="282" t="n"/>
      <c r="L898" s="536" t="n"/>
      <c r="M898" s="535" t="n"/>
      <c r="N898" s="282" t="n"/>
      <c r="O898" s="282" t="n"/>
      <c r="P898" s="535" t="n"/>
      <c r="Q898" s="535" t="n"/>
      <c r="R898" s="282" t="n"/>
      <c r="S898" s="282" t="n"/>
      <c r="T898" s="535" t="n"/>
      <c r="U898" s="535" t="n"/>
      <c r="V898" s="282" t="n"/>
      <c r="W898" s="282" t="n"/>
      <c r="X898" s="536" t="n"/>
      <c r="Y898" s="536" t="n"/>
      <c r="Z898" s="282" t="n"/>
      <c r="AA898" s="282" t="n"/>
      <c r="AB898" s="536" t="n"/>
      <c r="AC898" s="536" t="n"/>
      <c r="AD898" s="282" t="n"/>
      <c r="AE898" s="282" t="n"/>
      <c r="AF898" s="537" t="n"/>
      <c r="AG898" s="537" t="n"/>
      <c r="AH898" s="282" t="n"/>
      <c r="AI898" s="282" t="n"/>
      <c r="AJ898" s="537" t="n"/>
      <c r="AK898" s="537" t="n"/>
      <c r="AL898" s="282" t="n"/>
      <c r="AM898" s="282" t="n"/>
      <c r="AN898" s="282" t="n"/>
      <c r="AO898" s="282" t="n"/>
      <c r="AP898" s="282" t="n"/>
      <c r="AQ898" s="282" t="n"/>
      <c r="AR898" s="535" t="n"/>
      <c r="AS898" s="535" t="n"/>
      <c r="AT898" s="282" t="n"/>
      <c r="AU898" s="282" t="n"/>
    </row>
    <row customHeight="1" ht="15.75" r="899" s="452" spans="1:48">
      <c r="A899" s="44" t="n"/>
      <c r="D899" s="535" t="n"/>
      <c r="E899" s="535" t="n"/>
      <c r="F899" s="282" t="n"/>
      <c r="G899" s="282" t="n"/>
      <c r="H899" s="536" t="n"/>
      <c r="I899" s="535" t="n"/>
      <c r="J899" s="282" t="n"/>
      <c r="K899" s="282" t="n"/>
      <c r="L899" s="536" t="n"/>
      <c r="M899" s="535" t="n"/>
      <c r="N899" s="282" t="n"/>
      <c r="O899" s="282" t="n"/>
      <c r="P899" s="535" t="n"/>
      <c r="Q899" s="535" t="n"/>
      <c r="R899" s="282" t="n"/>
      <c r="S899" s="282" t="n"/>
      <c r="T899" s="535" t="n"/>
      <c r="U899" s="535" t="n"/>
      <c r="V899" s="282" t="n"/>
      <c r="W899" s="282" t="n"/>
      <c r="X899" s="536" t="n"/>
      <c r="Y899" s="536" t="n"/>
      <c r="Z899" s="282" t="n"/>
      <c r="AA899" s="282" t="n"/>
      <c r="AB899" s="536" t="n"/>
      <c r="AC899" s="536" t="n"/>
      <c r="AD899" s="282" t="n"/>
      <c r="AE899" s="282" t="n"/>
      <c r="AF899" s="537" t="n"/>
      <c r="AG899" s="537" t="n"/>
      <c r="AH899" s="282" t="n"/>
      <c r="AI899" s="282" t="n"/>
      <c r="AJ899" s="537" t="n"/>
      <c r="AK899" s="537" t="n"/>
      <c r="AL899" s="282" t="n"/>
      <c r="AM899" s="282" t="n"/>
      <c r="AN899" s="282" t="n"/>
      <c r="AO899" s="282" t="n"/>
      <c r="AP899" s="282" t="n"/>
      <c r="AQ899" s="282" t="n"/>
      <c r="AR899" s="535" t="n"/>
      <c r="AS899" s="535" t="n"/>
      <c r="AT899" s="282" t="n"/>
      <c r="AU899" s="282" t="n"/>
    </row>
    <row customHeight="1" ht="15.75" r="900" s="452" spans="1:48">
      <c r="A900" s="44" t="n"/>
      <c r="D900" s="535" t="n"/>
      <c r="E900" s="535" t="n"/>
      <c r="F900" s="282" t="n"/>
      <c r="G900" s="282" t="n"/>
      <c r="H900" s="536" t="n"/>
      <c r="I900" s="535" t="n"/>
      <c r="J900" s="282" t="n"/>
      <c r="K900" s="282" t="n"/>
      <c r="L900" s="536" t="n"/>
      <c r="M900" s="535" t="n"/>
      <c r="N900" s="282" t="n"/>
      <c r="O900" s="282" t="n"/>
      <c r="P900" s="535" t="n"/>
      <c r="Q900" s="535" t="n"/>
      <c r="R900" s="282" t="n"/>
      <c r="S900" s="282" t="n"/>
      <c r="T900" s="535" t="n"/>
      <c r="U900" s="535" t="n"/>
      <c r="V900" s="282" t="n"/>
      <c r="W900" s="282" t="n"/>
      <c r="X900" s="536" t="n"/>
      <c r="Y900" s="536" t="n"/>
      <c r="Z900" s="282" t="n"/>
      <c r="AA900" s="282" t="n"/>
      <c r="AB900" s="536" t="n"/>
      <c r="AC900" s="536" t="n"/>
      <c r="AD900" s="282" t="n"/>
      <c r="AE900" s="282" t="n"/>
      <c r="AF900" s="537" t="n"/>
      <c r="AG900" s="537" t="n"/>
      <c r="AH900" s="282" t="n"/>
      <c r="AI900" s="282" t="n"/>
      <c r="AJ900" s="537" t="n"/>
      <c r="AK900" s="537" t="n"/>
      <c r="AL900" s="282" t="n"/>
      <c r="AM900" s="282" t="n"/>
      <c r="AN900" s="282" t="n"/>
      <c r="AO900" s="282" t="n"/>
      <c r="AP900" s="282" t="n"/>
      <c r="AQ900" s="282" t="n"/>
      <c r="AR900" s="535" t="n"/>
      <c r="AS900" s="535" t="n"/>
      <c r="AT900" s="282" t="n"/>
      <c r="AU900" s="282" t="n"/>
    </row>
    <row customHeight="1" ht="15.75" r="901" s="452" spans="1:48">
      <c r="A901" s="44" t="n"/>
      <c r="D901" s="535" t="n"/>
      <c r="E901" s="535" t="n"/>
      <c r="F901" s="282" t="n"/>
      <c r="G901" s="282" t="n"/>
      <c r="H901" s="536" t="n"/>
      <c r="I901" s="535" t="n"/>
      <c r="J901" s="282" t="n"/>
      <c r="K901" s="282" t="n"/>
      <c r="L901" s="536" t="n"/>
      <c r="M901" s="535" t="n"/>
      <c r="N901" s="282" t="n"/>
      <c r="O901" s="282" t="n"/>
      <c r="P901" s="535" t="n"/>
      <c r="Q901" s="535" t="n"/>
      <c r="R901" s="282" t="n"/>
      <c r="S901" s="282" t="n"/>
      <c r="T901" s="535" t="n"/>
      <c r="U901" s="535" t="n"/>
      <c r="V901" s="282" t="n"/>
      <c r="W901" s="282" t="n"/>
      <c r="X901" s="536" t="n"/>
      <c r="Y901" s="536" t="n"/>
      <c r="Z901" s="282" t="n"/>
      <c r="AA901" s="282" t="n"/>
      <c r="AB901" s="536" t="n"/>
      <c r="AC901" s="536" t="n"/>
      <c r="AD901" s="282" t="n"/>
      <c r="AE901" s="282" t="n"/>
      <c r="AF901" s="537" t="n"/>
      <c r="AG901" s="537" t="n"/>
      <c r="AH901" s="282" t="n"/>
      <c r="AI901" s="282" t="n"/>
      <c r="AJ901" s="537" t="n"/>
      <c r="AK901" s="537" t="n"/>
      <c r="AL901" s="282" t="n"/>
      <c r="AM901" s="282" t="n"/>
      <c r="AN901" s="282" t="n"/>
      <c r="AO901" s="282" t="n"/>
      <c r="AP901" s="282" t="n"/>
      <c r="AQ901" s="282" t="n"/>
      <c r="AR901" s="535" t="n"/>
      <c r="AS901" s="535" t="n"/>
      <c r="AT901" s="282" t="n"/>
      <c r="AU901" s="282" t="n"/>
    </row>
    <row customHeight="1" ht="15.75" r="902" s="452" spans="1:48">
      <c r="A902" s="44" t="n"/>
      <c r="D902" s="535" t="n"/>
      <c r="E902" s="535" t="n"/>
      <c r="F902" s="282" t="n"/>
      <c r="G902" s="282" t="n"/>
      <c r="H902" s="536" t="n"/>
      <c r="I902" s="535" t="n"/>
      <c r="J902" s="282" t="n"/>
      <c r="K902" s="282" t="n"/>
      <c r="L902" s="536" t="n"/>
      <c r="M902" s="535" t="n"/>
      <c r="N902" s="282" t="n"/>
      <c r="O902" s="282" t="n"/>
      <c r="P902" s="535" t="n"/>
      <c r="Q902" s="535" t="n"/>
      <c r="R902" s="282" t="n"/>
      <c r="S902" s="282" t="n"/>
      <c r="T902" s="535" t="n"/>
      <c r="U902" s="535" t="n"/>
      <c r="V902" s="282" t="n"/>
      <c r="W902" s="282" t="n"/>
      <c r="X902" s="536" t="n"/>
      <c r="Y902" s="536" t="n"/>
      <c r="Z902" s="282" t="n"/>
      <c r="AA902" s="282" t="n"/>
      <c r="AB902" s="536" t="n"/>
      <c r="AC902" s="536" t="n"/>
      <c r="AD902" s="282" t="n"/>
      <c r="AE902" s="282" t="n"/>
      <c r="AF902" s="537" t="n"/>
      <c r="AG902" s="537" t="n"/>
      <c r="AH902" s="282" t="n"/>
      <c r="AI902" s="282" t="n"/>
      <c r="AJ902" s="537" t="n"/>
      <c r="AK902" s="537" t="n"/>
      <c r="AL902" s="282" t="n"/>
      <c r="AM902" s="282" t="n"/>
      <c r="AN902" s="282" t="n"/>
      <c r="AO902" s="282" t="n"/>
      <c r="AP902" s="282" t="n"/>
      <c r="AQ902" s="282" t="n"/>
      <c r="AR902" s="535" t="n"/>
      <c r="AS902" s="535" t="n"/>
      <c r="AT902" s="282" t="n"/>
      <c r="AU902" s="282" t="n"/>
    </row>
    <row customHeight="1" ht="15.75" r="903" s="452" spans="1:48">
      <c r="A903" s="44" t="n"/>
      <c r="D903" s="535" t="n"/>
      <c r="E903" s="535" t="n"/>
      <c r="F903" s="282" t="n"/>
      <c r="G903" s="282" t="n"/>
      <c r="H903" s="536" t="n"/>
      <c r="I903" s="535" t="n"/>
      <c r="J903" s="282" t="n"/>
      <c r="K903" s="282" t="n"/>
      <c r="L903" s="536" t="n"/>
      <c r="M903" s="535" t="n"/>
      <c r="N903" s="282" t="n"/>
      <c r="O903" s="282" t="n"/>
      <c r="P903" s="535" t="n"/>
      <c r="Q903" s="535" t="n"/>
      <c r="R903" s="282" t="n"/>
      <c r="S903" s="282" t="n"/>
      <c r="T903" s="535" t="n"/>
      <c r="U903" s="535" t="n"/>
      <c r="V903" s="282" t="n"/>
      <c r="W903" s="282" t="n"/>
      <c r="X903" s="536" t="n"/>
      <c r="Y903" s="536" t="n"/>
      <c r="Z903" s="282" t="n"/>
      <c r="AA903" s="282" t="n"/>
      <c r="AB903" s="536" t="n"/>
      <c r="AC903" s="536" t="n"/>
      <c r="AD903" s="282" t="n"/>
      <c r="AE903" s="282" t="n"/>
      <c r="AF903" s="537" t="n"/>
      <c r="AG903" s="537" t="n"/>
      <c r="AH903" s="282" t="n"/>
      <c r="AI903" s="282" t="n"/>
      <c r="AJ903" s="537" t="n"/>
      <c r="AK903" s="537" t="n"/>
      <c r="AL903" s="282" t="n"/>
      <c r="AM903" s="282" t="n"/>
      <c r="AN903" s="282" t="n"/>
      <c r="AO903" s="282" t="n"/>
      <c r="AP903" s="282" t="n"/>
      <c r="AQ903" s="282" t="n"/>
      <c r="AR903" s="535" t="n"/>
      <c r="AS903" s="535" t="n"/>
      <c r="AT903" s="282" t="n"/>
      <c r="AU903" s="282" t="n"/>
    </row>
    <row customHeight="1" ht="15.75" r="904" s="452" spans="1:48">
      <c r="A904" s="44" t="n"/>
      <c r="D904" s="535" t="n"/>
      <c r="E904" s="535" t="n"/>
      <c r="F904" s="282" t="n"/>
      <c r="G904" s="282" t="n"/>
      <c r="H904" s="536" t="n"/>
      <c r="I904" s="535" t="n"/>
      <c r="J904" s="282" t="n"/>
      <c r="K904" s="282" t="n"/>
      <c r="L904" s="536" t="n"/>
      <c r="M904" s="535" t="n"/>
      <c r="N904" s="282" t="n"/>
      <c r="O904" s="282" t="n"/>
      <c r="P904" s="535" t="n"/>
      <c r="Q904" s="535" t="n"/>
      <c r="R904" s="282" t="n"/>
      <c r="S904" s="282" t="n"/>
      <c r="T904" s="535" t="n"/>
      <c r="U904" s="535" t="n"/>
      <c r="V904" s="282" t="n"/>
      <c r="W904" s="282" t="n"/>
      <c r="X904" s="536" t="n"/>
      <c r="Y904" s="536" t="n"/>
      <c r="Z904" s="282" t="n"/>
      <c r="AA904" s="282" t="n"/>
      <c r="AB904" s="536" t="n"/>
      <c r="AC904" s="536" t="n"/>
      <c r="AD904" s="282" t="n"/>
      <c r="AE904" s="282" t="n"/>
      <c r="AF904" s="537" t="n"/>
      <c r="AG904" s="537" t="n"/>
      <c r="AH904" s="282" t="n"/>
      <c r="AI904" s="282" t="n"/>
      <c r="AJ904" s="537" t="n"/>
      <c r="AK904" s="537" t="n"/>
      <c r="AL904" s="282" t="n"/>
      <c r="AM904" s="282" t="n"/>
      <c r="AN904" s="282" t="n"/>
      <c r="AO904" s="282" t="n"/>
      <c r="AP904" s="282" t="n"/>
      <c r="AQ904" s="282" t="n"/>
      <c r="AR904" s="535" t="n"/>
      <c r="AS904" s="535" t="n"/>
      <c r="AT904" s="282" t="n"/>
      <c r="AU904" s="282" t="n"/>
    </row>
    <row customHeight="1" ht="15.75" r="905" s="452" spans="1:48">
      <c r="A905" s="44" t="n"/>
      <c r="D905" s="535" t="n"/>
      <c r="E905" s="535" t="n"/>
      <c r="F905" s="282" t="n"/>
      <c r="G905" s="282" t="n"/>
      <c r="H905" s="536" t="n"/>
      <c r="I905" s="535" t="n"/>
      <c r="J905" s="282" t="n"/>
      <c r="K905" s="282" t="n"/>
      <c r="L905" s="536" t="n"/>
      <c r="M905" s="535" t="n"/>
      <c r="N905" s="282" t="n"/>
      <c r="O905" s="282" t="n"/>
      <c r="P905" s="535" t="n"/>
      <c r="Q905" s="535" t="n"/>
      <c r="R905" s="282" t="n"/>
      <c r="S905" s="282" t="n"/>
      <c r="T905" s="535" t="n"/>
      <c r="U905" s="535" t="n"/>
      <c r="V905" s="282" t="n"/>
      <c r="W905" s="282" t="n"/>
      <c r="X905" s="536" t="n"/>
      <c r="Y905" s="536" t="n"/>
      <c r="Z905" s="282" t="n"/>
      <c r="AA905" s="282" t="n"/>
      <c r="AB905" s="536" t="n"/>
      <c r="AC905" s="536" t="n"/>
      <c r="AD905" s="282" t="n"/>
      <c r="AE905" s="282" t="n"/>
      <c r="AF905" s="537" t="n"/>
      <c r="AG905" s="537" t="n"/>
      <c r="AH905" s="282" t="n"/>
      <c r="AI905" s="282" t="n"/>
      <c r="AJ905" s="537" t="n"/>
      <c r="AK905" s="537" t="n"/>
      <c r="AL905" s="282" t="n"/>
      <c r="AM905" s="282" t="n"/>
      <c r="AN905" s="282" t="n"/>
      <c r="AO905" s="282" t="n"/>
      <c r="AP905" s="282" t="n"/>
      <c r="AQ905" s="282" t="n"/>
      <c r="AR905" s="535" t="n"/>
      <c r="AS905" s="535" t="n"/>
      <c r="AT905" s="282" t="n"/>
      <c r="AU905" s="282" t="n"/>
    </row>
    <row customHeight="1" ht="15.75" r="906" s="452" spans="1:48">
      <c r="A906" s="44" t="n"/>
      <c r="D906" s="535" t="n"/>
      <c r="E906" s="535" t="n"/>
      <c r="F906" s="282" t="n"/>
      <c r="G906" s="282" t="n"/>
      <c r="H906" s="536" t="n"/>
      <c r="I906" s="535" t="n"/>
      <c r="J906" s="282" t="n"/>
      <c r="K906" s="282" t="n"/>
      <c r="L906" s="536" t="n"/>
      <c r="M906" s="535" t="n"/>
      <c r="N906" s="282" t="n"/>
      <c r="O906" s="282" t="n"/>
      <c r="P906" s="535" t="n"/>
      <c r="Q906" s="535" t="n"/>
      <c r="R906" s="282" t="n"/>
      <c r="S906" s="282" t="n"/>
      <c r="T906" s="535" t="n"/>
      <c r="U906" s="535" t="n"/>
      <c r="V906" s="282" t="n"/>
      <c r="W906" s="282" t="n"/>
      <c r="X906" s="536" t="n"/>
      <c r="Y906" s="536" t="n"/>
      <c r="Z906" s="282" t="n"/>
      <c r="AA906" s="282" t="n"/>
      <c r="AB906" s="536" t="n"/>
      <c r="AC906" s="536" t="n"/>
      <c r="AD906" s="282" t="n"/>
      <c r="AE906" s="282" t="n"/>
      <c r="AF906" s="537" t="n"/>
      <c r="AG906" s="537" t="n"/>
      <c r="AH906" s="282" t="n"/>
      <c r="AI906" s="282" t="n"/>
      <c r="AJ906" s="537" t="n"/>
      <c r="AK906" s="537" t="n"/>
      <c r="AL906" s="282" t="n"/>
      <c r="AM906" s="282" t="n"/>
      <c r="AN906" s="282" t="n"/>
      <c r="AO906" s="282" t="n"/>
      <c r="AP906" s="282" t="n"/>
      <c r="AQ906" s="282" t="n"/>
      <c r="AR906" s="535" t="n"/>
      <c r="AS906" s="535" t="n"/>
      <c r="AT906" s="282" t="n"/>
      <c r="AU906" s="282" t="n"/>
    </row>
    <row customHeight="1" ht="15.75" r="907" s="452" spans="1:48">
      <c r="A907" s="44" t="n"/>
      <c r="D907" s="535" t="n"/>
      <c r="E907" s="535" t="n"/>
      <c r="F907" s="282" t="n"/>
      <c r="G907" s="282" t="n"/>
      <c r="H907" s="536" t="n"/>
      <c r="I907" s="535" t="n"/>
      <c r="J907" s="282" t="n"/>
      <c r="K907" s="282" t="n"/>
      <c r="L907" s="536" t="n"/>
      <c r="M907" s="535" t="n"/>
      <c r="N907" s="282" t="n"/>
      <c r="O907" s="282" t="n"/>
      <c r="P907" s="535" t="n"/>
      <c r="Q907" s="535" t="n"/>
      <c r="R907" s="282" t="n"/>
      <c r="S907" s="282" t="n"/>
      <c r="T907" s="535" t="n"/>
      <c r="U907" s="535" t="n"/>
      <c r="V907" s="282" t="n"/>
      <c r="W907" s="282" t="n"/>
      <c r="X907" s="536" t="n"/>
      <c r="Y907" s="536" t="n"/>
      <c r="Z907" s="282" t="n"/>
      <c r="AA907" s="282" t="n"/>
      <c r="AB907" s="536" t="n"/>
      <c r="AC907" s="536" t="n"/>
      <c r="AD907" s="282" t="n"/>
      <c r="AE907" s="282" t="n"/>
      <c r="AF907" s="537" t="n"/>
      <c r="AG907" s="537" t="n"/>
      <c r="AH907" s="282" t="n"/>
      <c r="AI907" s="282" t="n"/>
      <c r="AJ907" s="537" t="n"/>
      <c r="AK907" s="537" t="n"/>
      <c r="AL907" s="282" t="n"/>
      <c r="AM907" s="282" t="n"/>
      <c r="AN907" s="282" t="n"/>
      <c r="AO907" s="282" t="n"/>
      <c r="AP907" s="282" t="n"/>
      <c r="AQ907" s="282" t="n"/>
      <c r="AR907" s="535" t="n"/>
      <c r="AS907" s="535" t="n"/>
      <c r="AT907" s="282" t="n"/>
      <c r="AU907" s="282" t="n"/>
    </row>
    <row customHeight="1" ht="15.75" r="908" s="452" spans="1:48">
      <c r="A908" s="44" t="n"/>
      <c r="D908" s="535" t="n"/>
      <c r="E908" s="535" t="n"/>
      <c r="F908" s="282" t="n"/>
      <c r="G908" s="282" t="n"/>
      <c r="H908" s="536" t="n"/>
      <c r="I908" s="535" t="n"/>
      <c r="J908" s="282" t="n"/>
      <c r="K908" s="282" t="n"/>
      <c r="L908" s="536" t="n"/>
      <c r="M908" s="535" t="n"/>
      <c r="N908" s="282" t="n"/>
      <c r="O908" s="282" t="n"/>
      <c r="P908" s="535" t="n"/>
      <c r="Q908" s="535" t="n"/>
      <c r="R908" s="282" t="n"/>
      <c r="S908" s="282" t="n"/>
      <c r="T908" s="535" t="n"/>
      <c r="U908" s="535" t="n"/>
      <c r="V908" s="282" t="n"/>
      <c r="W908" s="282" t="n"/>
      <c r="X908" s="536" t="n"/>
      <c r="Y908" s="536" t="n"/>
      <c r="Z908" s="282" t="n"/>
      <c r="AA908" s="282" t="n"/>
      <c r="AB908" s="536" t="n"/>
      <c r="AC908" s="536" t="n"/>
      <c r="AD908" s="282" t="n"/>
      <c r="AE908" s="282" t="n"/>
      <c r="AF908" s="537" t="n"/>
      <c r="AG908" s="537" t="n"/>
      <c r="AH908" s="282" t="n"/>
      <c r="AI908" s="282" t="n"/>
      <c r="AJ908" s="537" t="n"/>
      <c r="AK908" s="537" t="n"/>
      <c r="AL908" s="282" t="n"/>
      <c r="AM908" s="282" t="n"/>
      <c r="AN908" s="282" t="n"/>
      <c r="AO908" s="282" t="n"/>
      <c r="AP908" s="282" t="n"/>
      <c r="AQ908" s="282" t="n"/>
      <c r="AR908" s="535" t="n"/>
      <c r="AS908" s="535" t="n"/>
      <c r="AT908" s="282" t="n"/>
      <c r="AU908" s="282" t="n"/>
    </row>
    <row customHeight="1" ht="15.75" r="909" s="452" spans="1:48">
      <c r="A909" s="44" t="n"/>
      <c r="D909" s="535" t="n"/>
      <c r="E909" s="535" t="n"/>
      <c r="F909" s="282" t="n"/>
      <c r="G909" s="282" t="n"/>
      <c r="H909" s="536" t="n"/>
      <c r="I909" s="535" t="n"/>
      <c r="J909" s="282" t="n"/>
      <c r="K909" s="282" t="n"/>
      <c r="L909" s="536" t="n"/>
      <c r="M909" s="535" t="n"/>
      <c r="N909" s="282" t="n"/>
      <c r="O909" s="282" t="n"/>
      <c r="P909" s="535" t="n"/>
      <c r="Q909" s="535" t="n"/>
      <c r="R909" s="282" t="n"/>
      <c r="S909" s="282" t="n"/>
      <c r="T909" s="535" t="n"/>
      <c r="U909" s="535" t="n"/>
      <c r="V909" s="282" t="n"/>
      <c r="W909" s="282" t="n"/>
      <c r="X909" s="536" t="n"/>
      <c r="Y909" s="536" t="n"/>
      <c r="Z909" s="282" t="n"/>
      <c r="AA909" s="282" t="n"/>
      <c r="AB909" s="536" t="n"/>
      <c r="AC909" s="536" t="n"/>
      <c r="AD909" s="282" t="n"/>
      <c r="AE909" s="282" t="n"/>
      <c r="AF909" s="537" t="n"/>
      <c r="AG909" s="537" t="n"/>
      <c r="AH909" s="282" t="n"/>
      <c r="AI909" s="282" t="n"/>
      <c r="AJ909" s="537" t="n"/>
      <c r="AK909" s="537" t="n"/>
      <c r="AL909" s="282" t="n"/>
      <c r="AM909" s="282" t="n"/>
      <c r="AN909" s="282" t="n"/>
      <c r="AO909" s="282" t="n"/>
      <c r="AP909" s="282" t="n"/>
      <c r="AQ909" s="282" t="n"/>
      <c r="AR909" s="535" t="n"/>
      <c r="AS909" s="535" t="n"/>
      <c r="AT909" s="282" t="n"/>
      <c r="AU909" s="282" t="n"/>
    </row>
    <row customHeight="1" ht="15.75" r="910" s="452" spans="1:48">
      <c r="A910" s="44" t="n"/>
      <c r="D910" s="535" t="n"/>
      <c r="E910" s="535" t="n"/>
      <c r="F910" s="282" t="n"/>
      <c r="G910" s="282" t="n"/>
      <c r="H910" s="536" t="n"/>
      <c r="I910" s="535" t="n"/>
      <c r="J910" s="282" t="n"/>
      <c r="K910" s="282" t="n"/>
      <c r="L910" s="536" t="n"/>
      <c r="M910" s="535" t="n"/>
      <c r="N910" s="282" t="n"/>
      <c r="O910" s="282" t="n"/>
      <c r="P910" s="535" t="n"/>
      <c r="Q910" s="535" t="n"/>
      <c r="R910" s="282" t="n"/>
      <c r="S910" s="282" t="n"/>
      <c r="T910" s="535" t="n"/>
      <c r="U910" s="535" t="n"/>
      <c r="V910" s="282" t="n"/>
      <c r="W910" s="282" t="n"/>
      <c r="X910" s="536" t="n"/>
      <c r="Y910" s="536" t="n"/>
      <c r="Z910" s="282" t="n"/>
      <c r="AA910" s="282" t="n"/>
      <c r="AB910" s="536" t="n"/>
      <c r="AC910" s="536" t="n"/>
      <c r="AD910" s="282" t="n"/>
      <c r="AE910" s="282" t="n"/>
      <c r="AF910" s="537" t="n"/>
      <c r="AG910" s="537" t="n"/>
      <c r="AH910" s="282" t="n"/>
      <c r="AI910" s="282" t="n"/>
      <c r="AJ910" s="537" t="n"/>
      <c r="AK910" s="537" t="n"/>
      <c r="AL910" s="282" t="n"/>
      <c r="AM910" s="282" t="n"/>
      <c r="AN910" s="282" t="n"/>
      <c r="AO910" s="282" t="n"/>
      <c r="AP910" s="282" t="n"/>
      <c r="AQ910" s="282" t="n"/>
      <c r="AR910" s="535" t="n"/>
      <c r="AS910" s="535" t="n"/>
      <c r="AT910" s="282" t="n"/>
      <c r="AU910" s="282" t="n"/>
    </row>
    <row customHeight="1" ht="15.75" r="911" s="452" spans="1:48">
      <c r="A911" s="44" t="n"/>
      <c r="D911" s="535" t="n"/>
      <c r="E911" s="535" t="n"/>
      <c r="F911" s="282" t="n"/>
      <c r="G911" s="282" t="n"/>
      <c r="H911" s="536" t="n"/>
      <c r="I911" s="535" t="n"/>
      <c r="J911" s="282" t="n"/>
      <c r="K911" s="282" t="n"/>
      <c r="L911" s="536" t="n"/>
      <c r="M911" s="535" t="n"/>
      <c r="N911" s="282" t="n"/>
      <c r="O911" s="282" t="n"/>
      <c r="P911" s="535" t="n"/>
      <c r="Q911" s="535" t="n"/>
      <c r="R911" s="282" t="n"/>
      <c r="S911" s="282" t="n"/>
      <c r="T911" s="535" t="n"/>
      <c r="U911" s="535" t="n"/>
      <c r="V911" s="282" t="n"/>
      <c r="W911" s="282" t="n"/>
      <c r="X911" s="536" t="n"/>
      <c r="Y911" s="536" t="n"/>
      <c r="Z911" s="282" t="n"/>
      <c r="AA911" s="282" t="n"/>
      <c r="AB911" s="536" t="n"/>
      <c r="AC911" s="536" t="n"/>
      <c r="AD911" s="282" t="n"/>
      <c r="AE911" s="282" t="n"/>
      <c r="AF911" s="537" t="n"/>
      <c r="AG911" s="537" t="n"/>
      <c r="AH911" s="282" t="n"/>
      <c r="AI911" s="282" t="n"/>
      <c r="AJ911" s="537" t="n"/>
      <c r="AK911" s="537" t="n"/>
      <c r="AL911" s="282" t="n"/>
      <c r="AM911" s="282" t="n"/>
      <c r="AN911" s="282" t="n"/>
      <c r="AO911" s="282" t="n"/>
      <c r="AP911" s="282" t="n"/>
      <c r="AQ911" s="282" t="n"/>
      <c r="AR911" s="535" t="n"/>
      <c r="AS911" s="535" t="n"/>
      <c r="AT911" s="282" t="n"/>
      <c r="AU911" s="282" t="n"/>
    </row>
    <row customHeight="1" ht="15.75" r="912" s="452" spans="1:48">
      <c r="A912" s="44" t="n"/>
      <c r="D912" s="535" t="n"/>
      <c r="E912" s="535" t="n"/>
      <c r="F912" s="282" t="n"/>
      <c r="G912" s="282" t="n"/>
      <c r="H912" s="536" t="n"/>
      <c r="I912" s="535" t="n"/>
      <c r="J912" s="282" t="n"/>
      <c r="K912" s="282" t="n"/>
      <c r="L912" s="536" t="n"/>
      <c r="M912" s="535" t="n"/>
      <c r="N912" s="282" t="n"/>
      <c r="O912" s="282" t="n"/>
      <c r="P912" s="535" t="n"/>
      <c r="Q912" s="535" t="n"/>
      <c r="R912" s="282" t="n"/>
      <c r="S912" s="282" t="n"/>
      <c r="T912" s="535" t="n"/>
      <c r="U912" s="535" t="n"/>
      <c r="V912" s="282" t="n"/>
      <c r="W912" s="282" t="n"/>
      <c r="X912" s="536" t="n"/>
      <c r="Y912" s="536" t="n"/>
      <c r="Z912" s="282" t="n"/>
      <c r="AA912" s="282" t="n"/>
      <c r="AB912" s="536" t="n"/>
      <c r="AC912" s="536" t="n"/>
      <c r="AD912" s="282" t="n"/>
      <c r="AE912" s="282" t="n"/>
      <c r="AF912" s="537" t="n"/>
      <c r="AG912" s="537" t="n"/>
      <c r="AH912" s="282" t="n"/>
      <c r="AI912" s="282" t="n"/>
      <c r="AJ912" s="537" t="n"/>
      <c r="AK912" s="537" t="n"/>
      <c r="AL912" s="282" t="n"/>
      <c r="AM912" s="282" t="n"/>
      <c r="AN912" s="282" t="n"/>
      <c r="AO912" s="282" t="n"/>
      <c r="AP912" s="282" t="n"/>
      <c r="AQ912" s="282" t="n"/>
      <c r="AR912" s="535" t="n"/>
      <c r="AS912" s="535" t="n"/>
      <c r="AT912" s="282" t="n"/>
      <c r="AU912" s="282" t="n"/>
    </row>
    <row customHeight="1" ht="15.75" r="913" s="452" spans="1:48">
      <c r="A913" s="44" t="n"/>
      <c r="D913" s="535" t="n"/>
      <c r="E913" s="535" t="n"/>
      <c r="F913" s="282" t="n"/>
      <c r="G913" s="282" t="n"/>
      <c r="H913" s="536" t="n"/>
      <c r="I913" s="535" t="n"/>
      <c r="J913" s="282" t="n"/>
      <c r="K913" s="282" t="n"/>
      <c r="L913" s="536" t="n"/>
      <c r="M913" s="535" t="n"/>
      <c r="N913" s="282" t="n"/>
      <c r="O913" s="282" t="n"/>
      <c r="P913" s="535" t="n"/>
      <c r="Q913" s="535" t="n"/>
      <c r="R913" s="282" t="n"/>
      <c r="S913" s="282" t="n"/>
      <c r="T913" s="535" t="n"/>
      <c r="U913" s="535" t="n"/>
      <c r="V913" s="282" t="n"/>
      <c r="W913" s="282" t="n"/>
      <c r="X913" s="536" t="n"/>
      <c r="Y913" s="536" t="n"/>
      <c r="Z913" s="282" t="n"/>
      <c r="AA913" s="282" t="n"/>
      <c r="AB913" s="536" t="n"/>
      <c r="AC913" s="536" t="n"/>
      <c r="AD913" s="282" t="n"/>
      <c r="AE913" s="282" t="n"/>
      <c r="AF913" s="537" t="n"/>
      <c r="AG913" s="537" t="n"/>
      <c r="AH913" s="282" t="n"/>
      <c r="AI913" s="282" t="n"/>
      <c r="AJ913" s="537" t="n"/>
      <c r="AK913" s="537" t="n"/>
      <c r="AL913" s="282" t="n"/>
      <c r="AM913" s="282" t="n"/>
      <c r="AN913" s="282" t="n"/>
      <c r="AO913" s="282" t="n"/>
      <c r="AP913" s="282" t="n"/>
      <c r="AQ913" s="282" t="n"/>
      <c r="AR913" s="535" t="n"/>
      <c r="AS913" s="535" t="n"/>
      <c r="AT913" s="282" t="n"/>
      <c r="AU913" s="282" t="n"/>
    </row>
    <row customHeight="1" ht="15.75" r="914" s="452" spans="1:48">
      <c r="A914" s="44" t="n"/>
      <c r="D914" s="535" t="n"/>
      <c r="E914" s="535" t="n"/>
      <c r="F914" s="282" t="n"/>
      <c r="G914" s="282" t="n"/>
      <c r="H914" s="536" t="n"/>
      <c r="I914" s="535" t="n"/>
      <c r="J914" s="282" t="n"/>
      <c r="K914" s="282" t="n"/>
      <c r="L914" s="536" t="n"/>
      <c r="M914" s="535" t="n"/>
      <c r="N914" s="282" t="n"/>
      <c r="O914" s="282" t="n"/>
      <c r="P914" s="535" t="n"/>
      <c r="Q914" s="535" t="n"/>
      <c r="R914" s="282" t="n"/>
      <c r="S914" s="282" t="n"/>
      <c r="T914" s="535" t="n"/>
      <c r="U914" s="535" t="n"/>
      <c r="V914" s="282" t="n"/>
      <c r="W914" s="282" t="n"/>
      <c r="X914" s="536" t="n"/>
      <c r="Y914" s="536" t="n"/>
      <c r="Z914" s="282" t="n"/>
      <c r="AA914" s="282" t="n"/>
      <c r="AB914" s="536" t="n"/>
      <c r="AC914" s="536" t="n"/>
      <c r="AD914" s="282" t="n"/>
      <c r="AE914" s="282" t="n"/>
      <c r="AF914" s="537" t="n"/>
      <c r="AG914" s="537" t="n"/>
      <c r="AH914" s="282" t="n"/>
      <c r="AI914" s="282" t="n"/>
      <c r="AJ914" s="537" t="n"/>
      <c r="AK914" s="537" t="n"/>
      <c r="AL914" s="282" t="n"/>
      <c r="AM914" s="282" t="n"/>
      <c r="AN914" s="282" t="n"/>
      <c r="AO914" s="282" t="n"/>
      <c r="AP914" s="282" t="n"/>
      <c r="AQ914" s="282" t="n"/>
      <c r="AR914" s="535" t="n"/>
      <c r="AS914" s="535" t="n"/>
      <c r="AT914" s="282" t="n"/>
      <c r="AU914" s="282" t="n"/>
    </row>
    <row customHeight="1" ht="15.75" r="915" s="452" spans="1:48">
      <c r="A915" s="44" t="n"/>
      <c r="D915" s="535" t="n"/>
      <c r="E915" s="535" t="n"/>
      <c r="F915" s="282" t="n"/>
      <c r="G915" s="282" t="n"/>
      <c r="H915" s="536" t="n"/>
      <c r="I915" s="535" t="n"/>
      <c r="J915" s="282" t="n"/>
      <c r="K915" s="282" t="n"/>
      <c r="L915" s="536" t="n"/>
      <c r="M915" s="535" t="n"/>
      <c r="N915" s="282" t="n"/>
      <c r="O915" s="282" t="n"/>
      <c r="P915" s="535" t="n"/>
      <c r="Q915" s="535" t="n"/>
      <c r="R915" s="282" t="n"/>
      <c r="S915" s="282" t="n"/>
      <c r="T915" s="535" t="n"/>
      <c r="U915" s="535" t="n"/>
      <c r="V915" s="282" t="n"/>
      <c r="W915" s="282" t="n"/>
      <c r="X915" s="536" t="n"/>
      <c r="Y915" s="536" t="n"/>
      <c r="Z915" s="282" t="n"/>
      <c r="AA915" s="282" t="n"/>
      <c r="AB915" s="536" t="n"/>
      <c r="AC915" s="536" t="n"/>
      <c r="AD915" s="282" t="n"/>
      <c r="AE915" s="282" t="n"/>
      <c r="AF915" s="537" t="n"/>
      <c r="AG915" s="537" t="n"/>
      <c r="AH915" s="282" t="n"/>
      <c r="AI915" s="282" t="n"/>
      <c r="AJ915" s="537" t="n"/>
      <c r="AK915" s="537" t="n"/>
      <c r="AL915" s="282" t="n"/>
      <c r="AM915" s="282" t="n"/>
      <c r="AN915" s="282" t="n"/>
      <c r="AO915" s="282" t="n"/>
      <c r="AP915" s="282" t="n"/>
      <c r="AQ915" s="282" t="n"/>
      <c r="AR915" s="535" t="n"/>
      <c r="AS915" s="535" t="n"/>
      <c r="AT915" s="282" t="n"/>
      <c r="AU915" s="282" t="n"/>
    </row>
    <row customHeight="1" ht="15.75" r="916" s="452" spans="1:48">
      <c r="A916" s="44" t="n"/>
      <c r="D916" s="535" t="n"/>
      <c r="E916" s="535" t="n"/>
      <c r="F916" s="282" t="n"/>
      <c r="G916" s="282" t="n"/>
      <c r="H916" s="536" t="n"/>
      <c r="I916" s="535" t="n"/>
      <c r="J916" s="282" t="n"/>
      <c r="K916" s="282" t="n"/>
      <c r="L916" s="536" t="n"/>
      <c r="M916" s="535" t="n"/>
      <c r="N916" s="282" t="n"/>
      <c r="O916" s="282" t="n"/>
      <c r="P916" s="535" t="n"/>
      <c r="Q916" s="535" t="n"/>
      <c r="R916" s="282" t="n"/>
      <c r="S916" s="282" t="n"/>
      <c r="T916" s="535" t="n"/>
      <c r="U916" s="535" t="n"/>
      <c r="V916" s="282" t="n"/>
      <c r="W916" s="282" t="n"/>
      <c r="X916" s="536" t="n"/>
      <c r="Y916" s="536" t="n"/>
      <c r="Z916" s="282" t="n"/>
      <c r="AA916" s="282" t="n"/>
      <c r="AB916" s="536" t="n"/>
      <c r="AC916" s="536" t="n"/>
      <c r="AD916" s="282" t="n"/>
      <c r="AE916" s="282" t="n"/>
      <c r="AF916" s="537" t="n"/>
      <c r="AG916" s="537" t="n"/>
      <c r="AH916" s="282" t="n"/>
      <c r="AI916" s="282" t="n"/>
      <c r="AJ916" s="537" t="n"/>
      <c r="AK916" s="537" t="n"/>
      <c r="AL916" s="282" t="n"/>
      <c r="AM916" s="282" t="n"/>
      <c r="AN916" s="282" t="n"/>
      <c r="AO916" s="282" t="n"/>
      <c r="AP916" s="282" t="n"/>
      <c r="AQ916" s="282" t="n"/>
      <c r="AR916" s="535" t="n"/>
      <c r="AS916" s="535" t="n"/>
      <c r="AT916" s="282" t="n"/>
      <c r="AU916" s="282" t="n"/>
    </row>
    <row customHeight="1" ht="15.75" r="917" s="452" spans="1:48">
      <c r="A917" s="44" t="n"/>
      <c r="D917" s="535" t="n"/>
      <c r="E917" s="535" t="n"/>
      <c r="F917" s="282" t="n"/>
      <c r="G917" s="282" t="n"/>
      <c r="H917" s="536" t="n"/>
      <c r="I917" s="535" t="n"/>
      <c r="J917" s="282" t="n"/>
      <c r="K917" s="282" t="n"/>
      <c r="L917" s="536" t="n"/>
      <c r="M917" s="535" t="n"/>
      <c r="N917" s="282" t="n"/>
      <c r="O917" s="282" t="n"/>
      <c r="P917" s="535" t="n"/>
      <c r="Q917" s="535" t="n"/>
      <c r="R917" s="282" t="n"/>
      <c r="S917" s="282" t="n"/>
      <c r="T917" s="535" t="n"/>
      <c r="U917" s="535" t="n"/>
      <c r="V917" s="282" t="n"/>
      <c r="W917" s="282" t="n"/>
      <c r="X917" s="536" t="n"/>
      <c r="Y917" s="536" t="n"/>
      <c r="Z917" s="282" t="n"/>
      <c r="AA917" s="282" t="n"/>
      <c r="AB917" s="536" t="n"/>
      <c r="AC917" s="536" t="n"/>
      <c r="AD917" s="282" t="n"/>
      <c r="AE917" s="282" t="n"/>
      <c r="AF917" s="537" t="n"/>
      <c r="AG917" s="537" t="n"/>
      <c r="AH917" s="282" t="n"/>
      <c r="AI917" s="282" t="n"/>
      <c r="AJ917" s="537" t="n"/>
      <c r="AK917" s="537" t="n"/>
      <c r="AL917" s="282" t="n"/>
      <c r="AM917" s="282" t="n"/>
      <c r="AN917" s="282" t="n"/>
      <c r="AO917" s="282" t="n"/>
      <c r="AP917" s="282" t="n"/>
      <c r="AQ917" s="282" t="n"/>
      <c r="AR917" s="535" t="n"/>
      <c r="AS917" s="535" t="n"/>
      <c r="AT917" s="282" t="n"/>
      <c r="AU917" s="282" t="n"/>
    </row>
    <row customHeight="1" ht="15.75" r="918" s="452" spans="1:48">
      <c r="A918" s="44" t="n"/>
      <c r="D918" s="535" t="n"/>
      <c r="E918" s="535" t="n"/>
      <c r="F918" s="282" t="n"/>
      <c r="G918" s="282" t="n"/>
      <c r="H918" s="536" t="n"/>
      <c r="I918" s="535" t="n"/>
      <c r="J918" s="282" t="n"/>
      <c r="K918" s="282" t="n"/>
      <c r="L918" s="536" t="n"/>
      <c r="M918" s="535" t="n"/>
      <c r="N918" s="282" t="n"/>
      <c r="O918" s="282" t="n"/>
      <c r="P918" s="535" t="n"/>
      <c r="Q918" s="535" t="n"/>
      <c r="R918" s="282" t="n"/>
      <c r="S918" s="282" t="n"/>
      <c r="T918" s="535" t="n"/>
      <c r="U918" s="535" t="n"/>
      <c r="V918" s="282" t="n"/>
      <c r="W918" s="282" t="n"/>
      <c r="X918" s="536" t="n"/>
      <c r="Y918" s="536" t="n"/>
      <c r="Z918" s="282" t="n"/>
      <c r="AA918" s="282" t="n"/>
      <c r="AB918" s="536" t="n"/>
      <c r="AC918" s="536" t="n"/>
      <c r="AD918" s="282" t="n"/>
      <c r="AE918" s="282" t="n"/>
      <c r="AF918" s="537" t="n"/>
      <c r="AG918" s="537" t="n"/>
      <c r="AH918" s="282" t="n"/>
      <c r="AI918" s="282" t="n"/>
      <c r="AJ918" s="537" t="n"/>
      <c r="AK918" s="537" t="n"/>
      <c r="AL918" s="282" t="n"/>
      <c r="AM918" s="282" t="n"/>
      <c r="AN918" s="282" t="n"/>
      <c r="AO918" s="282" t="n"/>
      <c r="AP918" s="282" t="n"/>
      <c r="AQ918" s="282" t="n"/>
      <c r="AR918" s="535" t="n"/>
      <c r="AS918" s="535" t="n"/>
      <c r="AT918" s="282" t="n"/>
      <c r="AU918" s="282" t="n"/>
    </row>
    <row customHeight="1" ht="15.75" r="919" s="452" spans="1:48">
      <c r="A919" s="44" t="n"/>
      <c r="D919" s="535" t="n"/>
      <c r="E919" s="535" t="n"/>
      <c r="F919" s="282" t="n"/>
      <c r="G919" s="282" t="n"/>
      <c r="H919" s="536" t="n"/>
      <c r="I919" s="535" t="n"/>
      <c r="J919" s="282" t="n"/>
      <c r="K919" s="282" t="n"/>
      <c r="L919" s="536" t="n"/>
      <c r="M919" s="535" t="n"/>
      <c r="N919" s="282" t="n"/>
      <c r="O919" s="282" t="n"/>
      <c r="P919" s="535" t="n"/>
      <c r="Q919" s="535" t="n"/>
      <c r="R919" s="282" t="n"/>
      <c r="S919" s="282" t="n"/>
      <c r="T919" s="535" t="n"/>
      <c r="U919" s="535" t="n"/>
      <c r="V919" s="282" t="n"/>
      <c r="W919" s="282" t="n"/>
      <c r="X919" s="536" t="n"/>
      <c r="Y919" s="536" t="n"/>
      <c r="Z919" s="282" t="n"/>
      <c r="AA919" s="282" t="n"/>
      <c r="AB919" s="536" t="n"/>
      <c r="AC919" s="536" t="n"/>
      <c r="AD919" s="282" t="n"/>
      <c r="AE919" s="282" t="n"/>
      <c r="AF919" s="537" t="n"/>
      <c r="AG919" s="537" t="n"/>
      <c r="AH919" s="282" t="n"/>
      <c r="AI919" s="282" t="n"/>
      <c r="AJ919" s="537" t="n"/>
      <c r="AK919" s="537" t="n"/>
      <c r="AL919" s="282" t="n"/>
      <c r="AM919" s="282" t="n"/>
      <c r="AN919" s="282" t="n"/>
      <c r="AO919" s="282" t="n"/>
      <c r="AP919" s="282" t="n"/>
      <c r="AQ919" s="282" t="n"/>
      <c r="AR919" s="535" t="n"/>
      <c r="AS919" s="535" t="n"/>
      <c r="AT919" s="282" t="n"/>
      <c r="AU919" s="282" t="n"/>
    </row>
    <row customHeight="1" ht="15.75" r="920" s="452" spans="1:48">
      <c r="A920" s="44" t="n"/>
      <c r="D920" s="535" t="n"/>
      <c r="E920" s="535" t="n"/>
      <c r="F920" s="282" t="n"/>
      <c r="G920" s="282" t="n"/>
      <c r="H920" s="536" t="n"/>
      <c r="I920" s="535" t="n"/>
      <c r="J920" s="282" t="n"/>
      <c r="K920" s="282" t="n"/>
      <c r="L920" s="536" t="n"/>
      <c r="M920" s="535" t="n"/>
      <c r="N920" s="282" t="n"/>
      <c r="O920" s="282" t="n"/>
      <c r="P920" s="535" t="n"/>
      <c r="Q920" s="535" t="n"/>
      <c r="R920" s="282" t="n"/>
      <c r="S920" s="282" t="n"/>
      <c r="T920" s="535" t="n"/>
      <c r="U920" s="535" t="n"/>
      <c r="V920" s="282" t="n"/>
      <c r="W920" s="282" t="n"/>
      <c r="X920" s="536" t="n"/>
      <c r="Y920" s="536" t="n"/>
      <c r="Z920" s="282" t="n"/>
      <c r="AA920" s="282" t="n"/>
      <c r="AB920" s="536" t="n"/>
      <c r="AC920" s="536" t="n"/>
      <c r="AD920" s="282" t="n"/>
      <c r="AE920" s="282" t="n"/>
      <c r="AF920" s="537" t="n"/>
      <c r="AG920" s="537" t="n"/>
      <c r="AH920" s="282" t="n"/>
      <c r="AI920" s="282" t="n"/>
      <c r="AJ920" s="537" t="n"/>
      <c r="AK920" s="537" t="n"/>
      <c r="AL920" s="282" t="n"/>
      <c r="AM920" s="282" t="n"/>
      <c r="AN920" s="282" t="n"/>
      <c r="AO920" s="282" t="n"/>
      <c r="AP920" s="282" t="n"/>
      <c r="AQ920" s="282" t="n"/>
      <c r="AR920" s="535" t="n"/>
      <c r="AS920" s="535" t="n"/>
      <c r="AT920" s="282" t="n"/>
      <c r="AU920" s="282" t="n"/>
    </row>
    <row customHeight="1" ht="15.75" r="921" s="452" spans="1:48">
      <c r="A921" s="44" t="n"/>
      <c r="D921" s="535" t="n"/>
      <c r="E921" s="535" t="n"/>
      <c r="F921" s="282" t="n"/>
      <c r="G921" s="282" t="n"/>
      <c r="H921" s="536" t="n"/>
      <c r="I921" s="535" t="n"/>
      <c r="J921" s="282" t="n"/>
      <c r="K921" s="282" t="n"/>
      <c r="L921" s="536" t="n"/>
      <c r="M921" s="535" t="n"/>
      <c r="N921" s="282" t="n"/>
      <c r="O921" s="282" t="n"/>
      <c r="P921" s="535" t="n"/>
      <c r="Q921" s="535" t="n"/>
      <c r="R921" s="282" t="n"/>
      <c r="S921" s="282" t="n"/>
      <c r="T921" s="535" t="n"/>
      <c r="U921" s="535" t="n"/>
      <c r="V921" s="282" t="n"/>
      <c r="W921" s="282" t="n"/>
      <c r="X921" s="536" t="n"/>
      <c r="Y921" s="536" t="n"/>
      <c r="Z921" s="282" t="n"/>
      <c r="AA921" s="282" t="n"/>
      <c r="AB921" s="536" t="n"/>
      <c r="AC921" s="536" t="n"/>
      <c r="AD921" s="282" t="n"/>
      <c r="AE921" s="282" t="n"/>
      <c r="AF921" s="537" t="n"/>
      <c r="AG921" s="537" t="n"/>
      <c r="AH921" s="282" t="n"/>
      <c r="AI921" s="282" t="n"/>
      <c r="AJ921" s="537" t="n"/>
      <c r="AK921" s="537" t="n"/>
      <c r="AL921" s="282" t="n"/>
      <c r="AM921" s="282" t="n"/>
      <c r="AN921" s="282" t="n"/>
      <c r="AO921" s="282" t="n"/>
      <c r="AP921" s="282" t="n"/>
      <c r="AQ921" s="282" t="n"/>
      <c r="AR921" s="535" t="n"/>
      <c r="AS921" s="535" t="n"/>
      <c r="AT921" s="282" t="n"/>
      <c r="AU921" s="282" t="n"/>
    </row>
    <row customHeight="1" ht="15.75" r="922" s="452" spans="1:48">
      <c r="A922" s="44" t="n"/>
      <c r="D922" s="535" t="n"/>
      <c r="E922" s="535" t="n"/>
      <c r="F922" s="282" t="n"/>
      <c r="G922" s="282" t="n"/>
      <c r="H922" s="536" t="n"/>
      <c r="I922" s="535" t="n"/>
      <c r="J922" s="282" t="n"/>
      <c r="K922" s="282" t="n"/>
      <c r="L922" s="536" t="n"/>
      <c r="M922" s="535" t="n"/>
      <c r="N922" s="282" t="n"/>
      <c r="O922" s="282" t="n"/>
      <c r="P922" s="535" t="n"/>
      <c r="Q922" s="535" t="n"/>
      <c r="R922" s="282" t="n"/>
      <c r="S922" s="282" t="n"/>
      <c r="T922" s="535" t="n"/>
      <c r="U922" s="535" t="n"/>
      <c r="V922" s="282" t="n"/>
      <c r="W922" s="282" t="n"/>
      <c r="X922" s="536" t="n"/>
      <c r="Y922" s="536" t="n"/>
      <c r="Z922" s="282" t="n"/>
      <c r="AA922" s="282" t="n"/>
      <c r="AB922" s="536" t="n"/>
      <c r="AC922" s="536" t="n"/>
      <c r="AD922" s="282" t="n"/>
      <c r="AE922" s="282" t="n"/>
      <c r="AF922" s="537" t="n"/>
      <c r="AG922" s="537" t="n"/>
      <c r="AH922" s="282" t="n"/>
      <c r="AI922" s="282" t="n"/>
      <c r="AJ922" s="537" t="n"/>
      <c r="AK922" s="537" t="n"/>
      <c r="AL922" s="282" t="n"/>
      <c r="AM922" s="282" t="n"/>
      <c r="AN922" s="282" t="n"/>
      <c r="AO922" s="282" t="n"/>
      <c r="AP922" s="282" t="n"/>
      <c r="AQ922" s="282" t="n"/>
      <c r="AR922" s="535" t="n"/>
      <c r="AS922" s="535" t="n"/>
      <c r="AT922" s="282" t="n"/>
      <c r="AU922" s="282" t="n"/>
    </row>
    <row customHeight="1" ht="15.75" r="923" s="452" spans="1:48">
      <c r="A923" s="44" t="n"/>
      <c r="D923" s="535" t="n"/>
      <c r="E923" s="535" t="n"/>
      <c r="F923" s="282" t="n"/>
      <c r="G923" s="282" t="n"/>
      <c r="H923" s="536" t="n"/>
      <c r="I923" s="535" t="n"/>
      <c r="J923" s="282" t="n"/>
      <c r="K923" s="282" t="n"/>
      <c r="L923" s="536" t="n"/>
      <c r="M923" s="535" t="n"/>
      <c r="N923" s="282" t="n"/>
      <c r="O923" s="282" t="n"/>
      <c r="P923" s="535" t="n"/>
      <c r="Q923" s="535" t="n"/>
      <c r="R923" s="282" t="n"/>
      <c r="S923" s="282" t="n"/>
      <c r="T923" s="535" t="n"/>
      <c r="U923" s="535" t="n"/>
      <c r="V923" s="282" t="n"/>
      <c r="W923" s="282" t="n"/>
      <c r="X923" s="536" t="n"/>
      <c r="Y923" s="536" t="n"/>
      <c r="Z923" s="282" t="n"/>
      <c r="AA923" s="282" t="n"/>
      <c r="AB923" s="536" t="n"/>
      <c r="AC923" s="536" t="n"/>
      <c r="AD923" s="282" t="n"/>
      <c r="AE923" s="282" t="n"/>
      <c r="AF923" s="537" t="n"/>
      <c r="AG923" s="537" t="n"/>
      <c r="AH923" s="282" t="n"/>
      <c r="AI923" s="282" t="n"/>
      <c r="AJ923" s="537" t="n"/>
      <c r="AK923" s="537" t="n"/>
      <c r="AL923" s="282" t="n"/>
      <c r="AM923" s="282" t="n"/>
      <c r="AN923" s="282" t="n"/>
      <c r="AO923" s="282" t="n"/>
      <c r="AP923" s="282" t="n"/>
      <c r="AQ923" s="282" t="n"/>
      <c r="AR923" s="535" t="n"/>
      <c r="AS923" s="535" t="n"/>
      <c r="AT923" s="282" t="n"/>
      <c r="AU923" s="282" t="n"/>
    </row>
    <row customHeight="1" ht="15.75" r="924" s="452" spans="1:48">
      <c r="A924" s="44" t="n"/>
      <c r="D924" s="535" t="n"/>
      <c r="E924" s="535" t="n"/>
      <c r="F924" s="282" t="n"/>
      <c r="G924" s="282" t="n"/>
      <c r="H924" s="536" t="n"/>
      <c r="I924" s="535" t="n"/>
      <c r="J924" s="282" t="n"/>
      <c r="K924" s="282" t="n"/>
      <c r="L924" s="536" t="n"/>
      <c r="M924" s="535" t="n"/>
      <c r="N924" s="282" t="n"/>
      <c r="O924" s="282" t="n"/>
      <c r="P924" s="535" t="n"/>
      <c r="Q924" s="535" t="n"/>
      <c r="R924" s="282" t="n"/>
      <c r="S924" s="282" t="n"/>
      <c r="T924" s="535" t="n"/>
      <c r="U924" s="535" t="n"/>
      <c r="V924" s="282" t="n"/>
      <c r="W924" s="282" t="n"/>
      <c r="X924" s="536" t="n"/>
      <c r="Y924" s="536" t="n"/>
      <c r="Z924" s="282" t="n"/>
      <c r="AA924" s="282" t="n"/>
      <c r="AB924" s="536" t="n"/>
      <c r="AC924" s="536" t="n"/>
      <c r="AD924" s="282" t="n"/>
      <c r="AE924" s="282" t="n"/>
      <c r="AF924" s="537" t="n"/>
      <c r="AG924" s="537" t="n"/>
      <c r="AH924" s="282" t="n"/>
      <c r="AI924" s="282" t="n"/>
      <c r="AJ924" s="537" t="n"/>
      <c r="AK924" s="537" t="n"/>
      <c r="AL924" s="282" t="n"/>
      <c r="AM924" s="282" t="n"/>
      <c r="AN924" s="282" t="n"/>
      <c r="AO924" s="282" t="n"/>
      <c r="AP924" s="282" t="n"/>
      <c r="AQ924" s="282" t="n"/>
      <c r="AR924" s="535" t="n"/>
      <c r="AS924" s="535" t="n"/>
      <c r="AT924" s="282" t="n"/>
      <c r="AU924" s="282" t="n"/>
    </row>
    <row customHeight="1" ht="15.75" r="925" s="452" spans="1:48">
      <c r="A925" s="44" t="n"/>
      <c r="D925" s="535" t="n"/>
      <c r="E925" s="535" t="n"/>
      <c r="F925" s="282" t="n"/>
      <c r="G925" s="282" t="n"/>
      <c r="H925" s="536" t="n"/>
      <c r="I925" s="535" t="n"/>
      <c r="J925" s="282" t="n"/>
      <c r="K925" s="282" t="n"/>
      <c r="L925" s="536" t="n"/>
      <c r="M925" s="535" t="n"/>
      <c r="N925" s="282" t="n"/>
      <c r="O925" s="282" t="n"/>
      <c r="P925" s="535" t="n"/>
      <c r="Q925" s="535" t="n"/>
      <c r="R925" s="282" t="n"/>
      <c r="S925" s="282" t="n"/>
      <c r="T925" s="535" t="n"/>
      <c r="U925" s="535" t="n"/>
      <c r="V925" s="282" t="n"/>
      <c r="W925" s="282" t="n"/>
      <c r="X925" s="536" t="n"/>
      <c r="Y925" s="536" t="n"/>
      <c r="Z925" s="282" t="n"/>
      <c r="AA925" s="282" t="n"/>
      <c r="AB925" s="536" t="n"/>
      <c r="AC925" s="536" t="n"/>
      <c r="AD925" s="282" t="n"/>
      <c r="AE925" s="282" t="n"/>
      <c r="AF925" s="537" t="n"/>
      <c r="AG925" s="537" t="n"/>
      <c r="AH925" s="282" t="n"/>
      <c r="AI925" s="282" t="n"/>
      <c r="AJ925" s="537" t="n"/>
      <c r="AK925" s="537" t="n"/>
      <c r="AL925" s="282" t="n"/>
      <c r="AM925" s="282" t="n"/>
      <c r="AN925" s="282" t="n"/>
      <c r="AO925" s="282" t="n"/>
      <c r="AP925" s="282" t="n"/>
      <c r="AQ925" s="282" t="n"/>
      <c r="AR925" s="535" t="n"/>
      <c r="AS925" s="535" t="n"/>
      <c r="AT925" s="282" t="n"/>
      <c r="AU925" s="282" t="n"/>
    </row>
    <row customHeight="1" ht="15.75" r="926" s="452" spans="1:48">
      <c r="A926" s="44" t="n"/>
      <c r="D926" s="535" t="n"/>
      <c r="E926" s="535" t="n"/>
      <c r="F926" s="282" t="n"/>
      <c r="G926" s="282" t="n"/>
      <c r="H926" s="536" t="n"/>
      <c r="I926" s="535" t="n"/>
      <c r="J926" s="282" t="n"/>
      <c r="K926" s="282" t="n"/>
      <c r="L926" s="536" t="n"/>
      <c r="M926" s="535" t="n"/>
      <c r="N926" s="282" t="n"/>
      <c r="O926" s="282" t="n"/>
      <c r="P926" s="535" t="n"/>
      <c r="Q926" s="535" t="n"/>
      <c r="R926" s="282" t="n"/>
      <c r="S926" s="282" t="n"/>
      <c r="T926" s="535" t="n"/>
      <c r="U926" s="535" t="n"/>
      <c r="V926" s="282" t="n"/>
      <c r="W926" s="282" t="n"/>
      <c r="X926" s="536" t="n"/>
      <c r="Y926" s="536" t="n"/>
      <c r="Z926" s="282" t="n"/>
      <c r="AA926" s="282" t="n"/>
      <c r="AB926" s="536" t="n"/>
      <c r="AC926" s="536" t="n"/>
      <c r="AD926" s="282" t="n"/>
      <c r="AE926" s="282" t="n"/>
      <c r="AF926" s="537" t="n"/>
      <c r="AG926" s="537" t="n"/>
      <c r="AH926" s="282" t="n"/>
      <c r="AI926" s="282" t="n"/>
      <c r="AJ926" s="537" t="n"/>
      <c r="AK926" s="537" t="n"/>
      <c r="AL926" s="282" t="n"/>
      <c r="AM926" s="282" t="n"/>
      <c r="AN926" s="282" t="n"/>
      <c r="AO926" s="282" t="n"/>
      <c r="AP926" s="282" t="n"/>
      <c r="AQ926" s="282" t="n"/>
      <c r="AR926" s="535" t="n"/>
      <c r="AS926" s="535" t="n"/>
      <c r="AT926" s="282" t="n"/>
      <c r="AU926" s="282" t="n"/>
    </row>
    <row customHeight="1" ht="15.75" r="927" s="452" spans="1:48">
      <c r="A927" s="44" t="n"/>
      <c r="D927" s="535" t="n"/>
      <c r="E927" s="535" t="n"/>
      <c r="F927" s="282" t="n"/>
      <c r="G927" s="282" t="n"/>
      <c r="H927" s="536" t="n"/>
      <c r="I927" s="535" t="n"/>
      <c r="J927" s="282" t="n"/>
      <c r="K927" s="282" t="n"/>
      <c r="L927" s="536" t="n"/>
      <c r="M927" s="535" t="n"/>
      <c r="N927" s="282" t="n"/>
      <c r="O927" s="282" t="n"/>
      <c r="P927" s="535" t="n"/>
      <c r="Q927" s="535" t="n"/>
      <c r="R927" s="282" t="n"/>
      <c r="S927" s="282" t="n"/>
      <c r="T927" s="535" t="n"/>
      <c r="U927" s="535" t="n"/>
      <c r="V927" s="282" t="n"/>
      <c r="W927" s="282" t="n"/>
      <c r="X927" s="536" t="n"/>
      <c r="Y927" s="536" t="n"/>
      <c r="Z927" s="282" t="n"/>
      <c r="AA927" s="282" t="n"/>
      <c r="AB927" s="536" t="n"/>
      <c r="AC927" s="536" t="n"/>
      <c r="AD927" s="282" t="n"/>
      <c r="AE927" s="282" t="n"/>
      <c r="AF927" s="537" t="n"/>
      <c r="AG927" s="537" t="n"/>
      <c r="AH927" s="282" t="n"/>
      <c r="AI927" s="282" t="n"/>
      <c r="AJ927" s="537" t="n"/>
      <c r="AK927" s="537" t="n"/>
      <c r="AL927" s="282" t="n"/>
      <c r="AM927" s="282" t="n"/>
      <c r="AN927" s="282" t="n"/>
      <c r="AO927" s="282" t="n"/>
      <c r="AP927" s="282" t="n"/>
      <c r="AQ927" s="282" t="n"/>
      <c r="AR927" s="535" t="n"/>
      <c r="AS927" s="535" t="n"/>
      <c r="AT927" s="282" t="n"/>
      <c r="AU927" s="282" t="n"/>
    </row>
    <row customHeight="1" ht="15.75" r="928" s="452" spans="1:48">
      <c r="A928" s="44" t="n"/>
      <c r="D928" s="535" t="n"/>
      <c r="E928" s="535" t="n"/>
      <c r="F928" s="282" t="n"/>
      <c r="G928" s="282" t="n"/>
      <c r="H928" s="536" t="n"/>
      <c r="I928" s="535" t="n"/>
      <c r="J928" s="282" t="n"/>
      <c r="K928" s="282" t="n"/>
      <c r="L928" s="536" t="n"/>
      <c r="M928" s="535" t="n"/>
      <c r="N928" s="282" t="n"/>
      <c r="O928" s="282" t="n"/>
      <c r="P928" s="535" t="n"/>
      <c r="Q928" s="535" t="n"/>
      <c r="R928" s="282" t="n"/>
      <c r="S928" s="282" t="n"/>
      <c r="T928" s="535" t="n"/>
      <c r="U928" s="535" t="n"/>
      <c r="V928" s="282" t="n"/>
      <c r="W928" s="282" t="n"/>
      <c r="X928" s="536" t="n"/>
      <c r="Y928" s="536" t="n"/>
      <c r="Z928" s="282" t="n"/>
      <c r="AA928" s="282" t="n"/>
      <c r="AB928" s="536" t="n"/>
      <c r="AC928" s="536" t="n"/>
      <c r="AD928" s="282" t="n"/>
      <c r="AE928" s="282" t="n"/>
      <c r="AF928" s="537" t="n"/>
      <c r="AG928" s="537" t="n"/>
      <c r="AH928" s="282" t="n"/>
      <c r="AI928" s="282" t="n"/>
      <c r="AJ928" s="537" t="n"/>
      <c r="AK928" s="537" t="n"/>
      <c r="AL928" s="282" t="n"/>
      <c r="AM928" s="282" t="n"/>
      <c r="AN928" s="282" t="n"/>
      <c r="AO928" s="282" t="n"/>
      <c r="AP928" s="282" t="n"/>
      <c r="AQ928" s="282" t="n"/>
      <c r="AR928" s="535" t="n"/>
      <c r="AS928" s="535" t="n"/>
      <c r="AT928" s="282" t="n"/>
      <c r="AU928" s="282" t="n"/>
    </row>
    <row customHeight="1" ht="15.75" r="929" s="452" spans="1:48">
      <c r="A929" s="44" t="n"/>
      <c r="D929" s="535" t="n"/>
      <c r="E929" s="535" t="n"/>
      <c r="F929" s="282" t="n"/>
      <c r="G929" s="282" t="n"/>
      <c r="H929" s="536" t="n"/>
      <c r="I929" s="535" t="n"/>
      <c r="J929" s="282" t="n"/>
      <c r="K929" s="282" t="n"/>
      <c r="L929" s="536" t="n"/>
      <c r="M929" s="535" t="n"/>
      <c r="N929" s="282" t="n"/>
      <c r="O929" s="282" t="n"/>
      <c r="P929" s="535" t="n"/>
      <c r="Q929" s="535" t="n"/>
      <c r="R929" s="282" t="n"/>
      <c r="S929" s="282" t="n"/>
      <c r="T929" s="535" t="n"/>
      <c r="U929" s="535" t="n"/>
      <c r="V929" s="282" t="n"/>
      <c r="W929" s="282" t="n"/>
      <c r="X929" s="536" t="n"/>
      <c r="Y929" s="536" t="n"/>
      <c r="Z929" s="282" t="n"/>
      <c r="AA929" s="282" t="n"/>
      <c r="AB929" s="536" t="n"/>
      <c r="AC929" s="536" t="n"/>
      <c r="AD929" s="282" t="n"/>
      <c r="AE929" s="282" t="n"/>
      <c r="AF929" s="537" t="n"/>
      <c r="AG929" s="537" t="n"/>
      <c r="AH929" s="282" t="n"/>
      <c r="AI929" s="282" t="n"/>
      <c r="AJ929" s="537" t="n"/>
      <c r="AK929" s="537" t="n"/>
      <c r="AL929" s="282" t="n"/>
      <c r="AM929" s="282" t="n"/>
      <c r="AN929" s="282" t="n"/>
      <c r="AO929" s="282" t="n"/>
      <c r="AP929" s="282" t="n"/>
      <c r="AQ929" s="282" t="n"/>
      <c r="AR929" s="535" t="n"/>
      <c r="AS929" s="535" t="n"/>
      <c r="AT929" s="282" t="n"/>
      <c r="AU929" s="282" t="n"/>
    </row>
    <row customHeight="1" ht="15.75" r="930" s="452" spans="1:48">
      <c r="A930" s="44" t="n"/>
      <c r="D930" s="535" t="n"/>
      <c r="E930" s="535" t="n"/>
      <c r="F930" s="282" t="n"/>
      <c r="G930" s="282" t="n"/>
      <c r="H930" s="536" t="n"/>
      <c r="I930" s="535" t="n"/>
      <c r="J930" s="282" t="n"/>
      <c r="K930" s="282" t="n"/>
      <c r="L930" s="536" t="n"/>
      <c r="M930" s="535" t="n"/>
      <c r="N930" s="282" t="n"/>
      <c r="O930" s="282" t="n"/>
      <c r="P930" s="535" t="n"/>
      <c r="Q930" s="535" t="n"/>
      <c r="R930" s="282" t="n"/>
      <c r="S930" s="282" t="n"/>
      <c r="T930" s="535" t="n"/>
      <c r="U930" s="535" t="n"/>
      <c r="V930" s="282" t="n"/>
      <c r="W930" s="282" t="n"/>
      <c r="X930" s="536" t="n"/>
      <c r="Y930" s="536" t="n"/>
      <c r="Z930" s="282" t="n"/>
      <c r="AA930" s="282" t="n"/>
      <c r="AB930" s="536" t="n"/>
      <c r="AC930" s="536" t="n"/>
      <c r="AD930" s="282" t="n"/>
      <c r="AE930" s="282" t="n"/>
      <c r="AF930" s="537" t="n"/>
      <c r="AG930" s="537" t="n"/>
      <c r="AH930" s="282" t="n"/>
      <c r="AI930" s="282" t="n"/>
      <c r="AJ930" s="537" t="n"/>
      <c r="AK930" s="537" t="n"/>
      <c r="AL930" s="282" t="n"/>
      <c r="AM930" s="282" t="n"/>
      <c r="AN930" s="282" t="n"/>
      <c r="AO930" s="282" t="n"/>
      <c r="AP930" s="282" t="n"/>
      <c r="AQ930" s="282" t="n"/>
      <c r="AR930" s="535" t="n"/>
      <c r="AS930" s="535" t="n"/>
      <c r="AT930" s="282" t="n"/>
      <c r="AU930" s="282" t="n"/>
    </row>
    <row customHeight="1" ht="15.75" r="931" s="452" spans="1:48">
      <c r="A931" s="44" t="n"/>
      <c r="D931" s="535" t="n"/>
      <c r="E931" s="535" t="n"/>
      <c r="F931" s="282" t="n"/>
      <c r="G931" s="282" t="n"/>
      <c r="H931" s="536" t="n"/>
      <c r="I931" s="535" t="n"/>
      <c r="J931" s="282" t="n"/>
      <c r="K931" s="282" t="n"/>
      <c r="L931" s="536" t="n"/>
      <c r="M931" s="535" t="n"/>
      <c r="N931" s="282" t="n"/>
      <c r="O931" s="282" t="n"/>
      <c r="P931" s="535" t="n"/>
      <c r="Q931" s="535" t="n"/>
      <c r="R931" s="282" t="n"/>
      <c r="S931" s="282" t="n"/>
      <c r="T931" s="535" t="n"/>
      <c r="U931" s="535" t="n"/>
      <c r="V931" s="282" t="n"/>
      <c r="W931" s="282" t="n"/>
      <c r="X931" s="536" t="n"/>
      <c r="Y931" s="536" t="n"/>
      <c r="Z931" s="282" t="n"/>
      <c r="AA931" s="282" t="n"/>
      <c r="AB931" s="536" t="n"/>
      <c r="AC931" s="536" t="n"/>
      <c r="AD931" s="282" t="n"/>
      <c r="AE931" s="282" t="n"/>
      <c r="AF931" s="537" t="n"/>
      <c r="AG931" s="537" t="n"/>
      <c r="AH931" s="282" t="n"/>
      <c r="AI931" s="282" t="n"/>
      <c r="AJ931" s="537" t="n"/>
      <c r="AK931" s="537" t="n"/>
      <c r="AL931" s="282" t="n"/>
      <c r="AM931" s="282" t="n"/>
      <c r="AN931" s="282" t="n"/>
      <c r="AO931" s="282" t="n"/>
      <c r="AP931" s="282" t="n"/>
      <c r="AQ931" s="282" t="n"/>
      <c r="AR931" s="535" t="n"/>
      <c r="AS931" s="535" t="n"/>
      <c r="AT931" s="282" t="n"/>
      <c r="AU931" s="282" t="n"/>
    </row>
    <row customHeight="1" ht="15.75" r="932" s="452" spans="1:48">
      <c r="A932" s="44" t="n"/>
      <c r="D932" s="535" t="n"/>
      <c r="E932" s="535" t="n"/>
      <c r="F932" s="282" t="n"/>
      <c r="G932" s="282" t="n"/>
      <c r="H932" s="536" t="n"/>
      <c r="I932" s="535" t="n"/>
      <c r="J932" s="282" t="n"/>
      <c r="K932" s="282" t="n"/>
      <c r="L932" s="536" t="n"/>
      <c r="M932" s="535" t="n"/>
      <c r="N932" s="282" t="n"/>
      <c r="O932" s="282" t="n"/>
      <c r="P932" s="535" t="n"/>
      <c r="Q932" s="535" t="n"/>
      <c r="R932" s="282" t="n"/>
      <c r="S932" s="282" t="n"/>
      <c r="T932" s="535" t="n"/>
      <c r="U932" s="535" t="n"/>
      <c r="V932" s="282" t="n"/>
      <c r="W932" s="282" t="n"/>
      <c r="X932" s="536" t="n"/>
      <c r="Y932" s="536" t="n"/>
      <c r="Z932" s="282" t="n"/>
      <c r="AA932" s="282" t="n"/>
      <c r="AB932" s="536" t="n"/>
      <c r="AC932" s="536" t="n"/>
      <c r="AD932" s="282" t="n"/>
      <c r="AE932" s="282" t="n"/>
      <c r="AF932" s="537" t="n"/>
      <c r="AG932" s="537" t="n"/>
      <c r="AH932" s="282" t="n"/>
      <c r="AI932" s="282" t="n"/>
      <c r="AJ932" s="537" t="n"/>
      <c r="AK932" s="537" t="n"/>
      <c r="AL932" s="282" t="n"/>
      <c r="AM932" s="282" t="n"/>
      <c r="AN932" s="282" t="n"/>
      <c r="AO932" s="282" t="n"/>
      <c r="AP932" s="282" t="n"/>
      <c r="AQ932" s="282" t="n"/>
      <c r="AR932" s="535" t="n"/>
      <c r="AS932" s="535" t="n"/>
      <c r="AT932" s="282" t="n"/>
      <c r="AU932" s="282" t="n"/>
    </row>
    <row customHeight="1" ht="15.75" r="933" s="452" spans="1:48">
      <c r="A933" s="44" t="n"/>
      <c r="D933" s="535" t="n"/>
      <c r="E933" s="535" t="n"/>
      <c r="F933" s="282" t="n"/>
      <c r="G933" s="282" t="n"/>
      <c r="H933" s="536" t="n"/>
      <c r="I933" s="535" t="n"/>
      <c r="J933" s="282" t="n"/>
      <c r="K933" s="282" t="n"/>
      <c r="L933" s="536" t="n"/>
      <c r="M933" s="535" t="n"/>
      <c r="N933" s="282" t="n"/>
      <c r="O933" s="282" t="n"/>
      <c r="P933" s="535" t="n"/>
      <c r="Q933" s="535" t="n"/>
      <c r="R933" s="282" t="n"/>
      <c r="S933" s="282" t="n"/>
      <c r="T933" s="535" t="n"/>
      <c r="U933" s="535" t="n"/>
      <c r="V933" s="282" t="n"/>
      <c r="W933" s="282" t="n"/>
      <c r="X933" s="536" t="n"/>
      <c r="Y933" s="536" t="n"/>
      <c r="Z933" s="282" t="n"/>
      <c r="AA933" s="282" t="n"/>
      <c r="AB933" s="536" t="n"/>
      <c r="AC933" s="536" t="n"/>
      <c r="AD933" s="282" t="n"/>
      <c r="AE933" s="282" t="n"/>
      <c r="AF933" s="537" t="n"/>
      <c r="AG933" s="537" t="n"/>
      <c r="AH933" s="282" t="n"/>
      <c r="AI933" s="282" t="n"/>
      <c r="AJ933" s="537" t="n"/>
      <c r="AK933" s="537" t="n"/>
      <c r="AL933" s="282" t="n"/>
      <c r="AM933" s="282" t="n"/>
      <c r="AN933" s="282" t="n"/>
      <c r="AO933" s="282" t="n"/>
      <c r="AP933" s="282" t="n"/>
      <c r="AQ933" s="282" t="n"/>
      <c r="AR933" s="535" t="n"/>
      <c r="AS933" s="535" t="n"/>
      <c r="AT933" s="282" t="n"/>
      <c r="AU933" s="282" t="n"/>
    </row>
    <row customHeight="1" ht="15.75" r="934" s="452" spans="1:48">
      <c r="A934" s="44" t="n"/>
      <c r="D934" s="535" t="n"/>
      <c r="E934" s="535" t="n"/>
      <c r="F934" s="282" t="n"/>
      <c r="G934" s="282" t="n"/>
      <c r="H934" s="536" t="n"/>
      <c r="I934" s="535" t="n"/>
      <c r="J934" s="282" t="n"/>
      <c r="K934" s="282" t="n"/>
      <c r="L934" s="536" t="n"/>
      <c r="M934" s="535" t="n"/>
      <c r="N934" s="282" t="n"/>
      <c r="O934" s="282" t="n"/>
      <c r="P934" s="535" t="n"/>
      <c r="Q934" s="535" t="n"/>
      <c r="R934" s="282" t="n"/>
      <c r="S934" s="282" t="n"/>
      <c r="T934" s="535" t="n"/>
      <c r="U934" s="535" t="n"/>
      <c r="V934" s="282" t="n"/>
      <c r="W934" s="282" t="n"/>
      <c r="X934" s="536" t="n"/>
      <c r="Y934" s="536" t="n"/>
      <c r="Z934" s="282" t="n"/>
      <c r="AA934" s="282" t="n"/>
      <c r="AB934" s="536" t="n"/>
      <c r="AC934" s="536" t="n"/>
      <c r="AD934" s="282" t="n"/>
      <c r="AE934" s="282" t="n"/>
      <c r="AF934" s="537" t="n"/>
      <c r="AG934" s="537" t="n"/>
      <c r="AH934" s="282" t="n"/>
      <c r="AI934" s="282" t="n"/>
      <c r="AJ934" s="537" t="n"/>
      <c r="AK934" s="537" t="n"/>
      <c r="AL934" s="282" t="n"/>
      <c r="AM934" s="282" t="n"/>
      <c r="AN934" s="282" t="n"/>
      <c r="AO934" s="282" t="n"/>
      <c r="AP934" s="282" t="n"/>
      <c r="AQ934" s="282" t="n"/>
      <c r="AR934" s="535" t="n"/>
      <c r="AS934" s="535" t="n"/>
      <c r="AT934" s="282" t="n"/>
      <c r="AU934" s="282" t="n"/>
    </row>
    <row customHeight="1" ht="15.75" r="935" s="452" spans="1:48">
      <c r="A935" s="44" t="n"/>
      <c r="D935" s="535" t="n"/>
      <c r="E935" s="535" t="n"/>
      <c r="F935" s="282" t="n"/>
      <c r="G935" s="282" t="n"/>
      <c r="H935" s="536" t="n"/>
      <c r="I935" s="535" t="n"/>
      <c r="J935" s="282" t="n"/>
      <c r="K935" s="282" t="n"/>
      <c r="L935" s="536" t="n"/>
      <c r="M935" s="535" t="n"/>
      <c r="N935" s="282" t="n"/>
      <c r="O935" s="282" t="n"/>
      <c r="P935" s="535" t="n"/>
      <c r="Q935" s="535" t="n"/>
      <c r="R935" s="282" t="n"/>
      <c r="S935" s="282" t="n"/>
      <c r="T935" s="535" t="n"/>
      <c r="U935" s="535" t="n"/>
      <c r="V935" s="282" t="n"/>
      <c r="W935" s="282" t="n"/>
      <c r="X935" s="536" t="n"/>
      <c r="Y935" s="536" t="n"/>
      <c r="Z935" s="282" t="n"/>
      <c r="AA935" s="282" t="n"/>
      <c r="AB935" s="536" t="n"/>
      <c r="AC935" s="536" t="n"/>
      <c r="AD935" s="282" t="n"/>
      <c r="AE935" s="282" t="n"/>
      <c r="AF935" s="537" t="n"/>
      <c r="AG935" s="537" t="n"/>
      <c r="AH935" s="282" t="n"/>
      <c r="AI935" s="282" t="n"/>
      <c r="AJ935" s="537" t="n"/>
      <c r="AK935" s="537" t="n"/>
      <c r="AL935" s="282" t="n"/>
      <c r="AM935" s="282" t="n"/>
      <c r="AN935" s="282" t="n"/>
      <c r="AO935" s="282" t="n"/>
      <c r="AP935" s="282" t="n"/>
      <c r="AQ935" s="282" t="n"/>
      <c r="AR935" s="535" t="n"/>
      <c r="AS935" s="535" t="n"/>
      <c r="AT935" s="282" t="n"/>
      <c r="AU935" s="282" t="n"/>
    </row>
    <row customHeight="1" ht="15.75" r="936" s="452" spans="1:48">
      <c r="A936" s="44" t="n"/>
      <c r="D936" s="535" t="n"/>
      <c r="E936" s="535" t="n"/>
      <c r="F936" s="282" t="n"/>
      <c r="G936" s="282" t="n"/>
      <c r="H936" s="536" t="n"/>
      <c r="I936" s="535" t="n"/>
      <c r="J936" s="282" t="n"/>
      <c r="K936" s="282" t="n"/>
      <c r="L936" s="536" t="n"/>
      <c r="M936" s="535" t="n"/>
      <c r="N936" s="282" t="n"/>
      <c r="O936" s="282" t="n"/>
      <c r="P936" s="535" t="n"/>
      <c r="Q936" s="535" t="n"/>
      <c r="R936" s="282" t="n"/>
      <c r="S936" s="282" t="n"/>
      <c r="T936" s="535" t="n"/>
      <c r="U936" s="535" t="n"/>
      <c r="V936" s="282" t="n"/>
      <c r="W936" s="282" t="n"/>
      <c r="X936" s="536" t="n"/>
      <c r="Y936" s="536" t="n"/>
      <c r="Z936" s="282" t="n"/>
      <c r="AA936" s="282" t="n"/>
      <c r="AB936" s="536" t="n"/>
      <c r="AC936" s="536" t="n"/>
      <c r="AD936" s="282" t="n"/>
      <c r="AE936" s="282" t="n"/>
      <c r="AF936" s="537" t="n"/>
      <c r="AG936" s="537" t="n"/>
      <c r="AH936" s="282" t="n"/>
      <c r="AI936" s="282" t="n"/>
      <c r="AJ936" s="537" t="n"/>
      <c r="AK936" s="537" t="n"/>
      <c r="AL936" s="282" t="n"/>
      <c r="AM936" s="282" t="n"/>
      <c r="AN936" s="282" t="n"/>
      <c r="AO936" s="282" t="n"/>
      <c r="AP936" s="282" t="n"/>
      <c r="AQ936" s="282" t="n"/>
      <c r="AR936" s="535" t="n"/>
      <c r="AS936" s="535" t="n"/>
      <c r="AT936" s="282" t="n"/>
      <c r="AU936" s="282" t="n"/>
    </row>
    <row customHeight="1" ht="15.75" r="937" s="452" spans="1:48">
      <c r="A937" s="44" t="n"/>
      <c r="D937" s="535" t="n"/>
      <c r="E937" s="535" t="n"/>
      <c r="F937" s="282" t="n"/>
      <c r="G937" s="282" t="n"/>
      <c r="H937" s="536" t="n"/>
      <c r="I937" s="535" t="n"/>
      <c r="J937" s="282" t="n"/>
      <c r="K937" s="282" t="n"/>
      <c r="L937" s="536" t="n"/>
      <c r="M937" s="535" t="n"/>
      <c r="N937" s="282" t="n"/>
      <c r="O937" s="282" t="n"/>
      <c r="P937" s="535" t="n"/>
      <c r="Q937" s="535" t="n"/>
      <c r="R937" s="282" t="n"/>
      <c r="S937" s="282" t="n"/>
      <c r="T937" s="535" t="n"/>
      <c r="U937" s="535" t="n"/>
      <c r="V937" s="282" t="n"/>
      <c r="W937" s="282" t="n"/>
      <c r="X937" s="536" t="n"/>
      <c r="Y937" s="536" t="n"/>
      <c r="Z937" s="282" t="n"/>
      <c r="AA937" s="282" t="n"/>
      <c r="AB937" s="536" t="n"/>
      <c r="AC937" s="536" t="n"/>
      <c r="AD937" s="282" t="n"/>
      <c r="AE937" s="282" t="n"/>
      <c r="AF937" s="537" t="n"/>
      <c r="AG937" s="537" t="n"/>
      <c r="AH937" s="282" t="n"/>
      <c r="AI937" s="282" t="n"/>
      <c r="AJ937" s="537" t="n"/>
      <c r="AK937" s="537" t="n"/>
      <c r="AL937" s="282" t="n"/>
      <c r="AM937" s="282" t="n"/>
      <c r="AN937" s="282" t="n"/>
      <c r="AO937" s="282" t="n"/>
      <c r="AP937" s="282" t="n"/>
      <c r="AQ937" s="282" t="n"/>
      <c r="AR937" s="535" t="n"/>
      <c r="AS937" s="535" t="n"/>
      <c r="AT937" s="282" t="n"/>
      <c r="AU937" s="282" t="n"/>
    </row>
    <row customHeight="1" ht="15.75" r="938" s="452" spans="1:48">
      <c r="A938" s="44" t="n"/>
      <c r="D938" s="535" t="n"/>
      <c r="E938" s="535" t="n"/>
      <c r="F938" s="282" t="n"/>
      <c r="G938" s="282" t="n"/>
      <c r="H938" s="536" t="n"/>
      <c r="I938" s="535" t="n"/>
      <c r="J938" s="282" t="n"/>
      <c r="K938" s="282" t="n"/>
      <c r="L938" s="536" t="n"/>
      <c r="M938" s="535" t="n"/>
      <c r="N938" s="282" t="n"/>
      <c r="O938" s="282" t="n"/>
      <c r="P938" s="535" t="n"/>
      <c r="Q938" s="535" t="n"/>
      <c r="R938" s="282" t="n"/>
      <c r="S938" s="282" t="n"/>
      <c r="T938" s="535" t="n"/>
      <c r="U938" s="535" t="n"/>
      <c r="V938" s="282" t="n"/>
      <c r="W938" s="282" t="n"/>
      <c r="X938" s="536" t="n"/>
      <c r="Y938" s="536" t="n"/>
      <c r="Z938" s="282" t="n"/>
      <c r="AA938" s="282" t="n"/>
      <c r="AB938" s="536" t="n"/>
      <c r="AC938" s="536" t="n"/>
      <c r="AD938" s="282" t="n"/>
      <c r="AE938" s="282" t="n"/>
      <c r="AF938" s="537" t="n"/>
      <c r="AG938" s="537" t="n"/>
      <c r="AH938" s="282" t="n"/>
      <c r="AI938" s="282" t="n"/>
      <c r="AJ938" s="537" t="n"/>
      <c r="AK938" s="537" t="n"/>
      <c r="AL938" s="282" t="n"/>
      <c r="AM938" s="282" t="n"/>
      <c r="AN938" s="282" t="n"/>
      <c r="AO938" s="282" t="n"/>
      <c r="AP938" s="282" t="n"/>
      <c r="AQ938" s="282" t="n"/>
      <c r="AR938" s="535" t="n"/>
      <c r="AS938" s="535" t="n"/>
      <c r="AT938" s="282" t="n"/>
      <c r="AU938" s="282" t="n"/>
    </row>
    <row customHeight="1" ht="15.75" r="939" s="452" spans="1:48">
      <c r="A939" s="44" t="n"/>
      <c r="D939" s="535" t="n"/>
      <c r="E939" s="535" t="n"/>
      <c r="F939" s="282" t="n"/>
      <c r="G939" s="282" t="n"/>
      <c r="H939" s="536" t="n"/>
      <c r="I939" s="535" t="n"/>
      <c r="J939" s="282" t="n"/>
      <c r="K939" s="282" t="n"/>
      <c r="L939" s="536" t="n"/>
      <c r="M939" s="535" t="n"/>
      <c r="N939" s="282" t="n"/>
      <c r="O939" s="282" t="n"/>
      <c r="P939" s="535" t="n"/>
      <c r="Q939" s="535" t="n"/>
      <c r="R939" s="282" t="n"/>
      <c r="S939" s="282" t="n"/>
      <c r="T939" s="535" t="n"/>
      <c r="U939" s="535" t="n"/>
      <c r="V939" s="282" t="n"/>
      <c r="W939" s="282" t="n"/>
      <c r="X939" s="536" t="n"/>
      <c r="Y939" s="536" t="n"/>
      <c r="Z939" s="282" t="n"/>
      <c r="AA939" s="282" t="n"/>
      <c r="AB939" s="536" t="n"/>
      <c r="AC939" s="536" t="n"/>
      <c r="AD939" s="282" t="n"/>
      <c r="AE939" s="282" t="n"/>
      <c r="AF939" s="537" t="n"/>
      <c r="AG939" s="537" t="n"/>
      <c r="AH939" s="282" t="n"/>
      <c r="AI939" s="282" t="n"/>
      <c r="AJ939" s="537" t="n"/>
      <c r="AK939" s="537" t="n"/>
      <c r="AL939" s="282" t="n"/>
      <c r="AM939" s="282" t="n"/>
      <c r="AN939" s="282" t="n"/>
      <c r="AO939" s="282" t="n"/>
      <c r="AP939" s="282" t="n"/>
      <c r="AQ939" s="282" t="n"/>
      <c r="AR939" s="535" t="n"/>
      <c r="AS939" s="535" t="n"/>
      <c r="AT939" s="282" t="n"/>
      <c r="AU939" s="282" t="n"/>
    </row>
    <row customHeight="1" ht="15.75" r="940" s="452" spans="1:48">
      <c r="A940" s="44" t="n"/>
      <c r="D940" s="535" t="n"/>
      <c r="E940" s="535" t="n"/>
      <c r="F940" s="282" t="n"/>
      <c r="G940" s="282" t="n"/>
      <c r="H940" s="536" t="n"/>
      <c r="I940" s="535" t="n"/>
      <c r="J940" s="282" t="n"/>
      <c r="K940" s="282" t="n"/>
      <c r="L940" s="536" t="n"/>
      <c r="M940" s="535" t="n"/>
      <c r="N940" s="282" t="n"/>
      <c r="O940" s="282" t="n"/>
      <c r="P940" s="535" t="n"/>
      <c r="Q940" s="535" t="n"/>
      <c r="R940" s="282" t="n"/>
      <c r="S940" s="282" t="n"/>
      <c r="T940" s="535" t="n"/>
      <c r="U940" s="535" t="n"/>
      <c r="V940" s="282" t="n"/>
      <c r="W940" s="282" t="n"/>
      <c r="X940" s="536" t="n"/>
      <c r="Y940" s="536" t="n"/>
      <c r="Z940" s="282" t="n"/>
      <c r="AA940" s="282" t="n"/>
      <c r="AB940" s="536" t="n"/>
      <c r="AC940" s="536" t="n"/>
      <c r="AD940" s="282" t="n"/>
      <c r="AE940" s="282" t="n"/>
      <c r="AF940" s="537" t="n"/>
      <c r="AG940" s="537" t="n"/>
      <c r="AH940" s="282" t="n"/>
      <c r="AI940" s="282" t="n"/>
      <c r="AJ940" s="537" t="n"/>
      <c r="AK940" s="537" t="n"/>
      <c r="AL940" s="282" t="n"/>
      <c r="AM940" s="282" t="n"/>
      <c r="AN940" s="282" t="n"/>
      <c r="AO940" s="282" t="n"/>
      <c r="AP940" s="282" t="n"/>
      <c r="AQ940" s="282" t="n"/>
      <c r="AR940" s="535" t="n"/>
      <c r="AS940" s="535" t="n"/>
      <c r="AT940" s="282" t="n"/>
      <c r="AU940" s="282" t="n"/>
    </row>
    <row customHeight="1" ht="15.75" r="941" s="452" spans="1:48">
      <c r="A941" s="44" t="n"/>
      <c r="D941" s="535" t="n"/>
      <c r="E941" s="535" t="n"/>
      <c r="F941" s="282" t="n"/>
      <c r="G941" s="282" t="n"/>
      <c r="H941" s="536" t="n"/>
      <c r="I941" s="535" t="n"/>
      <c r="J941" s="282" t="n"/>
      <c r="K941" s="282" t="n"/>
      <c r="L941" s="536" t="n"/>
      <c r="M941" s="535" t="n"/>
      <c r="N941" s="282" t="n"/>
      <c r="O941" s="282" t="n"/>
      <c r="P941" s="535" t="n"/>
      <c r="Q941" s="535" t="n"/>
      <c r="R941" s="282" t="n"/>
      <c r="S941" s="282" t="n"/>
      <c r="T941" s="535" t="n"/>
      <c r="U941" s="535" t="n"/>
      <c r="V941" s="282" t="n"/>
      <c r="W941" s="282" t="n"/>
      <c r="X941" s="536" t="n"/>
      <c r="Y941" s="536" t="n"/>
      <c r="Z941" s="282" t="n"/>
      <c r="AA941" s="282" t="n"/>
      <c r="AB941" s="536" t="n"/>
      <c r="AC941" s="536" t="n"/>
      <c r="AD941" s="282" t="n"/>
      <c r="AE941" s="282" t="n"/>
      <c r="AF941" s="537" t="n"/>
      <c r="AG941" s="537" t="n"/>
      <c r="AH941" s="282" t="n"/>
      <c r="AI941" s="282" t="n"/>
      <c r="AJ941" s="537" t="n"/>
      <c r="AK941" s="537" t="n"/>
      <c r="AL941" s="282" t="n"/>
      <c r="AM941" s="282" t="n"/>
      <c r="AN941" s="282" t="n"/>
      <c r="AO941" s="282" t="n"/>
      <c r="AP941" s="282" t="n"/>
      <c r="AQ941" s="282" t="n"/>
      <c r="AR941" s="535" t="n"/>
      <c r="AS941" s="535" t="n"/>
      <c r="AT941" s="282" t="n"/>
      <c r="AU941" s="282" t="n"/>
    </row>
    <row customHeight="1" ht="15.75" r="942" s="452" spans="1:48">
      <c r="A942" s="44" t="n"/>
      <c r="D942" s="535" t="n"/>
      <c r="E942" s="535" t="n"/>
      <c r="F942" s="282" t="n"/>
      <c r="G942" s="282" t="n"/>
      <c r="H942" s="536" t="n"/>
      <c r="I942" s="535" t="n"/>
      <c r="J942" s="282" t="n"/>
      <c r="K942" s="282" t="n"/>
      <c r="L942" s="536" t="n"/>
      <c r="M942" s="535" t="n"/>
      <c r="N942" s="282" t="n"/>
      <c r="O942" s="282" t="n"/>
      <c r="P942" s="535" t="n"/>
      <c r="Q942" s="535" t="n"/>
      <c r="R942" s="282" t="n"/>
      <c r="S942" s="282" t="n"/>
      <c r="T942" s="535" t="n"/>
      <c r="U942" s="535" t="n"/>
      <c r="V942" s="282" t="n"/>
      <c r="W942" s="282" t="n"/>
      <c r="X942" s="536" t="n"/>
      <c r="Y942" s="536" t="n"/>
      <c r="Z942" s="282" t="n"/>
      <c r="AA942" s="282" t="n"/>
      <c r="AB942" s="536" t="n"/>
      <c r="AC942" s="536" t="n"/>
      <c r="AD942" s="282" t="n"/>
      <c r="AE942" s="282" t="n"/>
      <c r="AF942" s="537" t="n"/>
      <c r="AG942" s="537" t="n"/>
      <c r="AH942" s="282" t="n"/>
      <c r="AI942" s="282" t="n"/>
      <c r="AJ942" s="537" t="n"/>
      <c r="AK942" s="537" t="n"/>
      <c r="AL942" s="282" t="n"/>
      <c r="AM942" s="282" t="n"/>
      <c r="AN942" s="282" t="n"/>
      <c r="AO942" s="282" t="n"/>
      <c r="AP942" s="282" t="n"/>
      <c r="AQ942" s="282" t="n"/>
      <c r="AR942" s="535" t="n"/>
      <c r="AS942" s="535" t="n"/>
      <c r="AT942" s="282" t="n"/>
      <c r="AU942" s="282" t="n"/>
    </row>
    <row customHeight="1" ht="15.75" r="943" s="452" spans="1:48">
      <c r="A943" s="44" t="n"/>
      <c r="D943" s="535" t="n"/>
      <c r="E943" s="535" t="n"/>
      <c r="F943" s="282" t="n"/>
      <c r="G943" s="282" t="n"/>
      <c r="H943" s="536" t="n"/>
      <c r="I943" s="535" t="n"/>
      <c r="J943" s="282" t="n"/>
      <c r="K943" s="282" t="n"/>
      <c r="L943" s="536" t="n"/>
      <c r="M943" s="535" t="n"/>
      <c r="N943" s="282" t="n"/>
      <c r="O943" s="282" t="n"/>
      <c r="P943" s="535" t="n"/>
      <c r="Q943" s="535" t="n"/>
      <c r="R943" s="282" t="n"/>
      <c r="S943" s="282" t="n"/>
      <c r="T943" s="535" t="n"/>
      <c r="U943" s="535" t="n"/>
      <c r="V943" s="282" t="n"/>
      <c r="W943" s="282" t="n"/>
      <c r="X943" s="536" t="n"/>
      <c r="Y943" s="536" t="n"/>
      <c r="Z943" s="282" t="n"/>
      <c r="AA943" s="282" t="n"/>
      <c r="AB943" s="536" t="n"/>
      <c r="AC943" s="536" t="n"/>
      <c r="AD943" s="282" t="n"/>
      <c r="AE943" s="282" t="n"/>
      <c r="AF943" s="537" t="n"/>
      <c r="AG943" s="537" t="n"/>
      <c r="AH943" s="282" t="n"/>
      <c r="AI943" s="282" t="n"/>
      <c r="AJ943" s="537" t="n"/>
      <c r="AK943" s="537" t="n"/>
      <c r="AL943" s="282" t="n"/>
      <c r="AM943" s="282" t="n"/>
      <c r="AN943" s="282" t="n"/>
      <c r="AO943" s="282" t="n"/>
      <c r="AP943" s="282" t="n"/>
      <c r="AQ943" s="282" t="n"/>
      <c r="AR943" s="535" t="n"/>
      <c r="AS943" s="535" t="n"/>
      <c r="AT943" s="282" t="n"/>
      <c r="AU943" s="282" t="n"/>
    </row>
    <row customHeight="1" ht="15.75" r="944" s="452" spans="1:48">
      <c r="A944" s="44" t="n"/>
      <c r="D944" s="535" t="n"/>
      <c r="E944" s="535" t="n"/>
      <c r="F944" s="282" t="n"/>
      <c r="G944" s="282" t="n"/>
      <c r="H944" s="536" t="n"/>
      <c r="I944" s="535" t="n"/>
      <c r="J944" s="282" t="n"/>
      <c r="K944" s="282" t="n"/>
      <c r="L944" s="536" t="n"/>
      <c r="M944" s="535" t="n"/>
      <c r="N944" s="282" t="n"/>
      <c r="O944" s="282" t="n"/>
      <c r="P944" s="535" t="n"/>
      <c r="Q944" s="535" t="n"/>
      <c r="R944" s="282" t="n"/>
      <c r="S944" s="282" t="n"/>
      <c r="T944" s="535" t="n"/>
      <c r="U944" s="535" t="n"/>
      <c r="V944" s="282" t="n"/>
      <c r="W944" s="282" t="n"/>
      <c r="X944" s="536" t="n"/>
      <c r="Y944" s="536" t="n"/>
      <c r="Z944" s="282" t="n"/>
      <c r="AA944" s="282" t="n"/>
      <c r="AB944" s="536" t="n"/>
      <c r="AC944" s="536" t="n"/>
      <c r="AD944" s="282" t="n"/>
      <c r="AE944" s="282" t="n"/>
      <c r="AF944" s="537" t="n"/>
      <c r="AG944" s="537" t="n"/>
      <c r="AH944" s="282" t="n"/>
      <c r="AI944" s="282" t="n"/>
      <c r="AJ944" s="537" t="n"/>
      <c r="AK944" s="537" t="n"/>
      <c r="AL944" s="282" t="n"/>
      <c r="AM944" s="282" t="n"/>
      <c r="AN944" s="282" t="n"/>
      <c r="AO944" s="282" t="n"/>
      <c r="AP944" s="282" t="n"/>
      <c r="AQ944" s="282" t="n"/>
      <c r="AR944" s="535" t="n"/>
      <c r="AS944" s="535" t="n"/>
      <c r="AT944" s="282" t="n"/>
      <c r="AU944" s="282" t="n"/>
    </row>
    <row customHeight="1" ht="15.75" r="945" s="452" spans="1:48">
      <c r="A945" s="44" t="n"/>
      <c r="D945" s="535" t="n"/>
      <c r="E945" s="535" t="n"/>
      <c r="F945" s="282" t="n"/>
      <c r="G945" s="282" t="n"/>
      <c r="H945" s="536" t="n"/>
      <c r="I945" s="535" t="n"/>
      <c r="J945" s="282" t="n"/>
      <c r="K945" s="282" t="n"/>
      <c r="L945" s="536" t="n"/>
      <c r="M945" s="535" t="n"/>
      <c r="N945" s="282" t="n"/>
      <c r="O945" s="282" t="n"/>
      <c r="P945" s="535" t="n"/>
      <c r="Q945" s="535" t="n"/>
      <c r="R945" s="282" t="n"/>
      <c r="S945" s="282" t="n"/>
      <c r="T945" s="535" t="n"/>
      <c r="U945" s="535" t="n"/>
      <c r="V945" s="282" t="n"/>
      <c r="W945" s="282" t="n"/>
      <c r="X945" s="536" t="n"/>
      <c r="Y945" s="536" t="n"/>
      <c r="Z945" s="282" t="n"/>
      <c r="AA945" s="282" t="n"/>
      <c r="AB945" s="536" t="n"/>
      <c r="AC945" s="536" t="n"/>
      <c r="AD945" s="282" t="n"/>
      <c r="AE945" s="282" t="n"/>
      <c r="AF945" s="537" t="n"/>
      <c r="AG945" s="537" t="n"/>
      <c r="AH945" s="282" t="n"/>
      <c r="AI945" s="282" t="n"/>
      <c r="AJ945" s="537" t="n"/>
      <c r="AK945" s="537" t="n"/>
      <c r="AL945" s="282" t="n"/>
      <c r="AM945" s="282" t="n"/>
      <c r="AN945" s="282" t="n"/>
      <c r="AO945" s="282" t="n"/>
      <c r="AP945" s="282" t="n"/>
      <c r="AQ945" s="282" t="n"/>
      <c r="AR945" s="535" t="n"/>
      <c r="AS945" s="535" t="n"/>
      <c r="AT945" s="282" t="n"/>
      <c r="AU945" s="282" t="n"/>
    </row>
    <row customHeight="1" ht="15.75" r="946" s="452" spans="1:48">
      <c r="A946" s="44" t="n"/>
      <c r="D946" s="535" t="n"/>
      <c r="E946" s="535" t="n"/>
      <c r="F946" s="282" t="n"/>
      <c r="G946" s="282" t="n"/>
      <c r="H946" s="536" t="n"/>
      <c r="I946" s="535" t="n"/>
      <c r="J946" s="282" t="n"/>
      <c r="K946" s="282" t="n"/>
      <c r="L946" s="536" t="n"/>
      <c r="M946" s="535" t="n"/>
      <c r="N946" s="282" t="n"/>
      <c r="O946" s="282" t="n"/>
      <c r="P946" s="535" t="n"/>
      <c r="Q946" s="535" t="n"/>
      <c r="R946" s="282" t="n"/>
      <c r="S946" s="282" t="n"/>
      <c r="T946" s="535" t="n"/>
      <c r="U946" s="535" t="n"/>
      <c r="V946" s="282" t="n"/>
      <c r="W946" s="282" t="n"/>
      <c r="X946" s="536" t="n"/>
      <c r="Y946" s="536" t="n"/>
      <c r="Z946" s="282" t="n"/>
      <c r="AA946" s="282" t="n"/>
      <c r="AB946" s="536" t="n"/>
      <c r="AC946" s="536" t="n"/>
      <c r="AD946" s="282" t="n"/>
      <c r="AE946" s="282" t="n"/>
      <c r="AF946" s="537" t="n"/>
      <c r="AG946" s="537" t="n"/>
      <c r="AH946" s="282" t="n"/>
      <c r="AI946" s="282" t="n"/>
      <c r="AJ946" s="537" t="n"/>
      <c r="AK946" s="537" t="n"/>
      <c r="AL946" s="282" t="n"/>
      <c r="AM946" s="282" t="n"/>
      <c r="AN946" s="282" t="n"/>
      <c r="AO946" s="282" t="n"/>
      <c r="AP946" s="282" t="n"/>
      <c r="AQ946" s="282" t="n"/>
      <c r="AR946" s="535" t="n"/>
      <c r="AS946" s="535" t="n"/>
      <c r="AT946" s="282" t="n"/>
      <c r="AU946" s="282" t="n"/>
    </row>
    <row customHeight="1" ht="15.75" r="947" s="452" spans="1:48">
      <c r="A947" s="44" t="n"/>
      <c r="D947" s="535" t="n"/>
      <c r="E947" s="535" t="n"/>
      <c r="F947" s="282" t="n"/>
      <c r="G947" s="282" t="n"/>
      <c r="H947" s="536" t="n"/>
      <c r="I947" s="535" t="n"/>
      <c r="J947" s="282" t="n"/>
      <c r="K947" s="282" t="n"/>
      <c r="L947" s="536" t="n"/>
      <c r="M947" s="535" t="n"/>
      <c r="N947" s="282" t="n"/>
      <c r="O947" s="282" t="n"/>
      <c r="P947" s="535" t="n"/>
      <c r="Q947" s="535" t="n"/>
      <c r="R947" s="282" t="n"/>
      <c r="S947" s="282" t="n"/>
      <c r="T947" s="535" t="n"/>
      <c r="U947" s="535" t="n"/>
      <c r="V947" s="282" t="n"/>
      <c r="W947" s="282" t="n"/>
      <c r="X947" s="536" t="n"/>
      <c r="Y947" s="536" t="n"/>
      <c r="Z947" s="282" t="n"/>
      <c r="AA947" s="282" t="n"/>
      <c r="AB947" s="536" t="n"/>
      <c r="AC947" s="536" t="n"/>
      <c r="AD947" s="282" t="n"/>
      <c r="AE947" s="282" t="n"/>
      <c r="AF947" s="537" t="n"/>
      <c r="AG947" s="537" t="n"/>
      <c r="AH947" s="282" t="n"/>
      <c r="AI947" s="282" t="n"/>
      <c r="AJ947" s="537" t="n"/>
      <c r="AK947" s="537" t="n"/>
      <c r="AL947" s="282" t="n"/>
      <c r="AM947" s="282" t="n"/>
      <c r="AN947" s="282" t="n"/>
      <c r="AO947" s="282" t="n"/>
      <c r="AP947" s="282" t="n"/>
      <c r="AQ947" s="282" t="n"/>
      <c r="AR947" s="535" t="n"/>
      <c r="AS947" s="535" t="n"/>
      <c r="AT947" s="282" t="n"/>
      <c r="AU947" s="282" t="n"/>
    </row>
    <row customHeight="1" ht="15.75" r="948" s="452" spans="1:48">
      <c r="A948" s="44" t="n"/>
      <c r="D948" s="535" t="n"/>
      <c r="E948" s="535" t="n"/>
      <c r="F948" s="282" t="n"/>
      <c r="G948" s="282" t="n"/>
      <c r="H948" s="536" t="n"/>
      <c r="I948" s="535" t="n"/>
      <c r="J948" s="282" t="n"/>
      <c r="K948" s="282" t="n"/>
      <c r="L948" s="536" t="n"/>
      <c r="M948" s="535" t="n"/>
      <c r="N948" s="282" t="n"/>
      <c r="O948" s="282" t="n"/>
      <c r="P948" s="535" t="n"/>
      <c r="Q948" s="535" t="n"/>
      <c r="R948" s="282" t="n"/>
      <c r="S948" s="282" t="n"/>
      <c r="T948" s="535" t="n"/>
      <c r="U948" s="535" t="n"/>
      <c r="V948" s="282" t="n"/>
      <c r="W948" s="282" t="n"/>
      <c r="X948" s="536" t="n"/>
      <c r="Y948" s="536" t="n"/>
      <c r="Z948" s="282" t="n"/>
      <c r="AA948" s="282" t="n"/>
      <c r="AB948" s="536" t="n"/>
      <c r="AC948" s="536" t="n"/>
      <c r="AD948" s="282" t="n"/>
      <c r="AE948" s="282" t="n"/>
      <c r="AF948" s="537" t="n"/>
      <c r="AG948" s="537" t="n"/>
      <c r="AH948" s="282" t="n"/>
      <c r="AI948" s="282" t="n"/>
      <c r="AJ948" s="537" t="n"/>
      <c r="AK948" s="537" t="n"/>
      <c r="AL948" s="282" t="n"/>
      <c r="AM948" s="282" t="n"/>
      <c r="AN948" s="282" t="n"/>
      <c r="AO948" s="282" t="n"/>
      <c r="AP948" s="282" t="n"/>
      <c r="AQ948" s="282" t="n"/>
      <c r="AR948" s="535" t="n"/>
      <c r="AS948" s="535" t="n"/>
      <c r="AT948" s="282" t="n"/>
      <c r="AU948" s="282" t="n"/>
    </row>
    <row customHeight="1" ht="15.75" r="949" s="452" spans="1:48">
      <c r="A949" s="44" t="n"/>
      <c r="D949" s="535" t="n"/>
      <c r="E949" s="535" t="n"/>
      <c r="F949" s="282" t="n"/>
      <c r="G949" s="282" t="n"/>
      <c r="H949" s="536" t="n"/>
      <c r="I949" s="535" t="n"/>
      <c r="J949" s="282" t="n"/>
      <c r="K949" s="282" t="n"/>
      <c r="L949" s="536" t="n"/>
      <c r="M949" s="535" t="n"/>
      <c r="N949" s="282" t="n"/>
      <c r="O949" s="282" t="n"/>
      <c r="P949" s="535" t="n"/>
      <c r="Q949" s="535" t="n"/>
      <c r="R949" s="282" t="n"/>
      <c r="S949" s="282" t="n"/>
      <c r="T949" s="535" t="n"/>
      <c r="U949" s="535" t="n"/>
      <c r="V949" s="282" t="n"/>
      <c r="W949" s="282" t="n"/>
      <c r="X949" s="536" t="n"/>
      <c r="Y949" s="536" t="n"/>
      <c r="Z949" s="282" t="n"/>
      <c r="AA949" s="282" t="n"/>
      <c r="AB949" s="536" t="n"/>
      <c r="AC949" s="536" t="n"/>
      <c r="AD949" s="282" t="n"/>
      <c r="AE949" s="282" t="n"/>
      <c r="AF949" s="537" t="n"/>
      <c r="AG949" s="537" t="n"/>
      <c r="AH949" s="282" t="n"/>
      <c r="AI949" s="282" t="n"/>
      <c r="AJ949" s="537" t="n"/>
      <c r="AK949" s="537" t="n"/>
      <c r="AL949" s="282" t="n"/>
      <c r="AM949" s="282" t="n"/>
      <c r="AN949" s="282" t="n"/>
      <c r="AO949" s="282" t="n"/>
      <c r="AP949" s="282" t="n"/>
      <c r="AQ949" s="282" t="n"/>
      <c r="AR949" s="535" t="n"/>
      <c r="AS949" s="535" t="n"/>
      <c r="AT949" s="282" t="n"/>
      <c r="AU949" s="282" t="n"/>
    </row>
    <row customHeight="1" ht="15.75" r="950" s="452" spans="1:48">
      <c r="A950" s="44" t="n"/>
      <c r="D950" s="535" t="n"/>
      <c r="E950" s="535" t="n"/>
      <c r="F950" s="282" t="n"/>
      <c r="G950" s="282" t="n"/>
      <c r="H950" s="536" t="n"/>
      <c r="I950" s="535" t="n"/>
      <c r="J950" s="282" t="n"/>
      <c r="K950" s="282" t="n"/>
      <c r="L950" s="536" t="n"/>
      <c r="M950" s="535" t="n"/>
      <c r="N950" s="282" t="n"/>
      <c r="O950" s="282" t="n"/>
      <c r="P950" s="535" t="n"/>
      <c r="Q950" s="535" t="n"/>
      <c r="R950" s="282" t="n"/>
      <c r="S950" s="282" t="n"/>
      <c r="T950" s="535" t="n"/>
      <c r="U950" s="535" t="n"/>
      <c r="V950" s="282" t="n"/>
      <c r="W950" s="282" t="n"/>
      <c r="X950" s="536" t="n"/>
      <c r="Y950" s="536" t="n"/>
      <c r="Z950" s="282" t="n"/>
      <c r="AA950" s="282" t="n"/>
      <c r="AB950" s="536" t="n"/>
      <c r="AC950" s="536" t="n"/>
      <c r="AD950" s="282" t="n"/>
      <c r="AE950" s="282" t="n"/>
      <c r="AF950" s="537" t="n"/>
      <c r="AG950" s="537" t="n"/>
      <c r="AH950" s="282" t="n"/>
      <c r="AI950" s="282" t="n"/>
      <c r="AJ950" s="537" t="n"/>
      <c r="AK950" s="537" t="n"/>
      <c r="AL950" s="282" t="n"/>
      <c r="AM950" s="282" t="n"/>
      <c r="AN950" s="282" t="n"/>
      <c r="AO950" s="282" t="n"/>
      <c r="AP950" s="282" t="n"/>
      <c r="AQ950" s="282" t="n"/>
      <c r="AR950" s="535" t="n"/>
      <c r="AS950" s="535" t="n"/>
      <c r="AT950" s="282" t="n"/>
      <c r="AU950" s="282" t="n"/>
    </row>
    <row customHeight="1" ht="15.75" r="951" s="452" spans="1:48">
      <c r="A951" s="44" t="n"/>
      <c r="D951" s="535" t="n"/>
      <c r="E951" s="535" t="n"/>
      <c r="F951" s="282" t="n"/>
      <c r="G951" s="282" t="n"/>
      <c r="H951" s="536" t="n"/>
      <c r="I951" s="535" t="n"/>
      <c r="J951" s="282" t="n"/>
      <c r="K951" s="282" t="n"/>
      <c r="L951" s="536" t="n"/>
      <c r="M951" s="535" t="n"/>
      <c r="N951" s="282" t="n"/>
      <c r="O951" s="282" t="n"/>
      <c r="P951" s="535" t="n"/>
      <c r="Q951" s="535" t="n"/>
      <c r="R951" s="282" t="n"/>
      <c r="S951" s="282" t="n"/>
      <c r="T951" s="535" t="n"/>
      <c r="U951" s="535" t="n"/>
      <c r="V951" s="282" t="n"/>
      <c r="W951" s="282" t="n"/>
      <c r="X951" s="536" t="n"/>
      <c r="Y951" s="536" t="n"/>
      <c r="Z951" s="282" t="n"/>
      <c r="AA951" s="282" t="n"/>
      <c r="AB951" s="536" t="n"/>
      <c r="AC951" s="536" t="n"/>
      <c r="AD951" s="282" t="n"/>
      <c r="AE951" s="282" t="n"/>
      <c r="AF951" s="537" t="n"/>
      <c r="AG951" s="537" t="n"/>
      <c r="AH951" s="282" t="n"/>
      <c r="AI951" s="282" t="n"/>
      <c r="AJ951" s="537" t="n"/>
      <c r="AK951" s="537" t="n"/>
      <c r="AL951" s="282" t="n"/>
      <c r="AM951" s="282" t="n"/>
      <c r="AN951" s="282" t="n"/>
      <c r="AO951" s="282" t="n"/>
      <c r="AP951" s="282" t="n"/>
      <c r="AQ951" s="282" t="n"/>
      <c r="AR951" s="535" t="n"/>
      <c r="AS951" s="535" t="n"/>
      <c r="AT951" s="282" t="n"/>
      <c r="AU951" s="282" t="n"/>
    </row>
    <row customHeight="1" ht="15.75" r="952" s="452" spans="1:48">
      <c r="A952" s="44" t="n"/>
      <c r="D952" s="535" t="n"/>
      <c r="E952" s="535" t="n"/>
      <c r="F952" s="282" t="n"/>
      <c r="G952" s="282" t="n"/>
      <c r="H952" s="536" t="n"/>
      <c r="I952" s="535" t="n"/>
      <c r="J952" s="282" t="n"/>
      <c r="K952" s="282" t="n"/>
      <c r="L952" s="536" t="n"/>
      <c r="M952" s="535" t="n"/>
      <c r="N952" s="282" t="n"/>
      <c r="O952" s="282" t="n"/>
      <c r="P952" s="535" t="n"/>
      <c r="Q952" s="535" t="n"/>
      <c r="R952" s="282" t="n"/>
      <c r="S952" s="282" t="n"/>
      <c r="T952" s="535" t="n"/>
      <c r="U952" s="535" t="n"/>
      <c r="V952" s="282" t="n"/>
      <c r="W952" s="282" t="n"/>
      <c r="X952" s="536" t="n"/>
      <c r="Y952" s="536" t="n"/>
      <c r="Z952" s="282" t="n"/>
      <c r="AA952" s="282" t="n"/>
      <c r="AB952" s="536" t="n"/>
      <c r="AC952" s="536" t="n"/>
      <c r="AD952" s="282" t="n"/>
      <c r="AE952" s="282" t="n"/>
      <c r="AF952" s="537" t="n"/>
      <c r="AG952" s="537" t="n"/>
      <c r="AH952" s="282" t="n"/>
      <c r="AI952" s="282" t="n"/>
      <c r="AJ952" s="537" t="n"/>
      <c r="AK952" s="537" t="n"/>
      <c r="AL952" s="282" t="n"/>
      <c r="AM952" s="282" t="n"/>
      <c r="AN952" s="282" t="n"/>
      <c r="AO952" s="282" t="n"/>
      <c r="AP952" s="282" t="n"/>
      <c r="AQ952" s="282" t="n"/>
      <c r="AR952" s="535" t="n"/>
      <c r="AS952" s="535" t="n"/>
      <c r="AT952" s="282" t="n"/>
      <c r="AU952" s="282" t="n"/>
    </row>
    <row customHeight="1" ht="15.75" r="953" s="452" spans="1:48">
      <c r="A953" s="44" t="n"/>
      <c r="D953" s="535" t="n"/>
      <c r="E953" s="535" t="n"/>
      <c r="F953" s="282" t="n"/>
      <c r="G953" s="282" t="n"/>
      <c r="H953" s="536" t="n"/>
      <c r="I953" s="535" t="n"/>
      <c r="J953" s="282" t="n"/>
      <c r="K953" s="282" t="n"/>
      <c r="L953" s="536" t="n"/>
      <c r="M953" s="535" t="n"/>
      <c r="N953" s="282" t="n"/>
      <c r="O953" s="282" t="n"/>
      <c r="P953" s="535" t="n"/>
      <c r="Q953" s="535" t="n"/>
      <c r="R953" s="282" t="n"/>
      <c r="S953" s="282" t="n"/>
      <c r="T953" s="535" t="n"/>
      <c r="U953" s="535" t="n"/>
      <c r="V953" s="282" t="n"/>
      <c r="W953" s="282" t="n"/>
      <c r="X953" s="536" t="n"/>
      <c r="Y953" s="536" t="n"/>
      <c r="Z953" s="282" t="n"/>
      <c r="AA953" s="282" t="n"/>
      <c r="AB953" s="536" t="n"/>
      <c r="AC953" s="536" t="n"/>
      <c r="AD953" s="282" t="n"/>
      <c r="AE953" s="282" t="n"/>
      <c r="AF953" s="537" t="n"/>
      <c r="AG953" s="537" t="n"/>
      <c r="AH953" s="282" t="n"/>
      <c r="AI953" s="282" t="n"/>
      <c r="AJ953" s="537" t="n"/>
      <c r="AK953" s="537" t="n"/>
      <c r="AL953" s="282" t="n"/>
      <c r="AM953" s="282" t="n"/>
      <c r="AN953" s="282" t="n"/>
      <c r="AO953" s="282" t="n"/>
      <c r="AP953" s="282" t="n"/>
      <c r="AQ953" s="282" t="n"/>
      <c r="AR953" s="535" t="n"/>
      <c r="AS953" s="535" t="n"/>
      <c r="AT953" s="282" t="n"/>
      <c r="AU953" s="282" t="n"/>
    </row>
    <row customHeight="1" ht="15.75" r="954" s="452" spans="1:48">
      <c r="A954" s="44" t="n"/>
      <c r="D954" s="535" t="n"/>
      <c r="E954" s="535" t="n"/>
      <c r="F954" s="282" t="n"/>
      <c r="G954" s="282" t="n"/>
      <c r="H954" s="536" t="n"/>
      <c r="I954" s="535" t="n"/>
      <c r="J954" s="282" t="n"/>
      <c r="K954" s="282" t="n"/>
      <c r="L954" s="536" t="n"/>
      <c r="M954" s="535" t="n"/>
      <c r="N954" s="282" t="n"/>
      <c r="O954" s="282" t="n"/>
      <c r="P954" s="535" t="n"/>
      <c r="Q954" s="535" t="n"/>
      <c r="R954" s="282" t="n"/>
      <c r="S954" s="282" t="n"/>
      <c r="T954" s="535" t="n"/>
      <c r="U954" s="535" t="n"/>
      <c r="V954" s="282" t="n"/>
      <c r="W954" s="282" t="n"/>
      <c r="X954" s="536" t="n"/>
      <c r="Y954" s="536" t="n"/>
      <c r="Z954" s="282" t="n"/>
      <c r="AA954" s="282" t="n"/>
      <c r="AB954" s="536" t="n"/>
      <c r="AC954" s="536" t="n"/>
      <c r="AD954" s="282" t="n"/>
      <c r="AE954" s="282" t="n"/>
      <c r="AF954" s="537" t="n"/>
      <c r="AG954" s="537" t="n"/>
      <c r="AH954" s="282" t="n"/>
      <c r="AI954" s="282" t="n"/>
      <c r="AJ954" s="537" t="n"/>
      <c r="AK954" s="537" t="n"/>
      <c r="AL954" s="282" t="n"/>
      <c r="AM954" s="282" t="n"/>
      <c r="AN954" s="282" t="n"/>
      <c r="AO954" s="282" t="n"/>
      <c r="AP954" s="282" t="n"/>
      <c r="AQ954" s="282" t="n"/>
      <c r="AR954" s="535" t="n"/>
      <c r="AS954" s="535" t="n"/>
      <c r="AT954" s="282" t="n"/>
      <c r="AU954" s="282" t="n"/>
    </row>
    <row customHeight="1" ht="15.75" r="955" s="452" spans="1:48">
      <c r="A955" s="44" t="n"/>
      <c r="D955" s="535" t="n"/>
      <c r="E955" s="535" t="n"/>
      <c r="F955" s="282" t="n"/>
      <c r="G955" s="282" t="n"/>
      <c r="H955" s="536" t="n"/>
      <c r="I955" s="535" t="n"/>
      <c r="J955" s="282" t="n"/>
      <c r="K955" s="282" t="n"/>
      <c r="L955" s="536" t="n"/>
      <c r="M955" s="535" t="n"/>
      <c r="N955" s="282" t="n"/>
      <c r="O955" s="282" t="n"/>
      <c r="P955" s="535" t="n"/>
      <c r="Q955" s="535" t="n"/>
      <c r="R955" s="282" t="n"/>
      <c r="S955" s="282" t="n"/>
      <c r="T955" s="535" t="n"/>
      <c r="U955" s="535" t="n"/>
      <c r="V955" s="282" t="n"/>
      <c r="W955" s="282" t="n"/>
      <c r="X955" s="536" t="n"/>
      <c r="Y955" s="536" t="n"/>
      <c r="Z955" s="282" t="n"/>
      <c r="AA955" s="282" t="n"/>
      <c r="AB955" s="536" t="n"/>
      <c r="AC955" s="536" t="n"/>
      <c r="AD955" s="282" t="n"/>
      <c r="AE955" s="282" t="n"/>
      <c r="AF955" s="537" t="n"/>
      <c r="AG955" s="537" t="n"/>
      <c r="AH955" s="282" t="n"/>
      <c r="AI955" s="282" t="n"/>
      <c r="AJ955" s="537" t="n"/>
      <c r="AK955" s="537" t="n"/>
      <c r="AL955" s="282" t="n"/>
      <c r="AM955" s="282" t="n"/>
      <c r="AN955" s="282" t="n"/>
      <c r="AO955" s="282" t="n"/>
      <c r="AP955" s="282" t="n"/>
      <c r="AQ955" s="282" t="n"/>
      <c r="AR955" s="535" t="n"/>
      <c r="AS955" s="535" t="n"/>
      <c r="AT955" s="282" t="n"/>
      <c r="AU955" s="282" t="n"/>
    </row>
    <row customHeight="1" ht="15.75" r="956" s="452" spans="1:48">
      <c r="A956" s="44" t="n"/>
      <c r="D956" s="535" t="n"/>
      <c r="E956" s="535" t="n"/>
      <c r="F956" s="282" t="n"/>
      <c r="G956" s="282" t="n"/>
      <c r="H956" s="536" t="n"/>
      <c r="I956" s="535" t="n"/>
      <c r="J956" s="282" t="n"/>
      <c r="K956" s="282" t="n"/>
      <c r="L956" s="536" t="n"/>
      <c r="M956" s="535" t="n"/>
      <c r="N956" s="282" t="n"/>
      <c r="O956" s="282" t="n"/>
      <c r="P956" s="535" t="n"/>
      <c r="Q956" s="535" t="n"/>
      <c r="R956" s="282" t="n"/>
      <c r="S956" s="282" t="n"/>
      <c r="T956" s="535" t="n"/>
      <c r="U956" s="535" t="n"/>
      <c r="V956" s="282" t="n"/>
      <c r="W956" s="282" t="n"/>
      <c r="X956" s="536" t="n"/>
      <c r="Y956" s="536" t="n"/>
      <c r="Z956" s="282" t="n"/>
      <c r="AA956" s="282" t="n"/>
      <c r="AB956" s="536" t="n"/>
      <c r="AC956" s="536" t="n"/>
      <c r="AD956" s="282" t="n"/>
      <c r="AE956" s="282" t="n"/>
      <c r="AF956" s="537" t="n"/>
      <c r="AG956" s="537" t="n"/>
      <c r="AH956" s="282" t="n"/>
      <c r="AI956" s="282" t="n"/>
      <c r="AJ956" s="537" t="n"/>
      <c r="AK956" s="537" t="n"/>
      <c r="AL956" s="282" t="n"/>
      <c r="AM956" s="282" t="n"/>
      <c r="AN956" s="282" t="n"/>
      <c r="AO956" s="282" t="n"/>
      <c r="AP956" s="282" t="n"/>
      <c r="AQ956" s="282" t="n"/>
      <c r="AR956" s="535" t="n"/>
      <c r="AS956" s="535" t="n"/>
      <c r="AT956" s="282" t="n"/>
      <c r="AU956" s="282" t="n"/>
    </row>
    <row customHeight="1" ht="15.75" r="957" s="452" spans="1:48">
      <c r="A957" s="44" t="n"/>
      <c r="D957" s="535" t="n"/>
      <c r="E957" s="535" t="n"/>
      <c r="F957" s="282" t="n"/>
      <c r="G957" s="282" t="n"/>
      <c r="H957" s="536" t="n"/>
      <c r="I957" s="535" t="n"/>
      <c r="J957" s="282" t="n"/>
      <c r="K957" s="282" t="n"/>
      <c r="L957" s="536" t="n"/>
      <c r="M957" s="535" t="n"/>
      <c r="N957" s="282" t="n"/>
      <c r="O957" s="282" t="n"/>
      <c r="P957" s="535" t="n"/>
      <c r="Q957" s="535" t="n"/>
      <c r="R957" s="282" t="n"/>
      <c r="S957" s="282" t="n"/>
      <c r="T957" s="535" t="n"/>
      <c r="U957" s="535" t="n"/>
      <c r="V957" s="282" t="n"/>
      <c r="W957" s="282" t="n"/>
      <c r="X957" s="536" t="n"/>
      <c r="Y957" s="536" t="n"/>
      <c r="Z957" s="282" t="n"/>
      <c r="AA957" s="282" t="n"/>
      <c r="AB957" s="536" t="n"/>
      <c r="AC957" s="536" t="n"/>
      <c r="AD957" s="282" t="n"/>
      <c r="AE957" s="282" t="n"/>
      <c r="AF957" s="537" t="n"/>
      <c r="AG957" s="537" t="n"/>
      <c r="AH957" s="282" t="n"/>
      <c r="AI957" s="282" t="n"/>
      <c r="AJ957" s="537" t="n"/>
      <c r="AK957" s="537" t="n"/>
      <c r="AL957" s="282" t="n"/>
      <c r="AM957" s="282" t="n"/>
      <c r="AN957" s="282" t="n"/>
      <c r="AO957" s="282" t="n"/>
      <c r="AP957" s="282" t="n"/>
      <c r="AQ957" s="282" t="n"/>
      <c r="AR957" s="535" t="n"/>
      <c r="AS957" s="535" t="n"/>
      <c r="AT957" s="282" t="n"/>
      <c r="AU957" s="282" t="n"/>
    </row>
    <row customHeight="1" ht="15.75" r="958" s="452" spans="1:48">
      <c r="A958" s="44" t="n"/>
      <c r="D958" s="535" t="n"/>
      <c r="E958" s="535" t="n"/>
      <c r="F958" s="282" t="n"/>
      <c r="G958" s="282" t="n"/>
      <c r="H958" s="536" t="n"/>
      <c r="I958" s="535" t="n"/>
      <c r="J958" s="282" t="n"/>
      <c r="K958" s="282" t="n"/>
      <c r="L958" s="536" t="n"/>
      <c r="M958" s="535" t="n"/>
      <c r="N958" s="282" t="n"/>
      <c r="O958" s="282" t="n"/>
      <c r="P958" s="535" t="n"/>
      <c r="Q958" s="535" t="n"/>
      <c r="R958" s="282" t="n"/>
      <c r="S958" s="282" t="n"/>
      <c r="T958" s="535" t="n"/>
      <c r="U958" s="535" t="n"/>
      <c r="V958" s="282" t="n"/>
      <c r="W958" s="282" t="n"/>
      <c r="X958" s="536" t="n"/>
      <c r="Y958" s="536" t="n"/>
      <c r="Z958" s="282" t="n"/>
      <c r="AA958" s="282" t="n"/>
      <c r="AB958" s="536" t="n"/>
      <c r="AC958" s="536" t="n"/>
      <c r="AD958" s="282" t="n"/>
      <c r="AE958" s="282" t="n"/>
      <c r="AF958" s="537" t="n"/>
      <c r="AG958" s="537" t="n"/>
      <c r="AH958" s="282" t="n"/>
      <c r="AI958" s="282" t="n"/>
      <c r="AJ958" s="537" t="n"/>
      <c r="AK958" s="537" t="n"/>
      <c r="AL958" s="282" t="n"/>
      <c r="AM958" s="282" t="n"/>
      <c r="AN958" s="282" t="n"/>
      <c r="AO958" s="282" t="n"/>
      <c r="AP958" s="282" t="n"/>
      <c r="AQ958" s="282" t="n"/>
      <c r="AR958" s="535" t="n"/>
      <c r="AS958" s="535" t="n"/>
      <c r="AT958" s="282" t="n"/>
      <c r="AU958" s="282" t="n"/>
    </row>
    <row customHeight="1" ht="15.75" r="959" s="452" spans="1:48">
      <c r="A959" s="44" t="n"/>
      <c r="D959" s="535" t="n"/>
      <c r="E959" s="535" t="n"/>
      <c r="F959" s="282" t="n"/>
      <c r="G959" s="282" t="n"/>
      <c r="H959" s="536" t="n"/>
      <c r="I959" s="535" t="n"/>
      <c r="J959" s="282" t="n"/>
      <c r="K959" s="282" t="n"/>
      <c r="L959" s="536" t="n"/>
      <c r="M959" s="535" t="n"/>
      <c r="N959" s="282" t="n"/>
      <c r="O959" s="282" t="n"/>
      <c r="P959" s="535" t="n"/>
      <c r="Q959" s="535" t="n"/>
      <c r="R959" s="282" t="n"/>
      <c r="S959" s="282" t="n"/>
      <c r="T959" s="535" t="n"/>
      <c r="U959" s="535" t="n"/>
      <c r="V959" s="282" t="n"/>
      <c r="W959" s="282" t="n"/>
      <c r="X959" s="536" t="n"/>
      <c r="Y959" s="536" t="n"/>
      <c r="Z959" s="282" t="n"/>
      <c r="AA959" s="282" t="n"/>
      <c r="AB959" s="536" t="n"/>
      <c r="AC959" s="536" t="n"/>
      <c r="AD959" s="282" t="n"/>
      <c r="AE959" s="282" t="n"/>
      <c r="AF959" s="537" t="n"/>
      <c r="AG959" s="537" t="n"/>
      <c r="AH959" s="282" t="n"/>
      <c r="AI959" s="282" t="n"/>
      <c r="AJ959" s="537" t="n"/>
      <c r="AK959" s="537" t="n"/>
      <c r="AL959" s="282" t="n"/>
      <c r="AM959" s="282" t="n"/>
      <c r="AN959" s="282" t="n"/>
      <c r="AO959" s="282" t="n"/>
      <c r="AP959" s="282" t="n"/>
      <c r="AQ959" s="282" t="n"/>
      <c r="AR959" s="535" t="n"/>
      <c r="AS959" s="535" t="n"/>
      <c r="AT959" s="282" t="n"/>
      <c r="AU959" s="282" t="n"/>
    </row>
    <row customHeight="1" ht="15.75" r="960" s="452" spans="1:48">
      <c r="A960" s="44" t="n"/>
      <c r="D960" s="535" t="n"/>
      <c r="E960" s="535" t="n"/>
      <c r="F960" s="282" t="n"/>
      <c r="G960" s="282" t="n"/>
      <c r="H960" s="536" t="n"/>
      <c r="I960" s="535" t="n"/>
      <c r="J960" s="282" t="n"/>
      <c r="K960" s="282" t="n"/>
      <c r="L960" s="536" t="n"/>
      <c r="M960" s="535" t="n"/>
      <c r="N960" s="282" t="n"/>
      <c r="O960" s="282" t="n"/>
      <c r="P960" s="535" t="n"/>
      <c r="Q960" s="535" t="n"/>
      <c r="R960" s="282" t="n"/>
      <c r="S960" s="282" t="n"/>
      <c r="T960" s="535" t="n"/>
      <c r="U960" s="535" t="n"/>
      <c r="V960" s="282" t="n"/>
      <c r="W960" s="282" t="n"/>
      <c r="X960" s="536" t="n"/>
      <c r="Y960" s="536" t="n"/>
      <c r="Z960" s="282" t="n"/>
      <c r="AA960" s="282" t="n"/>
      <c r="AB960" s="536" t="n"/>
      <c r="AC960" s="536" t="n"/>
      <c r="AD960" s="282" t="n"/>
      <c r="AE960" s="282" t="n"/>
      <c r="AF960" s="537" t="n"/>
      <c r="AG960" s="537" t="n"/>
      <c r="AH960" s="282" t="n"/>
      <c r="AI960" s="282" t="n"/>
      <c r="AJ960" s="537" t="n"/>
      <c r="AK960" s="537" t="n"/>
      <c r="AL960" s="282" t="n"/>
      <c r="AM960" s="282" t="n"/>
      <c r="AN960" s="282" t="n"/>
      <c r="AO960" s="282" t="n"/>
      <c r="AP960" s="282" t="n"/>
      <c r="AQ960" s="282" t="n"/>
      <c r="AR960" s="535" t="n"/>
      <c r="AS960" s="535" t="n"/>
      <c r="AT960" s="282" t="n"/>
      <c r="AU960" s="282" t="n"/>
    </row>
    <row customHeight="1" ht="15.75" r="961" s="452" spans="1:48">
      <c r="A961" s="44" t="n"/>
      <c r="D961" s="535" t="n"/>
      <c r="E961" s="535" t="n"/>
      <c r="F961" s="282" t="n"/>
      <c r="G961" s="282" t="n"/>
      <c r="H961" s="536" t="n"/>
      <c r="I961" s="535" t="n"/>
      <c r="J961" s="282" t="n"/>
      <c r="K961" s="282" t="n"/>
      <c r="L961" s="536" t="n"/>
      <c r="M961" s="535" t="n"/>
      <c r="N961" s="282" t="n"/>
      <c r="O961" s="282" t="n"/>
      <c r="P961" s="535" t="n"/>
      <c r="Q961" s="535" t="n"/>
      <c r="R961" s="282" t="n"/>
      <c r="S961" s="282" t="n"/>
      <c r="T961" s="535" t="n"/>
      <c r="U961" s="535" t="n"/>
      <c r="V961" s="282" t="n"/>
      <c r="W961" s="282" t="n"/>
      <c r="X961" s="536" t="n"/>
      <c r="Y961" s="536" t="n"/>
      <c r="Z961" s="282" t="n"/>
      <c r="AA961" s="282" t="n"/>
      <c r="AB961" s="536" t="n"/>
      <c r="AC961" s="536" t="n"/>
      <c r="AD961" s="282" t="n"/>
      <c r="AE961" s="282" t="n"/>
      <c r="AF961" s="537" t="n"/>
      <c r="AG961" s="537" t="n"/>
      <c r="AH961" s="282" t="n"/>
      <c r="AI961" s="282" t="n"/>
      <c r="AJ961" s="537" t="n"/>
      <c r="AK961" s="537" t="n"/>
      <c r="AL961" s="282" t="n"/>
      <c r="AM961" s="282" t="n"/>
      <c r="AN961" s="282" t="n"/>
      <c r="AO961" s="282" t="n"/>
      <c r="AP961" s="282" t="n"/>
      <c r="AQ961" s="282" t="n"/>
      <c r="AR961" s="535" t="n"/>
      <c r="AS961" s="535" t="n"/>
      <c r="AT961" s="282" t="n"/>
      <c r="AU961" s="282" t="n"/>
    </row>
    <row customHeight="1" ht="15.75" r="962" s="452" spans="1:48">
      <c r="A962" s="44" t="n"/>
      <c r="D962" s="535" t="n"/>
      <c r="E962" s="535" t="n"/>
      <c r="F962" s="282" t="n"/>
      <c r="G962" s="282" t="n"/>
      <c r="H962" s="536" t="n"/>
      <c r="I962" s="535" t="n"/>
      <c r="J962" s="282" t="n"/>
      <c r="K962" s="282" t="n"/>
      <c r="L962" s="536" t="n"/>
      <c r="M962" s="535" t="n"/>
      <c r="N962" s="282" t="n"/>
      <c r="O962" s="282" t="n"/>
      <c r="P962" s="535" t="n"/>
      <c r="Q962" s="535" t="n"/>
      <c r="R962" s="282" t="n"/>
      <c r="S962" s="282" t="n"/>
      <c r="T962" s="535" t="n"/>
      <c r="U962" s="535" t="n"/>
      <c r="V962" s="282" t="n"/>
      <c r="W962" s="282" t="n"/>
      <c r="X962" s="536" t="n"/>
      <c r="Y962" s="536" t="n"/>
      <c r="Z962" s="282" t="n"/>
      <c r="AA962" s="282" t="n"/>
      <c r="AB962" s="536" t="n"/>
      <c r="AC962" s="536" t="n"/>
      <c r="AD962" s="282" t="n"/>
      <c r="AE962" s="282" t="n"/>
      <c r="AF962" s="537" t="n"/>
      <c r="AG962" s="537" t="n"/>
      <c r="AH962" s="282" t="n"/>
      <c r="AI962" s="282" t="n"/>
      <c r="AJ962" s="537" t="n"/>
      <c r="AK962" s="537" t="n"/>
      <c r="AL962" s="282" t="n"/>
      <c r="AM962" s="282" t="n"/>
      <c r="AN962" s="282" t="n"/>
      <c r="AO962" s="282" t="n"/>
      <c r="AP962" s="282" t="n"/>
      <c r="AQ962" s="282" t="n"/>
      <c r="AR962" s="535" t="n"/>
      <c r="AS962" s="535" t="n"/>
      <c r="AT962" s="282" t="n"/>
      <c r="AU962" s="282" t="n"/>
    </row>
    <row customHeight="1" ht="15.75" r="963" s="452" spans="1:48">
      <c r="A963" s="44" t="n"/>
      <c r="D963" s="535" t="n"/>
      <c r="E963" s="535" t="n"/>
      <c r="F963" s="282" t="n"/>
      <c r="G963" s="282" t="n"/>
      <c r="H963" s="536" t="n"/>
      <c r="I963" s="535" t="n"/>
      <c r="J963" s="282" t="n"/>
      <c r="K963" s="282" t="n"/>
      <c r="L963" s="536" t="n"/>
      <c r="M963" s="535" t="n"/>
      <c r="N963" s="282" t="n"/>
      <c r="O963" s="282" t="n"/>
      <c r="P963" s="535" t="n"/>
      <c r="Q963" s="535" t="n"/>
      <c r="R963" s="282" t="n"/>
      <c r="S963" s="282" t="n"/>
      <c r="T963" s="535" t="n"/>
      <c r="U963" s="535" t="n"/>
      <c r="V963" s="282" t="n"/>
      <c r="W963" s="282" t="n"/>
      <c r="X963" s="536" t="n"/>
      <c r="Y963" s="536" t="n"/>
      <c r="Z963" s="282" t="n"/>
      <c r="AA963" s="282" t="n"/>
      <c r="AB963" s="536" t="n"/>
      <c r="AC963" s="536" t="n"/>
      <c r="AD963" s="282" t="n"/>
      <c r="AE963" s="282" t="n"/>
      <c r="AF963" s="537" t="n"/>
      <c r="AG963" s="537" t="n"/>
      <c r="AH963" s="282" t="n"/>
      <c r="AI963" s="282" t="n"/>
      <c r="AJ963" s="537" t="n"/>
      <c r="AK963" s="537" t="n"/>
      <c r="AL963" s="282" t="n"/>
      <c r="AM963" s="282" t="n"/>
      <c r="AN963" s="282" t="n"/>
      <c r="AO963" s="282" t="n"/>
      <c r="AP963" s="282" t="n"/>
      <c r="AQ963" s="282" t="n"/>
      <c r="AR963" s="535" t="n"/>
      <c r="AS963" s="535" t="n"/>
      <c r="AT963" s="282" t="n"/>
      <c r="AU963" s="282" t="n"/>
    </row>
    <row customHeight="1" ht="15.75" r="964" s="452" spans="1:48">
      <c r="A964" s="44" t="n"/>
      <c r="D964" s="535" t="n"/>
      <c r="E964" s="535" t="n"/>
      <c r="F964" s="282" t="n"/>
      <c r="G964" s="282" t="n"/>
      <c r="H964" s="536" t="n"/>
      <c r="I964" s="535" t="n"/>
      <c r="J964" s="282" t="n"/>
      <c r="K964" s="282" t="n"/>
      <c r="L964" s="536" t="n"/>
      <c r="M964" s="535" t="n"/>
      <c r="N964" s="282" t="n"/>
      <c r="O964" s="282" t="n"/>
      <c r="P964" s="535" t="n"/>
      <c r="Q964" s="535" t="n"/>
      <c r="R964" s="282" t="n"/>
      <c r="S964" s="282" t="n"/>
      <c r="T964" s="535" t="n"/>
      <c r="U964" s="535" t="n"/>
      <c r="V964" s="282" t="n"/>
      <c r="W964" s="282" t="n"/>
      <c r="X964" s="536" t="n"/>
      <c r="Y964" s="536" t="n"/>
      <c r="Z964" s="282" t="n"/>
      <c r="AA964" s="282" t="n"/>
      <c r="AB964" s="536" t="n"/>
      <c r="AC964" s="536" t="n"/>
      <c r="AD964" s="282" t="n"/>
      <c r="AE964" s="282" t="n"/>
      <c r="AF964" s="537" t="n"/>
      <c r="AG964" s="537" t="n"/>
      <c r="AH964" s="282" t="n"/>
      <c r="AI964" s="282" t="n"/>
      <c r="AJ964" s="537" t="n"/>
      <c r="AK964" s="537" t="n"/>
      <c r="AL964" s="282" t="n"/>
      <c r="AM964" s="282" t="n"/>
      <c r="AN964" s="282" t="n"/>
      <c r="AO964" s="282" t="n"/>
      <c r="AP964" s="282" t="n"/>
      <c r="AQ964" s="282" t="n"/>
      <c r="AR964" s="535" t="n"/>
      <c r="AS964" s="535" t="n"/>
      <c r="AT964" s="282" t="n"/>
      <c r="AU964" s="282" t="n"/>
    </row>
    <row customHeight="1" ht="15.75" r="965" s="452" spans="1:48">
      <c r="A965" s="44" t="n"/>
      <c r="D965" s="535" t="n"/>
      <c r="E965" s="535" t="n"/>
      <c r="F965" s="282" t="n"/>
      <c r="G965" s="282" t="n"/>
      <c r="H965" s="536" t="n"/>
      <c r="I965" s="535" t="n"/>
      <c r="J965" s="282" t="n"/>
      <c r="K965" s="282" t="n"/>
      <c r="L965" s="536" t="n"/>
      <c r="M965" s="535" t="n"/>
      <c r="N965" s="282" t="n"/>
      <c r="O965" s="282" t="n"/>
      <c r="P965" s="535" t="n"/>
      <c r="Q965" s="535" t="n"/>
      <c r="R965" s="282" t="n"/>
      <c r="S965" s="282" t="n"/>
      <c r="T965" s="535" t="n"/>
      <c r="U965" s="535" t="n"/>
      <c r="V965" s="282" t="n"/>
      <c r="W965" s="282" t="n"/>
      <c r="X965" s="536" t="n"/>
      <c r="Y965" s="536" t="n"/>
      <c r="Z965" s="282" t="n"/>
      <c r="AA965" s="282" t="n"/>
      <c r="AB965" s="536" t="n"/>
      <c r="AC965" s="536" t="n"/>
      <c r="AD965" s="282" t="n"/>
      <c r="AE965" s="282" t="n"/>
      <c r="AF965" s="537" t="n"/>
      <c r="AG965" s="537" t="n"/>
      <c r="AH965" s="282" t="n"/>
      <c r="AI965" s="282" t="n"/>
      <c r="AJ965" s="537" t="n"/>
      <c r="AK965" s="537" t="n"/>
      <c r="AL965" s="282" t="n"/>
      <c r="AM965" s="282" t="n"/>
      <c r="AN965" s="282" t="n"/>
      <c r="AO965" s="282" t="n"/>
      <c r="AP965" s="282" t="n"/>
      <c r="AQ965" s="282" t="n"/>
      <c r="AR965" s="535" t="n"/>
      <c r="AS965" s="535" t="n"/>
      <c r="AT965" s="282" t="n"/>
      <c r="AU965" s="282" t="n"/>
    </row>
    <row customHeight="1" ht="15.75" r="966" s="452" spans="1:48">
      <c r="A966" s="44" t="n"/>
      <c r="D966" s="535" t="n"/>
      <c r="E966" s="535" t="n"/>
      <c r="F966" s="282" t="n"/>
      <c r="G966" s="282" t="n"/>
      <c r="H966" s="536" t="n"/>
      <c r="I966" s="535" t="n"/>
      <c r="J966" s="282" t="n"/>
      <c r="K966" s="282" t="n"/>
      <c r="L966" s="536" t="n"/>
      <c r="M966" s="535" t="n"/>
      <c r="N966" s="282" t="n"/>
      <c r="O966" s="282" t="n"/>
      <c r="P966" s="535" t="n"/>
      <c r="Q966" s="535" t="n"/>
      <c r="R966" s="282" t="n"/>
      <c r="S966" s="282" t="n"/>
      <c r="T966" s="535" t="n"/>
      <c r="U966" s="535" t="n"/>
      <c r="V966" s="282" t="n"/>
      <c r="W966" s="282" t="n"/>
      <c r="X966" s="536" t="n"/>
      <c r="Y966" s="536" t="n"/>
      <c r="Z966" s="282" t="n"/>
      <c r="AA966" s="282" t="n"/>
      <c r="AB966" s="536" t="n"/>
      <c r="AC966" s="536" t="n"/>
      <c r="AD966" s="282" t="n"/>
      <c r="AE966" s="282" t="n"/>
      <c r="AF966" s="537" t="n"/>
      <c r="AG966" s="537" t="n"/>
      <c r="AH966" s="282" t="n"/>
      <c r="AI966" s="282" t="n"/>
      <c r="AJ966" s="537" t="n"/>
      <c r="AK966" s="537" t="n"/>
      <c r="AL966" s="282" t="n"/>
      <c r="AM966" s="282" t="n"/>
      <c r="AN966" s="282" t="n"/>
      <c r="AO966" s="282" t="n"/>
      <c r="AP966" s="282" t="n"/>
      <c r="AQ966" s="282" t="n"/>
      <c r="AR966" s="535" t="n"/>
      <c r="AS966" s="535" t="n"/>
      <c r="AT966" s="282" t="n"/>
      <c r="AU966" s="282" t="n"/>
    </row>
    <row customHeight="1" ht="15.75" r="967" s="452" spans="1:48">
      <c r="A967" s="44" t="n"/>
      <c r="D967" s="535" t="n"/>
      <c r="E967" s="535" t="n"/>
      <c r="F967" s="282" t="n"/>
      <c r="G967" s="282" t="n"/>
      <c r="H967" s="536" t="n"/>
      <c r="I967" s="535" t="n"/>
      <c r="J967" s="282" t="n"/>
      <c r="K967" s="282" t="n"/>
      <c r="L967" s="536" t="n"/>
      <c r="M967" s="535" t="n"/>
      <c r="N967" s="282" t="n"/>
      <c r="O967" s="282" t="n"/>
      <c r="P967" s="535" t="n"/>
      <c r="Q967" s="535" t="n"/>
      <c r="R967" s="282" t="n"/>
      <c r="S967" s="282" t="n"/>
      <c r="T967" s="535" t="n"/>
      <c r="U967" s="535" t="n"/>
      <c r="V967" s="282" t="n"/>
      <c r="W967" s="282" t="n"/>
      <c r="X967" s="536" t="n"/>
      <c r="Y967" s="536" t="n"/>
      <c r="Z967" s="282" t="n"/>
      <c r="AA967" s="282" t="n"/>
      <c r="AB967" s="536" t="n"/>
      <c r="AC967" s="536" t="n"/>
      <c r="AD967" s="282" t="n"/>
      <c r="AE967" s="282" t="n"/>
      <c r="AF967" s="537" t="n"/>
      <c r="AG967" s="537" t="n"/>
      <c r="AH967" s="282" t="n"/>
      <c r="AI967" s="282" t="n"/>
      <c r="AJ967" s="537" t="n"/>
      <c r="AK967" s="537" t="n"/>
      <c r="AL967" s="282" t="n"/>
      <c r="AM967" s="282" t="n"/>
      <c r="AN967" s="282" t="n"/>
      <c r="AO967" s="282" t="n"/>
      <c r="AP967" s="282" t="n"/>
      <c r="AQ967" s="282" t="n"/>
      <c r="AR967" s="535" t="n"/>
      <c r="AS967" s="535" t="n"/>
      <c r="AT967" s="282" t="n"/>
      <c r="AU967" s="282" t="n"/>
    </row>
    <row customHeight="1" ht="15.75" r="968" s="452" spans="1:48">
      <c r="A968" s="44" t="n"/>
      <c r="D968" s="535" t="n"/>
      <c r="E968" s="535" t="n"/>
      <c r="F968" s="282" t="n"/>
      <c r="G968" s="282" t="n"/>
      <c r="H968" s="536" t="n"/>
      <c r="I968" s="535" t="n"/>
      <c r="J968" s="282" t="n"/>
      <c r="K968" s="282" t="n"/>
      <c r="L968" s="536" t="n"/>
      <c r="M968" s="535" t="n"/>
      <c r="N968" s="282" t="n"/>
      <c r="O968" s="282" t="n"/>
      <c r="P968" s="535" t="n"/>
      <c r="Q968" s="535" t="n"/>
      <c r="R968" s="282" t="n"/>
      <c r="S968" s="282" t="n"/>
      <c r="T968" s="535" t="n"/>
      <c r="U968" s="535" t="n"/>
      <c r="V968" s="282" t="n"/>
      <c r="W968" s="282" t="n"/>
      <c r="X968" s="536" t="n"/>
      <c r="Y968" s="536" t="n"/>
      <c r="Z968" s="282" t="n"/>
      <c r="AA968" s="282" t="n"/>
      <c r="AB968" s="536" t="n"/>
      <c r="AC968" s="536" t="n"/>
      <c r="AD968" s="282" t="n"/>
      <c r="AE968" s="282" t="n"/>
      <c r="AF968" s="537" t="n"/>
      <c r="AG968" s="537" t="n"/>
      <c r="AH968" s="282" t="n"/>
      <c r="AI968" s="282" t="n"/>
      <c r="AJ968" s="537" t="n"/>
      <c r="AK968" s="537" t="n"/>
      <c r="AL968" s="282" t="n"/>
      <c r="AM968" s="282" t="n"/>
      <c r="AN968" s="282" t="n"/>
      <c r="AO968" s="282" t="n"/>
      <c r="AP968" s="282" t="n"/>
      <c r="AQ968" s="282" t="n"/>
      <c r="AR968" s="535" t="n"/>
      <c r="AS968" s="535" t="n"/>
      <c r="AT968" s="282" t="n"/>
      <c r="AU968" s="282" t="n"/>
    </row>
    <row customHeight="1" ht="15.75" r="969" s="452" spans="1:48">
      <c r="A969" s="44" t="n"/>
      <c r="D969" s="535" t="n"/>
      <c r="E969" s="535" t="n"/>
      <c r="F969" s="282" t="n"/>
      <c r="G969" s="282" t="n"/>
      <c r="H969" s="536" t="n"/>
      <c r="I969" s="535" t="n"/>
      <c r="J969" s="282" t="n"/>
      <c r="K969" s="282" t="n"/>
      <c r="L969" s="536" t="n"/>
      <c r="M969" s="535" t="n"/>
      <c r="N969" s="282" t="n"/>
      <c r="O969" s="282" t="n"/>
      <c r="P969" s="535" t="n"/>
      <c r="Q969" s="535" t="n"/>
      <c r="R969" s="282" t="n"/>
      <c r="S969" s="282" t="n"/>
      <c r="T969" s="535" t="n"/>
      <c r="U969" s="535" t="n"/>
      <c r="V969" s="282" t="n"/>
      <c r="W969" s="282" t="n"/>
      <c r="X969" s="536" t="n"/>
      <c r="Y969" s="536" t="n"/>
      <c r="Z969" s="282" t="n"/>
      <c r="AA969" s="282" t="n"/>
      <c r="AB969" s="536" t="n"/>
      <c r="AC969" s="536" t="n"/>
      <c r="AD969" s="282" t="n"/>
      <c r="AE969" s="282" t="n"/>
      <c r="AF969" s="537" t="n"/>
      <c r="AG969" s="537" t="n"/>
      <c r="AH969" s="282" t="n"/>
      <c r="AI969" s="282" t="n"/>
      <c r="AJ969" s="537" t="n"/>
      <c r="AK969" s="537" t="n"/>
      <c r="AL969" s="282" t="n"/>
      <c r="AM969" s="282" t="n"/>
      <c r="AN969" s="282" t="n"/>
      <c r="AO969" s="282" t="n"/>
      <c r="AP969" s="282" t="n"/>
      <c r="AQ969" s="282" t="n"/>
      <c r="AR969" s="535" t="n"/>
      <c r="AS969" s="535" t="n"/>
      <c r="AT969" s="282" t="n"/>
      <c r="AU969" s="282" t="n"/>
    </row>
    <row customHeight="1" ht="15.75" r="970" s="452" spans="1:48">
      <c r="A970" s="44" t="n"/>
      <c r="D970" s="535" t="n"/>
      <c r="E970" s="535" t="n"/>
      <c r="F970" s="282" t="n"/>
      <c r="G970" s="282" t="n"/>
      <c r="H970" s="536" t="n"/>
      <c r="I970" s="535" t="n"/>
      <c r="J970" s="282" t="n"/>
      <c r="K970" s="282" t="n"/>
      <c r="L970" s="536" t="n"/>
      <c r="M970" s="535" t="n"/>
      <c r="N970" s="282" t="n"/>
      <c r="O970" s="282" t="n"/>
      <c r="P970" s="535" t="n"/>
      <c r="Q970" s="535" t="n"/>
      <c r="R970" s="282" t="n"/>
      <c r="S970" s="282" t="n"/>
      <c r="T970" s="535" t="n"/>
      <c r="U970" s="535" t="n"/>
      <c r="V970" s="282" t="n"/>
      <c r="W970" s="282" t="n"/>
      <c r="X970" s="536" t="n"/>
      <c r="Y970" s="536" t="n"/>
      <c r="Z970" s="282" t="n"/>
      <c r="AA970" s="282" t="n"/>
      <c r="AB970" s="536" t="n"/>
      <c r="AC970" s="536" t="n"/>
      <c r="AD970" s="282" t="n"/>
      <c r="AE970" s="282" t="n"/>
      <c r="AF970" s="537" t="n"/>
      <c r="AG970" s="537" t="n"/>
      <c r="AH970" s="282" t="n"/>
      <c r="AI970" s="282" t="n"/>
      <c r="AJ970" s="537" t="n"/>
      <c r="AK970" s="537" t="n"/>
      <c r="AL970" s="282" t="n"/>
      <c r="AM970" s="282" t="n"/>
      <c r="AN970" s="282" t="n"/>
      <c r="AO970" s="282" t="n"/>
      <c r="AP970" s="282" t="n"/>
      <c r="AQ970" s="282" t="n"/>
      <c r="AR970" s="535" t="n"/>
      <c r="AS970" s="535" t="n"/>
      <c r="AT970" s="282" t="n"/>
      <c r="AU970" s="282" t="n"/>
    </row>
    <row customHeight="1" ht="15.75" r="971" s="452" spans="1:48">
      <c r="A971" s="44" t="n"/>
      <c r="D971" s="535" t="n"/>
      <c r="E971" s="535" t="n"/>
      <c r="F971" s="282" t="n"/>
      <c r="G971" s="282" t="n"/>
      <c r="H971" s="536" t="n"/>
      <c r="I971" s="535" t="n"/>
      <c r="J971" s="282" t="n"/>
      <c r="K971" s="282" t="n"/>
      <c r="L971" s="536" t="n"/>
      <c r="M971" s="535" t="n"/>
      <c r="N971" s="282" t="n"/>
      <c r="O971" s="282" t="n"/>
      <c r="P971" s="535" t="n"/>
      <c r="Q971" s="535" t="n"/>
      <c r="R971" s="282" t="n"/>
      <c r="S971" s="282" t="n"/>
      <c r="T971" s="535" t="n"/>
      <c r="U971" s="535" t="n"/>
      <c r="V971" s="282" t="n"/>
      <c r="W971" s="282" t="n"/>
      <c r="X971" s="536" t="n"/>
      <c r="Y971" s="536" t="n"/>
      <c r="Z971" s="282" t="n"/>
      <c r="AA971" s="282" t="n"/>
      <c r="AB971" s="536" t="n"/>
      <c r="AC971" s="536" t="n"/>
      <c r="AD971" s="282" t="n"/>
      <c r="AE971" s="282" t="n"/>
      <c r="AF971" s="537" t="n"/>
      <c r="AG971" s="537" t="n"/>
      <c r="AH971" s="282" t="n"/>
      <c r="AI971" s="282" t="n"/>
      <c r="AJ971" s="537" t="n"/>
      <c r="AK971" s="537" t="n"/>
      <c r="AL971" s="282" t="n"/>
      <c r="AM971" s="282" t="n"/>
      <c r="AN971" s="282" t="n"/>
      <c r="AO971" s="282" t="n"/>
      <c r="AP971" s="282" t="n"/>
      <c r="AQ971" s="282" t="n"/>
      <c r="AR971" s="535" t="n"/>
      <c r="AS971" s="535" t="n"/>
      <c r="AT971" s="282" t="n"/>
      <c r="AU971" s="282" t="n"/>
    </row>
    <row customHeight="1" ht="15.75" r="972" s="452" spans="1:48">
      <c r="A972" s="44" t="n"/>
      <c r="D972" s="535" t="n"/>
      <c r="E972" s="535" t="n"/>
      <c r="F972" s="282" t="n"/>
      <c r="G972" s="282" t="n"/>
      <c r="H972" s="536" t="n"/>
      <c r="I972" s="535" t="n"/>
      <c r="J972" s="282" t="n"/>
      <c r="K972" s="282" t="n"/>
      <c r="L972" s="536" t="n"/>
      <c r="M972" s="535" t="n"/>
      <c r="N972" s="282" t="n"/>
      <c r="O972" s="282" t="n"/>
      <c r="P972" s="535" t="n"/>
      <c r="Q972" s="535" t="n"/>
      <c r="R972" s="282" t="n"/>
      <c r="S972" s="282" t="n"/>
      <c r="T972" s="535" t="n"/>
      <c r="U972" s="535" t="n"/>
      <c r="V972" s="282" t="n"/>
      <c r="W972" s="282" t="n"/>
      <c r="X972" s="536" t="n"/>
      <c r="Y972" s="536" t="n"/>
      <c r="Z972" s="282" t="n"/>
      <c r="AA972" s="282" t="n"/>
      <c r="AB972" s="536" t="n"/>
      <c r="AC972" s="536" t="n"/>
      <c r="AD972" s="282" t="n"/>
      <c r="AE972" s="282" t="n"/>
      <c r="AF972" s="537" t="n"/>
      <c r="AG972" s="537" t="n"/>
      <c r="AH972" s="282" t="n"/>
      <c r="AI972" s="282" t="n"/>
      <c r="AJ972" s="537" t="n"/>
      <c r="AK972" s="537" t="n"/>
      <c r="AL972" s="282" t="n"/>
      <c r="AM972" s="282" t="n"/>
      <c r="AN972" s="282" t="n"/>
      <c r="AO972" s="282" t="n"/>
      <c r="AP972" s="282" t="n"/>
      <c r="AQ972" s="282" t="n"/>
      <c r="AR972" s="535" t="n"/>
      <c r="AS972" s="535" t="n"/>
      <c r="AT972" s="282" t="n"/>
      <c r="AU972" s="282" t="n"/>
    </row>
    <row customHeight="1" ht="15.75" r="973" s="452" spans="1:48">
      <c r="A973" s="44" t="n"/>
      <c r="D973" s="535" t="n"/>
      <c r="E973" s="535" t="n"/>
      <c r="F973" s="282" t="n"/>
      <c r="G973" s="282" t="n"/>
      <c r="H973" s="536" t="n"/>
      <c r="I973" s="535" t="n"/>
      <c r="J973" s="282" t="n"/>
      <c r="K973" s="282" t="n"/>
      <c r="L973" s="536" t="n"/>
      <c r="M973" s="535" t="n"/>
      <c r="N973" s="282" t="n"/>
      <c r="O973" s="282" t="n"/>
      <c r="P973" s="535" t="n"/>
      <c r="Q973" s="535" t="n"/>
      <c r="R973" s="282" t="n"/>
      <c r="S973" s="282" t="n"/>
      <c r="T973" s="535" t="n"/>
      <c r="U973" s="535" t="n"/>
      <c r="V973" s="282" t="n"/>
      <c r="W973" s="282" t="n"/>
      <c r="X973" s="536" t="n"/>
      <c r="Y973" s="536" t="n"/>
      <c r="Z973" s="282" t="n"/>
      <c r="AA973" s="282" t="n"/>
      <c r="AB973" s="536" t="n"/>
      <c r="AC973" s="536" t="n"/>
      <c r="AD973" s="282" t="n"/>
      <c r="AE973" s="282" t="n"/>
      <c r="AF973" s="537" t="n"/>
      <c r="AG973" s="537" t="n"/>
      <c r="AH973" s="282" t="n"/>
      <c r="AI973" s="282" t="n"/>
      <c r="AJ973" s="537" t="n"/>
      <c r="AK973" s="537" t="n"/>
      <c r="AL973" s="282" t="n"/>
      <c r="AM973" s="282" t="n"/>
      <c r="AN973" s="282" t="n"/>
      <c r="AO973" s="282" t="n"/>
      <c r="AP973" s="282" t="n"/>
      <c r="AQ973" s="282" t="n"/>
      <c r="AR973" s="535" t="n"/>
      <c r="AS973" s="535" t="n"/>
      <c r="AT973" s="282" t="n"/>
      <c r="AU973" s="282" t="n"/>
    </row>
    <row customHeight="1" ht="15.75" r="974" s="452" spans="1:48">
      <c r="A974" s="44" t="n"/>
      <c r="D974" s="535" t="n"/>
      <c r="E974" s="535" t="n"/>
      <c r="F974" s="282" t="n"/>
      <c r="G974" s="282" t="n"/>
      <c r="H974" s="536" t="n"/>
      <c r="I974" s="535" t="n"/>
      <c r="J974" s="282" t="n"/>
      <c r="K974" s="282" t="n"/>
      <c r="L974" s="536" t="n"/>
      <c r="M974" s="535" t="n"/>
      <c r="N974" s="282" t="n"/>
      <c r="O974" s="282" t="n"/>
      <c r="P974" s="535" t="n"/>
      <c r="Q974" s="535" t="n"/>
      <c r="R974" s="282" t="n"/>
      <c r="S974" s="282" t="n"/>
      <c r="T974" s="535" t="n"/>
      <c r="U974" s="535" t="n"/>
      <c r="V974" s="282" t="n"/>
      <c r="W974" s="282" t="n"/>
      <c r="X974" s="536" t="n"/>
      <c r="Y974" s="536" t="n"/>
      <c r="Z974" s="282" t="n"/>
      <c r="AA974" s="282" t="n"/>
      <c r="AB974" s="536" t="n"/>
      <c r="AC974" s="536" t="n"/>
      <c r="AD974" s="282" t="n"/>
      <c r="AE974" s="282" t="n"/>
      <c r="AF974" s="537" t="n"/>
      <c r="AG974" s="537" t="n"/>
      <c r="AH974" s="282" t="n"/>
      <c r="AI974" s="282" t="n"/>
      <c r="AJ974" s="537" t="n"/>
      <c r="AK974" s="537" t="n"/>
      <c r="AL974" s="282" t="n"/>
      <c r="AM974" s="282" t="n"/>
      <c r="AN974" s="282" t="n"/>
      <c r="AO974" s="282" t="n"/>
      <c r="AP974" s="282" t="n"/>
      <c r="AQ974" s="282" t="n"/>
      <c r="AR974" s="535" t="n"/>
      <c r="AS974" s="535" t="n"/>
      <c r="AT974" s="282" t="n"/>
      <c r="AU974" s="282" t="n"/>
    </row>
    <row customHeight="1" ht="15.75" r="975" s="452" spans="1:48">
      <c r="A975" s="44" t="n"/>
      <c r="D975" s="535" t="n"/>
      <c r="E975" s="535" t="n"/>
      <c r="F975" s="282" t="n"/>
      <c r="G975" s="282" t="n"/>
      <c r="H975" s="536" t="n"/>
      <c r="I975" s="535" t="n"/>
      <c r="J975" s="282" t="n"/>
      <c r="K975" s="282" t="n"/>
      <c r="L975" s="536" t="n"/>
      <c r="M975" s="535" t="n"/>
      <c r="N975" s="282" t="n"/>
      <c r="O975" s="282" t="n"/>
      <c r="P975" s="535" t="n"/>
      <c r="Q975" s="535" t="n"/>
      <c r="R975" s="282" t="n"/>
      <c r="S975" s="282" t="n"/>
      <c r="T975" s="535" t="n"/>
      <c r="U975" s="535" t="n"/>
      <c r="V975" s="282" t="n"/>
      <c r="W975" s="282" t="n"/>
      <c r="X975" s="536" t="n"/>
      <c r="Y975" s="536" t="n"/>
      <c r="Z975" s="282" t="n"/>
      <c r="AA975" s="282" t="n"/>
      <c r="AB975" s="536" t="n"/>
      <c r="AC975" s="536" t="n"/>
      <c r="AD975" s="282" t="n"/>
      <c r="AE975" s="282" t="n"/>
      <c r="AF975" s="537" t="n"/>
      <c r="AG975" s="537" t="n"/>
      <c r="AH975" s="282" t="n"/>
      <c r="AI975" s="282" t="n"/>
      <c r="AJ975" s="537" t="n"/>
      <c r="AK975" s="537" t="n"/>
      <c r="AL975" s="282" t="n"/>
      <c r="AM975" s="282" t="n"/>
      <c r="AN975" s="282" t="n"/>
      <c r="AO975" s="282" t="n"/>
      <c r="AP975" s="282" t="n"/>
      <c r="AQ975" s="282" t="n"/>
      <c r="AR975" s="535" t="n"/>
      <c r="AS975" s="535" t="n"/>
      <c r="AT975" s="282" t="n"/>
      <c r="AU975" s="282" t="n"/>
    </row>
    <row customHeight="1" ht="15.75" r="976" s="452" spans="1:48">
      <c r="A976" s="44" t="n"/>
      <c r="D976" s="535" t="n"/>
      <c r="E976" s="535" t="n"/>
      <c r="F976" s="282" t="n"/>
      <c r="G976" s="282" t="n"/>
      <c r="H976" s="536" t="n"/>
      <c r="I976" s="535" t="n"/>
      <c r="J976" s="282" t="n"/>
      <c r="K976" s="282" t="n"/>
      <c r="L976" s="536" t="n"/>
      <c r="M976" s="535" t="n"/>
      <c r="N976" s="282" t="n"/>
      <c r="O976" s="282" t="n"/>
      <c r="P976" s="535" t="n"/>
      <c r="Q976" s="535" t="n"/>
      <c r="R976" s="282" t="n"/>
      <c r="S976" s="282" t="n"/>
      <c r="T976" s="535" t="n"/>
      <c r="U976" s="535" t="n"/>
      <c r="V976" s="282" t="n"/>
      <c r="W976" s="282" t="n"/>
      <c r="X976" s="536" t="n"/>
      <c r="Y976" s="536" t="n"/>
      <c r="Z976" s="282" t="n"/>
      <c r="AA976" s="282" t="n"/>
      <c r="AB976" s="536" t="n"/>
      <c r="AC976" s="536" t="n"/>
      <c r="AD976" s="282" t="n"/>
      <c r="AE976" s="282" t="n"/>
      <c r="AF976" s="537" t="n"/>
      <c r="AG976" s="537" t="n"/>
      <c r="AH976" s="282" t="n"/>
      <c r="AI976" s="282" t="n"/>
      <c r="AJ976" s="537" t="n"/>
      <c r="AK976" s="537" t="n"/>
      <c r="AL976" s="282" t="n"/>
      <c r="AM976" s="282" t="n"/>
      <c r="AN976" s="282" t="n"/>
      <c r="AO976" s="282" t="n"/>
      <c r="AP976" s="282" t="n"/>
      <c r="AQ976" s="282" t="n"/>
      <c r="AR976" s="535" t="n"/>
      <c r="AS976" s="535" t="n"/>
      <c r="AT976" s="282" t="n"/>
      <c r="AU976" s="282" t="n"/>
    </row>
    <row customHeight="1" ht="15.75" r="977" s="452" spans="1:48">
      <c r="A977" s="44" t="n"/>
      <c r="D977" s="535" t="n"/>
      <c r="E977" s="535" t="n"/>
      <c r="F977" s="282" t="n"/>
      <c r="G977" s="282" t="n"/>
      <c r="H977" s="536" t="n"/>
      <c r="I977" s="535" t="n"/>
      <c r="J977" s="282" t="n"/>
      <c r="K977" s="282" t="n"/>
      <c r="L977" s="536" t="n"/>
      <c r="M977" s="535" t="n"/>
      <c r="N977" s="282" t="n"/>
      <c r="O977" s="282" t="n"/>
      <c r="P977" s="535" t="n"/>
      <c r="Q977" s="535" t="n"/>
      <c r="R977" s="282" t="n"/>
      <c r="S977" s="282" t="n"/>
      <c r="T977" s="535" t="n"/>
      <c r="U977" s="535" t="n"/>
      <c r="V977" s="282" t="n"/>
      <c r="W977" s="282" t="n"/>
      <c r="X977" s="536" t="n"/>
      <c r="Y977" s="536" t="n"/>
      <c r="Z977" s="282" t="n"/>
      <c r="AA977" s="282" t="n"/>
      <c r="AB977" s="536" t="n"/>
      <c r="AC977" s="536" t="n"/>
      <c r="AD977" s="282" t="n"/>
      <c r="AE977" s="282" t="n"/>
      <c r="AF977" s="537" t="n"/>
      <c r="AG977" s="537" t="n"/>
      <c r="AH977" s="282" t="n"/>
      <c r="AI977" s="282" t="n"/>
      <c r="AJ977" s="537" t="n"/>
      <c r="AK977" s="537" t="n"/>
      <c r="AL977" s="282" t="n"/>
      <c r="AM977" s="282" t="n"/>
      <c r="AN977" s="282" t="n"/>
      <c r="AO977" s="282" t="n"/>
      <c r="AP977" s="282" t="n"/>
      <c r="AQ977" s="282" t="n"/>
      <c r="AR977" s="535" t="n"/>
      <c r="AS977" s="535" t="n"/>
      <c r="AT977" s="282" t="n"/>
      <c r="AU977" s="282" t="n"/>
    </row>
    <row customHeight="1" ht="15.75" r="978" s="452" spans="1:48">
      <c r="A978" s="44" t="n"/>
      <c r="D978" s="535" t="n"/>
      <c r="E978" s="535" t="n"/>
      <c r="F978" s="282" t="n"/>
      <c r="G978" s="282" t="n"/>
      <c r="H978" s="536" t="n"/>
      <c r="I978" s="535" t="n"/>
      <c r="J978" s="282" t="n"/>
      <c r="K978" s="282" t="n"/>
      <c r="L978" s="536" t="n"/>
      <c r="M978" s="535" t="n"/>
      <c r="N978" s="282" t="n"/>
      <c r="O978" s="282" t="n"/>
      <c r="P978" s="535" t="n"/>
      <c r="Q978" s="535" t="n"/>
      <c r="R978" s="282" t="n"/>
      <c r="S978" s="282" t="n"/>
      <c r="T978" s="535" t="n"/>
      <c r="U978" s="535" t="n"/>
      <c r="V978" s="282" t="n"/>
      <c r="W978" s="282" t="n"/>
      <c r="X978" s="536" t="n"/>
      <c r="Y978" s="536" t="n"/>
      <c r="Z978" s="282" t="n"/>
      <c r="AA978" s="282" t="n"/>
      <c r="AB978" s="536" t="n"/>
      <c r="AC978" s="536" t="n"/>
      <c r="AD978" s="282" t="n"/>
      <c r="AE978" s="282" t="n"/>
      <c r="AF978" s="537" t="n"/>
      <c r="AG978" s="537" t="n"/>
      <c r="AH978" s="282" t="n"/>
      <c r="AI978" s="282" t="n"/>
      <c r="AJ978" s="537" t="n"/>
      <c r="AK978" s="537" t="n"/>
      <c r="AL978" s="282" t="n"/>
      <c r="AM978" s="282" t="n"/>
      <c r="AN978" s="282" t="n"/>
      <c r="AO978" s="282" t="n"/>
      <c r="AP978" s="282" t="n"/>
      <c r="AQ978" s="282" t="n"/>
      <c r="AR978" s="535" t="n"/>
      <c r="AS978" s="535" t="n"/>
      <c r="AT978" s="282" t="n"/>
      <c r="AU978" s="282" t="n"/>
    </row>
    <row customHeight="1" ht="15.75" r="979" s="452" spans="1:48">
      <c r="A979" s="44" t="n"/>
      <c r="D979" s="535" t="n"/>
      <c r="E979" s="535" t="n"/>
      <c r="F979" s="282" t="n"/>
      <c r="G979" s="282" t="n"/>
      <c r="H979" s="536" t="n"/>
      <c r="I979" s="535" t="n"/>
      <c r="J979" s="282" t="n"/>
      <c r="K979" s="282" t="n"/>
      <c r="L979" s="536" t="n"/>
      <c r="M979" s="535" t="n"/>
      <c r="N979" s="282" t="n"/>
      <c r="O979" s="282" t="n"/>
      <c r="P979" s="535" t="n"/>
      <c r="Q979" s="535" t="n"/>
      <c r="R979" s="282" t="n"/>
      <c r="S979" s="282" t="n"/>
      <c r="T979" s="535" t="n"/>
      <c r="U979" s="535" t="n"/>
      <c r="V979" s="282" t="n"/>
      <c r="W979" s="282" t="n"/>
      <c r="X979" s="536" t="n"/>
      <c r="Y979" s="536" t="n"/>
      <c r="Z979" s="282" t="n"/>
      <c r="AA979" s="282" t="n"/>
      <c r="AB979" s="536" t="n"/>
      <c r="AC979" s="536" t="n"/>
      <c r="AD979" s="282" t="n"/>
      <c r="AE979" s="282" t="n"/>
      <c r="AF979" s="537" t="n"/>
      <c r="AG979" s="537" t="n"/>
      <c r="AH979" s="282" t="n"/>
      <c r="AI979" s="282" t="n"/>
      <c r="AJ979" s="537" t="n"/>
      <c r="AK979" s="537" t="n"/>
      <c r="AL979" s="282" t="n"/>
      <c r="AM979" s="282" t="n"/>
      <c r="AN979" s="282" t="n"/>
      <c r="AO979" s="282" t="n"/>
      <c r="AP979" s="282" t="n"/>
      <c r="AQ979" s="282" t="n"/>
      <c r="AR979" s="535" t="n"/>
      <c r="AS979" s="535" t="n"/>
      <c r="AT979" s="282" t="n"/>
      <c r="AU979" s="282" t="n"/>
    </row>
    <row customHeight="1" ht="15.75" r="980" s="452" spans="1:48">
      <c r="A980" s="44" t="n"/>
      <c r="D980" s="535" t="n"/>
      <c r="E980" s="535" t="n"/>
      <c r="F980" s="282" t="n"/>
      <c r="G980" s="282" t="n"/>
      <c r="H980" s="536" t="n"/>
      <c r="I980" s="535" t="n"/>
      <c r="J980" s="282" t="n"/>
      <c r="K980" s="282" t="n"/>
      <c r="L980" s="536" t="n"/>
      <c r="M980" s="535" t="n"/>
      <c r="N980" s="282" t="n"/>
      <c r="O980" s="282" t="n"/>
      <c r="P980" s="535" t="n"/>
      <c r="Q980" s="535" t="n"/>
      <c r="R980" s="282" t="n"/>
      <c r="S980" s="282" t="n"/>
      <c r="T980" s="535" t="n"/>
      <c r="U980" s="535" t="n"/>
      <c r="V980" s="282" t="n"/>
      <c r="W980" s="282" t="n"/>
      <c r="X980" s="536" t="n"/>
      <c r="Y980" s="536" t="n"/>
      <c r="Z980" s="282" t="n"/>
      <c r="AA980" s="282" t="n"/>
      <c r="AB980" s="536" t="n"/>
      <c r="AC980" s="536" t="n"/>
      <c r="AD980" s="282" t="n"/>
      <c r="AE980" s="282" t="n"/>
      <c r="AF980" s="537" t="n"/>
      <c r="AG980" s="537" t="n"/>
      <c r="AH980" s="282" t="n"/>
      <c r="AI980" s="282" t="n"/>
      <c r="AJ980" s="537" t="n"/>
      <c r="AK980" s="537" t="n"/>
      <c r="AL980" s="282" t="n"/>
      <c r="AM980" s="282" t="n"/>
      <c r="AN980" s="282" t="n"/>
      <c r="AO980" s="282" t="n"/>
      <c r="AP980" s="282" t="n"/>
      <c r="AQ980" s="282" t="n"/>
      <c r="AR980" s="535" t="n"/>
      <c r="AS980" s="535" t="n"/>
      <c r="AT980" s="282" t="n"/>
      <c r="AU980" s="282" t="n"/>
    </row>
    <row customHeight="1" ht="15.75" r="981" s="452" spans="1:48">
      <c r="A981" s="44" t="n"/>
      <c r="D981" s="535" t="n"/>
      <c r="E981" s="535" t="n"/>
      <c r="F981" s="282" t="n"/>
      <c r="G981" s="282" t="n"/>
      <c r="H981" s="536" t="n"/>
      <c r="I981" s="535" t="n"/>
      <c r="J981" s="282" t="n"/>
      <c r="K981" s="282" t="n"/>
      <c r="L981" s="536" t="n"/>
      <c r="M981" s="535" t="n"/>
      <c r="N981" s="282" t="n"/>
      <c r="O981" s="282" t="n"/>
      <c r="P981" s="535" t="n"/>
      <c r="Q981" s="535" t="n"/>
      <c r="R981" s="282" t="n"/>
      <c r="S981" s="282" t="n"/>
      <c r="T981" s="535" t="n"/>
      <c r="U981" s="535" t="n"/>
      <c r="V981" s="282" t="n"/>
      <c r="W981" s="282" t="n"/>
      <c r="X981" s="536" t="n"/>
      <c r="Y981" s="536" t="n"/>
      <c r="Z981" s="282" t="n"/>
      <c r="AA981" s="282" t="n"/>
      <c r="AB981" s="536" t="n"/>
      <c r="AC981" s="536" t="n"/>
      <c r="AD981" s="282" t="n"/>
      <c r="AE981" s="282" t="n"/>
      <c r="AF981" s="537" t="n"/>
      <c r="AG981" s="537" t="n"/>
      <c r="AH981" s="282" t="n"/>
      <c r="AI981" s="282" t="n"/>
      <c r="AJ981" s="537" t="n"/>
      <c r="AK981" s="537" t="n"/>
      <c r="AL981" s="282" t="n"/>
      <c r="AM981" s="282" t="n"/>
      <c r="AN981" s="282" t="n"/>
      <c r="AO981" s="282" t="n"/>
      <c r="AP981" s="282" t="n"/>
      <c r="AQ981" s="282" t="n"/>
      <c r="AR981" s="535" t="n"/>
      <c r="AS981" s="535" t="n"/>
      <c r="AT981" s="282" t="n"/>
      <c r="AU981" s="282" t="n"/>
    </row>
    <row customHeight="1" ht="15.75" r="982" s="452" spans="1:48">
      <c r="A982" s="44" t="n"/>
      <c r="D982" s="535" t="n"/>
      <c r="E982" s="535" t="n"/>
      <c r="F982" s="282" t="n"/>
      <c r="G982" s="282" t="n"/>
      <c r="H982" s="536" t="n"/>
      <c r="I982" s="535" t="n"/>
      <c r="J982" s="282" t="n"/>
      <c r="K982" s="282" t="n"/>
      <c r="L982" s="536" t="n"/>
      <c r="M982" s="535" t="n"/>
      <c r="N982" s="282" t="n"/>
      <c r="O982" s="282" t="n"/>
      <c r="P982" s="535" t="n"/>
      <c r="Q982" s="535" t="n"/>
      <c r="R982" s="282" t="n"/>
      <c r="S982" s="282" t="n"/>
      <c r="T982" s="535" t="n"/>
      <c r="U982" s="535" t="n"/>
      <c r="V982" s="282" t="n"/>
      <c r="W982" s="282" t="n"/>
      <c r="X982" s="536" t="n"/>
      <c r="Y982" s="536" t="n"/>
      <c r="Z982" s="282" t="n"/>
      <c r="AA982" s="282" t="n"/>
      <c r="AB982" s="536" t="n"/>
      <c r="AC982" s="536" t="n"/>
      <c r="AD982" s="282" t="n"/>
      <c r="AE982" s="282" t="n"/>
      <c r="AF982" s="537" t="n"/>
      <c r="AG982" s="537" t="n"/>
      <c r="AH982" s="282" t="n"/>
      <c r="AI982" s="282" t="n"/>
      <c r="AJ982" s="537" t="n"/>
      <c r="AK982" s="537" t="n"/>
      <c r="AL982" s="282" t="n"/>
      <c r="AM982" s="282" t="n"/>
      <c r="AN982" s="282" t="n"/>
      <c r="AO982" s="282" t="n"/>
      <c r="AP982" s="282" t="n"/>
      <c r="AQ982" s="282" t="n"/>
      <c r="AR982" s="535" t="n"/>
      <c r="AS982" s="535" t="n"/>
      <c r="AT982" s="282" t="n"/>
      <c r="AU982" s="282" t="n"/>
    </row>
    <row customHeight="1" ht="15.75" r="983" s="452" spans="1:48">
      <c r="A983" s="44" t="n"/>
      <c r="D983" s="535" t="n"/>
      <c r="E983" s="535" t="n"/>
      <c r="F983" s="282" t="n"/>
      <c r="G983" s="282" t="n"/>
      <c r="H983" s="536" t="n"/>
      <c r="I983" s="535" t="n"/>
      <c r="J983" s="282" t="n"/>
      <c r="K983" s="282" t="n"/>
      <c r="L983" s="536" t="n"/>
      <c r="M983" s="535" t="n"/>
      <c r="N983" s="282" t="n"/>
      <c r="O983" s="282" t="n"/>
      <c r="P983" s="535" t="n"/>
      <c r="Q983" s="535" t="n"/>
      <c r="R983" s="282" t="n"/>
      <c r="S983" s="282" t="n"/>
      <c r="T983" s="535" t="n"/>
      <c r="U983" s="535" t="n"/>
      <c r="V983" s="282" t="n"/>
      <c r="W983" s="282" t="n"/>
      <c r="X983" s="536" t="n"/>
      <c r="Y983" s="536" t="n"/>
      <c r="Z983" s="282" t="n"/>
      <c r="AA983" s="282" t="n"/>
      <c r="AB983" s="536" t="n"/>
      <c r="AC983" s="536" t="n"/>
      <c r="AD983" s="282" t="n"/>
      <c r="AE983" s="282" t="n"/>
      <c r="AF983" s="537" t="n"/>
      <c r="AG983" s="537" t="n"/>
      <c r="AH983" s="282" t="n"/>
      <c r="AI983" s="282" t="n"/>
      <c r="AJ983" s="537" t="n"/>
      <c r="AK983" s="537" t="n"/>
      <c r="AL983" s="282" t="n"/>
      <c r="AM983" s="282" t="n"/>
      <c r="AN983" s="282" t="n"/>
      <c r="AO983" s="282" t="n"/>
      <c r="AP983" s="282" t="n"/>
      <c r="AQ983" s="282" t="n"/>
      <c r="AR983" s="535" t="n"/>
      <c r="AS983" s="535" t="n"/>
      <c r="AT983" s="282" t="n"/>
      <c r="AU983" s="282" t="n"/>
    </row>
    <row customHeight="1" ht="15.75" r="984" s="452" spans="1:48">
      <c r="A984" s="44" t="n"/>
      <c r="D984" s="535" t="n"/>
      <c r="E984" s="535" t="n"/>
      <c r="F984" s="282" t="n"/>
      <c r="G984" s="282" t="n"/>
      <c r="H984" s="536" t="n"/>
      <c r="I984" s="535" t="n"/>
      <c r="J984" s="282" t="n"/>
      <c r="K984" s="282" t="n"/>
      <c r="L984" s="536" t="n"/>
      <c r="M984" s="535" t="n"/>
      <c r="N984" s="282" t="n"/>
      <c r="O984" s="282" t="n"/>
      <c r="P984" s="535" t="n"/>
      <c r="Q984" s="535" t="n"/>
      <c r="R984" s="282" t="n"/>
      <c r="S984" s="282" t="n"/>
      <c r="T984" s="535" t="n"/>
      <c r="U984" s="535" t="n"/>
      <c r="V984" s="282" t="n"/>
      <c r="W984" s="282" t="n"/>
      <c r="X984" s="536" t="n"/>
      <c r="Y984" s="536" t="n"/>
      <c r="Z984" s="282" t="n"/>
      <c r="AA984" s="282" t="n"/>
      <c r="AB984" s="536" t="n"/>
      <c r="AC984" s="536" t="n"/>
      <c r="AD984" s="282" t="n"/>
      <c r="AE984" s="282" t="n"/>
      <c r="AF984" s="537" t="n"/>
      <c r="AG984" s="537" t="n"/>
      <c r="AH984" s="282" t="n"/>
      <c r="AI984" s="282" t="n"/>
      <c r="AJ984" s="537" t="n"/>
      <c r="AK984" s="537" t="n"/>
      <c r="AL984" s="282" t="n"/>
      <c r="AM984" s="282" t="n"/>
      <c r="AN984" s="282" t="n"/>
      <c r="AO984" s="282" t="n"/>
      <c r="AP984" s="282" t="n"/>
      <c r="AQ984" s="282" t="n"/>
      <c r="AR984" s="535" t="n"/>
      <c r="AS984" s="535" t="n"/>
      <c r="AT984" s="282" t="n"/>
      <c r="AU984" s="282" t="n"/>
    </row>
    <row customHeight="1" ht="15.75" r="985" s="452" spans="1:48">
      <c r="A985" s="44" t="n"/>
      <c r="D985" s="535" t="n"/>
      <c r="E985" s="535" t="n"/>
      <c r="F985" s="282" t="n"/>
      <c r="G985" s="282" t="n"/>
      <c r="H985" s="536" t="n"/>
      <c r="I985" s="535" t="n"/>
      <c r="J985" s="282" t="n"/>
      <c r="K985" s="282" t="n"/>
      <c r="L985" s="536" t="n"/>
      <c r="M985" s="535" t="n"/>
      <c r="N985" s="282" t="n"/>
      <c r="O985" s="282" t="n"/>
      <c r="P985" s="535" t="n"/>
      <c r="Q985" s="535" t="n"/>
      <c r="R985" s="282" t="n"/>
      <c r="S985" s="282" t="n"/>
      <c r="T985" s="535" t="n"/>
      <c r="U985" s="535" t="n"/>
      <c r="V985" s="282" t="n"/>
      <c r="W985" s="282" t="n"/>
      <c r="X985" s="536" t="n"/>
      <c r="Y985" s="536" t="n"/>
      <c r="Z985" s="282" t="n"/>
      <c r="AA985" s="282" t="n"/>
      <c r="AB985" s="536" t="n"/>
      <c r="AC985" s="536" t="n"/>
      <c r="AD985" s="282" t="n"/>
      <c r="AE985" s="282" t="n"/>
      <c r="AF985" s="537" t="n"/>
      <c r="AG985" s="537" t="n"/>
      <c r="AH985" s="282" t="n"/>
      <c r="AI985" s="282" t="n"/>
      <c r="AJ985" s="537" t="n"/>
      <c r="AK985" s="537" t="n"/>
      <c r="AL985" s="282" t="n"/>
      <c r="AM985" s="282" t="n"/>
      <c r="AN985" s="282" t="n"/>
      <c r="AO985" s="282" t="n"/>
      <c r="AP985" s="282" t="n"/>
      <c r="AQ985" s="282" t="n"/>
      <c r="AR985" s="535" t="n"/>
      <c r="AS985" s="535" t="n"/>
      <c r="AT985" s="282" t="n"/>
      <c r="AU985" s="282" t="n"/>
    </row>
    <row customHeight="1" ht="15.75" r="986" s="452" spans="1:48">
      <c r="A986" s="44" t="n"/>
      <c r="D986" s="535" t="n"/>
      <c r="E986" s="535" t="n"/>
      <c r="F986" s="282" t="n"/>
      <c r="G986" s="282" t="n"/>
      <c r="H986" s="536" t="n"/>
      <c r="I986" s="535" t="n"/>
      <c r="J986" s="282" t="n"/>
      <c r="K986" s="282" t="n"/>
      <c r="L986" s="536" t="n"/>
      <c r="M986" s="535" t="n"/>
      <c r="N986" s="282" t="n"/>
      <c r="O986" s="282" t="n"/>
      <c r="P986" s="535" t="n"/>
      <c r="Q986" s="535" t="n"/>
      <c r="R986" s="282" t="n"/>
      <c r="S986" s="282" t="n"/>
      <c r="T986" s="535" t="n"/>
      <c r="U986" s="535" t="n"/>
      <c r="V986" s="282" t="n"/>
      <c r="W986" s="282" t="n"/>
      <c r="X986" s="536" t="n"/>
      <c r="Y986" s="536" t="n"/>
      <c r="Z986" s="282" t="n"/>
      <c r="AA986" s="282" t="n"/>
      <c r="AB986" s="536" t="n"/>
      <c r="AC986" s="536" t="n"/>
      <c r="AD986" s="282" t="n"/>
      <c r="AE986" s="282" t="n"/>
      <c r="AF986" s="537" t="n"/>
      <c r="AG986" s="537" t="n"/>
      <c r="AH986" s="282" t="n"/>
      <c r="AI986" s="282" t="n"/>
      <c r="AJ986" s="537" t="n"/>
      <c r="AK986" s="537" t="n"/>
      <c r="AL986" s="282" t="n"/>
      <c r="AM986" s="282" t="n"/>
      <c r="AN986" s="282" t="n"/>
      <c r="AO986" s="282" t="n"/>
      <c r="AP986" s="282" t="n"/>
      <c r="AQ986" s="282" t="n"/>
      <c r="AR986" s="535" t="n"/>
      <c r="AS986" s="535" t="n"/>
      <c r="AT986" s="282" t="n"/>
      <c r="AU986" s="282" t="n"/>
    </row>
    <row customHeight="1" ht="15.75" r="987" s="452" spans="1:48">
      <c r="A987" s="44" t="n"/>
      <c r="D987" s="535" t="n"/>
      <c r="E987" s="535" t="n"/>
      <c r="F987" s="282" t="n"/>
      <c r="G987" s="282" t="n"/>
      <c r="H987" s="536" t="n"/>
      <c r="I987" s="535" t="n"/>
      <c r="J987" s="282" t="n"/>
      <c r="K987" s="282" t="n"/>
      <c r="L987" s="536" t="n"/>
      <c r="M987" s="535" t="n"/>
      <c r="N987" s="282" t="n"/>
      <c r="O987" s="282" t="n"/>
      <c r="P987" s="535" t="n"/>
      <c r="Q987" s="535" t="n"/>
      <c r="R987" s="282" t="n"/>
      <c r="S987" s="282" t="n"/>
      <c r="T987" s="535" t="n"/>
      <c r="U987" s="535" t="n"/>
      <c r="V987" s="282" t="n"/>
      <c r="W987" s="282" t="n"/>
      <c r="X987" s="536" t="n"/>
      <c r="Y987" s="536" t="n"/>
      <c r="Z987" s="282" t="n"/>
      <c r="AA987" s="282" t="n"/>
      <c r="AB987" s="536" t="n"/>
      <c r="AC987" s="536" t="n"/>
      <c r="AD987" s="282" t="n"/>
      <c r="AE987" s="282" t="n"/>
      <c r="AF987" s="537" t="n"/>
      <c r="AG987" s="537" t="n"/>
      <c r="AH987" s="282" t="n"/>
      <c r="AI987" s="282" t="n"/>
      <c r="AJ987" s="537" t="n"/>
      <c r="AK987" s="537" t="n"/>
      <c r="AL987" s="282" t="n"/>
      <c r="AM987" s="282" t="n"/>
      <c r="AN987" s="282" t="n"/>
      <c r="AO987" s="282" t="n"/>
      <c r="AP987" s="282" t="n"/>
      <c r="AQ987" s="282" t="n"/>
      <c r="AR987" s="535" t="n"/>
      <c r="AS987" s="535" t="n"/>
      <c r="AT987" s="282" t="n"/>
      <c r="AU987" s="282" t="n"/>
    </row>
    <row customHeight="1" ht="15.75" r="988" s="452" spans="1:48">
      <c r="A988" s="44" t="n"/>
      <c r="D988" s="535" t="n"/>
      <c r="E988" s="535" t="n"/>
      <c r="F988" s="282" t="n"/>
      <c r="G988" s="282" t="n"/>
      <c r="H988" s="536" t="n"/>
      <c r="I988" s="535" t="n"/>
      <c r="J988" s="282" t="n"/>
      <c r="K988" s="282" t="n"/>
      <c r="L988" s="536" t="n"/>
      <c r="M988" s="535" t="n"/>
      <c r="N988" s="282" t="n"/>
      <c r="O988" s="282" t="n"/>
      <c r="P988" s="535" t="n"/>
      <c r="Q988" s="535" t="n"/>
      <c r="R988" s="282" t="n"/>
      <c r="S988" s="282" t="n"/>
      <c r="T988" s="535" t="n"/>
      <c r="U988" s="535" t="n"/>
      <c r="V988" s="282" t="n"/>
      <c r="W988" s="282" t="n"/>
      <c r="X988" s="536" t="n"/>
      <c r="Y988" s="536" t="n"/>
      <c r="Z988" s="282" t="n"/>
      <c r="AA988" s="282" t="n"/>
      <c r="AB988" s="536" t="n"/>
      <c r="AC988" s="536" t="n"/>
      <c r="AD988" s="282" t="n"/>
      <c r="AE988" s="282" t="n"/>
      <c r="AF988" s="537" t="n"/>
      <c r="AG988" s="537" t="n"/>
      <c r="AH988" s="282" t="n"/>
      <c r="AI988" s="282" t="n"/>
      <c r="AJ988" s="537" t="n"/>
      <c r="AK988" s="537" t="n"/>
      <c r="AL988" s="282" t="n"/>
      <c r="AM988" s="282" t="n"/>
      <c r="AN988" s="282" t="n"/>
      <c r="AO988" s="282" t="n"/>
      <c r="AP988" s="282" t="n"/>
      <c r="AQ988" s="282" t="n"/>
      <c r="AR988" s="535" t="n"/>
      <c r="AS988" s="535" t="n"/>
      <c r="AT988" s="282" t="n"/>
      <c r="AU988" s="282" t="n"/>
    </row>
    <row customHeight="1" ht="15.75" r="989" s="452" spans="1:48">
      <c r="A989" s="44" t="n"/>
      <c r="D989" s="535" t="n"/>
      <c r="E989" s="535" t="n"/>
      <c r="F989" s="282" t="n"/>
      <c r="G989" s="282" t="n"/>
      <c r="H989" s="536" t="n"/>
      <c r="I989" s="535" t="n"/>
      <c r="J989" s="282" t="n"/>
      <c r="K989" s="282" t="n"/>
      <c r="L989" s="536" t="n"/>
      <c r="M989" s="535" t="n"/>
      <c r="N989" s="282" t="n"/>
      <c r="O989" s="282" t="n"/>
      <c r="P989" s="535" t="n"/>
      <c r="Q989" s="535" t="n"/>
      <c r="R989" s="282" t="n"/>
      <c r="S989" s="282" t="n"/>
      <c r="T989" s="535" t="n"/>
      <c r="U989" s="535" t="n"/>
      <c r="V989" s="282" t="n"/>
      <c r="W989" s="282" t="n"/>
      <c r="X989" s="536" t="n"/>
      <c r="Y989" s="536" t="n"/>
      <c r="Z989" s="282" t="n"/>
      <c r="AA989" s="282" t="n"/>
      <c r="AB989" s="536" t="n"/>
      <c r="AC989" s="536" t="n"/>
      <c r="AD989" s="282" t="n"/>
      <c r="AE989" s="282" t="n"/>
      <c r="AF989" s="537" t="n"/>
      <c r="AG989" s="537" t="n"/>
      <c r="AH989" s="282" t="n"/>
      <c r="AI989" s="282" t="n"/>
      <c r="AJ989" s="537" t="n"/>
      <c r="AK989" s="537" t="n"/>
      <c r="AL989" s="282" t="n"/>
      <c r="AM989" s="282" t="n"/>
      <c r="AN989" s="282" t="n"/>
      <c r="AO989" s="282" t="n"/>
      <c r="AP989" s="282" t="n"/>
      <c r="AQ989" s="282" t="n"/>
      <c r="AR989" s="535" t="n"/>
      <c r="AS989" s="535" t="n"/>
      <c r="AT989" s="282" t="n"/>
      <c r="AU989" s="282" t="n"/>
    </row>
    <row customHeight="1" ht="15.75" r="990" s="452" spans="1:48">
      <c r="A990" s="44" t="n"/>
      <c r="D990" s="535" t="n"/>
      <c r="E990" s="535" t="n"/>
      <c r="F990" s="282" t="n"/>
      <c r="G990" s="282" t="n"/>
      <c r="H990" s="536" t="n"/>
      <c r="I990" s="535" t="n"/>
      <c r="J990" s="282" t="n"/>
      <c r="K990" s="282" t="n"/>
      <c r="L990" s="536" t="n"/>
      <c r="M990" s="535" t="n"/>
      <c r="N990" s="282" t="n"/>
      <c r="O990" s="282" t="n"/>
      <c r="P990" s="535" t="n"/>
      <c r="Q990" s="535" t="n"/>
      <c r="R990" s="282" t="n"/>
      <c r="S990" s="282" t="n"/>
      <c r="T990" s="535" t="n"/>
      <c r="U990" s="535" t="n"/>
      <c r="V990" s="282" t="n"/>
      <c r="W990" s="282" t="n"/>
      <c r="X990" s="536" t="n"/>
      <c r="Y990" s="536" t="n"/>
      <c r="Z990" s="282" t="n"/>
      <c r="AA990" s="282" t="n"/>
      <c r="AB990" s="536" t="n"/>
      <c r="AC990" s="536" t="n"/>
      <c r="AD990" s="282" t="n"/>
      <c r="AE990" s="282" t="n"/>
      <c r="AF990" s="537" t="n"/>
      <c r="AG990" s="537" t="n"/>
      <c r="AH990" s="282" t="n"/>
      <c r="AI990" s="282" t="n"/>
      <c r="AJ990" s="537" t="n"/>
      <c r="AK990" s="537" t="n"/>
      <c r="AL990" s="282" t="n"/>
      <c r="AM990" s="282" t="n"/>
      <c r="AN990" s="282" t="n"/>
      <c r="AO990" s="282" t="n"/>
      <c r="AP990" s="282" t="n"/>
      <c r="AQ990" s="282" t="n"/>
      <c r="AR990" s="535" t="n"/>
      <c r="AS990" s="535" t="n"/>
      <c r="AT990" s="282" t="n"/>
      <c r="AU990" s="282" t="n"/>
    </row>
    <row customHeight="1" ht="15.75" r="991" s="452" spans="1:48">
      <c r="A991" s="44" t="n"/>
      <c r="D991" s="535" t="n"/>
      <c r="E991" s="535" t="n"/>
      <c r="F991" s="282" t="n"/>
      <c r="G991" s="282" t="n"/>
      <c r="H991" s="536" t="n"/>
      <c r="I991" s="535" t="n"/>
      <c r="J991" s="282" t="n"/>
      <c r="K991" s="282" t="n"/>
      <c r="L991" s="536" t="n"/>
      <c r="M991" s="535" t="n"/>
      <c r="N991" s="282" t="n"/>
      <c r="O991" s="282" t="n"/>
      <c r="P991" s="535" t="n"/>
      <c r="Q991" s="535" t="n"/>
      <c r="R991" s="282" t="n"/>
      <c r="S991" s="282" t="n"/>
      <c r="T991" s="535" t="n"/>
      <c r="U991" s="535" t="n"/>
      <c r="V991" s="282" t="n"/>
      <c r="W991" s="282" t="n"/>
      <c r="X991" s="536" t="n"/>
      <c r="Y991" s="536" t="n"/>
      <c r="Z991" s="282" t="n"/>
      <c r="AA991" s="282" t="n"/>
      <c r="AB991" s="536" t="n"/>
      <c r="AC991" s="536" t="n"/>
      <c r="AD991" s="282" t="n"/>
      <c r="AE991" s="282" t="n"/>
      <c r="AF991" s="537" t="n"/>
      <c r="AG991" s="537" t="n"/>
      <c r="AH991" s="282" t="n"/>
      <c r="AI991" s="282" t="n"/>
      <c r="AJ991" s="537" t="n"/>
      <c r="AK991" s="537" t="n"/>
      <c r="AL991" s="282" t="n"/>
      <c r="AM991" s="282" t="n"/>
      <c r="AN991" s="282" t="n"/>
      <c r="AO991" s="282" t="n"/>
      <c r="AP991" s="282" t="n"/>
      <c r="AQ991" s="282" t="n"/>
      <c r="AR991" s="535" t="n"/>
      <c r="AS991" s="535" t="n"/>
      <c r="AT991" s="282" t="n"/>
      <c r="AU991" s="282" t="n"/>
    </row>
    <row customHeight="1" ht="15.75" r="992" s="452" spans="1:48">
      <c r="A992" s="44" t="n"/>
      <c r="D992" s="535" t="n"/>
      <c r="E992" s="535" t="n"/>
      <c r="F992" s="282" t="n"/>
      <c r="G992" s="282" t="n"/>
      <c r="H992" s="536" t="n"/>
      <c r="I992" s="535" t="n"/>
      <c r="J992" s="282" t="n"/>
      <c r="K992" s="282" t="n"/>
      <c r="L992" s="536" t="n"/>
      <c r="M992" s="535" t="n"/>
      <c r="N992" s="282" t="n"/>
      <c r="O992" s="282" t="n"/>
      <c r="P992" s="535" t="n"/>
      <c r="Q992" s="535" t="n"/>
      <c r="R992" s="282" t="n"/>
      <c r="S992" s="282" t="n"/>
      <c r="T992" s="535" t="n"/>
      <c r="U992" s="535" t="n"/>
      <c r="V992" s="282" t="n"/>
      <c r="W992" s="282" t="n"/>
      <c r="X992" s="536" t="n"/>
      <c r="Y992" s="536" t="n"/>
      <c r="Z992" s="282" t="n"/>
      <c r="AA992" s="282" t="n"/>
      <c r="AB992" s="536" t="n"/>
      <c r="AC992" s="536" t="n"/>
      <c r="AD992" s="282" t="n"/>
      <c r="AE992" s="282" t="n"/>
      <c r="AF992" s="537" t="n"/>
      <c r="AG992" s="537" t="n"/>
      <c r="AH992" s="282" t="n"/>
      <c r="AI992" s="282" t="n"/>
      <c r="AJ992" s="537" t="n"/>
      <c r="AK992" s="537" t="n"/>
      <c r="AL992" s="282" t="n"/>
      <c r="AM992" s="282" t="n"/>
      <c r="AN992" s="282" t="n"/>
      <c r="AO992" s="282" t="n"/>
      <c r="AP992" s="282" t="n"/>
      <c r="AQ992" s="282" t="n"/>
      <c r="AR992" s="535" t="n"/>
      <c r="AS992" s="535" t="n"/>
      <c r="AT992" s="282" t="n"/>
      <c r="AU992" s="282" t="n"/>
    </row>
    <row customHeight="1" ht="15.75" r="993" s="452" spans="1:48">
      <c r="A993" s="44" t="n"/>
      <c r="D993" s="535" t="n"/>
      <c r="E993" s="535" t="n"/>
      <c r="F993" s="282" t="n"/>
      <c r="G993" s="282" t="n"/>
      <c r="H993" s="536" t="n"/>
      <c r="I993" s="535" t="n"/>
      <c r="J993" s="282" t="n"/>
      <c r="K993" s="282" t="n"/>
      <c r="L993" s="536" t="n"/>
      <c r="M993" s="535" t="n"/>
      <c r="N993" s="282" t="n"/>
      <c r="O993" s="282" t="n"/>
      <c r="P993" s="535" t="n"/>
      <c r="Q993" s="535" t="n"/>
      <c r="R993" s="282" t="n"/>
      <c r="S993" s="282" t="n"/>
      <c r="T993" s="535" t="n"/>
      <c r="U993" s="535" t="n"/>
      <c r="V993" s="282" t="n"/>
      <c r="W993" s="282" t="n"/>
      <c r="X993" s="536" t="n"/>
      <c r="Y993" s="536" t="n"/>
      <c r="Z993" s="282" t="n"/>
      <c r="AA993" s="282" t="n"/>
      <c r="AB993" s="536" t="n"/>
      <c r="AC993" s="536" t="n"/>
      <c r="AD993" s="282" t="n"/>
      <c r="AE993" s="282" t="n"/>
      <c r="AF993" s="537" t="n"/>
      <c r="AG993" s="537" t="n"/>
      <c r="AH993" s="282" t="n"/>
      <c r="AI993" s="282" t="n"/>
      <c r="AJ993" s="537" t="n"/>
      <c r="AK993" s="537" t="n"/>
      <c r="AL993" s="282" t="n"/>
      <c r="AM993" s="282" t="n"/>
      <c r="AN993" s="282" t="n"/>
      <c r="AO993" s="282" t="n"/>
      <c r="AP993" s="282" t="n"/>
      <c r="AQ993" s="282" t="n"/>
      <c r="AR993" s="535" t="n"/>
      <c r="AS993" s="535" t="n"/>
      <c r="AT993" s="282" t="n"/>
      <c r="AU993" s="282" t="n"/>
    </row>
    <row customHeight="1" ht="15.75" r="994" s="452" spans="1:48">
      <c r="A994" s="44" t="n"/>
      <c r="D994" s="535" t="n"/>
      <c r="E994" s="535" t="n"/>
      <c r="F994" s="282" t="n"/>
      <c r="G994" s="282" t="n"/>
      <c r="H994" s="536" t="n"/>
      <c r="I994" s="535" t="n"/>
      <c r="J994" s="282" t="n"/>
      <c r="K994" s="282" t="n"/>
      <c r="L994" s="536" t="n"/>
      <c r="M994" s="535" t="n"/>
      <c r="N994" s="282" t="n"/>
      <c r="O994" s="282" t="n"/>
      <c r="P994" s="535" t="n"/>
      <c r="Q994" s="535" t="n"/>
      <c r="R994" s="282" t="n"/>
      <c r="S994" s="282" t="n"/>
      <c r="T994" s="535" t="n"/>
      <c r="U994" s="535" t="n"/>
      <c r="V994" s="282" t="n"/>
      <c r="W994" s="282" t="n"/>
      <c r="X994" s="536" t="n"/>
      <c r="Y994" s="536" t="n"/>
      <c r="Z994" s="282" t="n"/>
      <c r="AA994" s="282" t="n"/>
      <c r="AB994" s="536" t="n"/>
      <c r="AC994" s="536" t="n"/>
      <c r="AD994" s="282" t="n"/>
      <c r="AE994" s="282" t="n"/>
      <c r="AF994" s="537" t="n"/>
      <c r="AG994" s="537" t="n"/>
      <c r="AH994" s="282" t="n"/>
      <c r="AI994" s="282" t="n"/>
      <c r="AJ994" s="537" t="n"/>
      <c r="AK994" s="537" t="n"/>
      <c r="AL994" s="282" t="n"/>
      <c r="AM994" s="282" t="n"/>
      <c r="AN994" s="282" t="n"/>
      <c r="AO994" s="282" t="n"/>
      <c r="AP994" s="282" t="n"/>
      <c r="AQ994" s="282" t="n"/>
      <c r="AR994" s="535" t="n"/>
      <c r="AS994" s="535" t="n"/>
      <c r="AT994" s="282" t="n"/>
      <c r="AU994" s="282" t="n"/>
    </row>
    <row customHeight="1" ht="15.75" r="995" s="452" spans="1:48">
      <c r="A995" s="44" t="n"/>
      <c r="D995" s="535" t="n"/>
      <c r="E995" s="535" t="n"/>
      <c r="F995" s="282" t="n"/>
      <c r="G995" s="282" t="n"/>
      <c r="H995" s="536" t="n"/>
      <c r="I995" s="535" t="n"/>
      <c r="J995" s="282" t="n"/>
      <c r="K995" s="282" t="n"/>
      <c r="L995" s="536" t="n"/>
      <c r="M995" s="535" t="n"/>
      <c r="N995" s="282" t="n"/>
      <c r="O995" s="282" t="n"/>
      <c r="P995" s="535" t="n"/>
      <c r="Q995" s="535" t="n"/>
      <c r="R995" s="282" t="n"/>
      <c r="S995" s="282" t="n"/>
      <c r="T995" s="535" t="n"/>
      <c r="U995" s="535" t="n"/>
      <c r="V995" s="282" t="n"/>
      <c r="W995" s="282" t="n"/>
      <c r="X995" s="536" t="n"/>
      <c r="Y995" s="536" t="n"/>
      <c r="Z995" s="282" t="n"/>
      <c r="AA995" s="282" t="n"/>
      <c r="AB995" s="536" t="n"/>
      <c r="AC995" s="536" t="n"/>
      <c r="AD995" s="282" t="n"/>
      <c r="AE995" s="282" t="n"/>
      <c r="AF995" s="537" t="n"/>
      <c r="AG995" s="537" t="n"/>
      <c r="AH995" s="282" t="n"/>
      <c r="AI995" s="282" t="n"/>
      <c r="AJ995" s="537" t="n"/>
      <c r="AK995" s="537" t="n"/>
      <c r="AL995" s="282" t="n"/>
      <c r="AM995" s="282" t="n"/>
      <c r="AN995" s="282" t="n"/>
      <c r="AO995" s="282" t="n"/>
      <c r="AP995" s="282" t="n"/>
      <c r="AQ995" s="282" t="n"/>
      <c r="AR995" s="535" t="n"/>
      <c r="AS995" s="535" t="n"/>
      <c r="AT995" s="282" t="n"/>
      <c r="AU995" s="282" t="n"/>
    </row>
    <row customHeight="1" ht="15.75" r="996" s="452" spans="1:48">
      <c r="A996" s="44" t="n"/>
      <c r="D996" s="535" t="n"/>
      <c r="E996" s="535" t="n"/>
      <c r="F996" s="282" t="n"/>
      <c r="G996" s="282" t="n"/>
      <c r="H996" s="536" t="n"/>
      <c r="I996" s="535" t="n"/>
      <c r="J996" s="282" t="n"/>
      <c r="K996" s="282" t="n"/>
      <c r="L996" s="536" t="n"/>
      <c r="M996" s="535" t="n"/>
      <c r="N996" s="282" t="n"/>
      <c r="O996" s="282" t="n"/>
      <c r="P996" s="535" t="n"/>
      <c r="Q996" s="535" t="n"/>
      <c r="R996" s="282" t="n"/>
      <c r="S996" s="282" t="n"/>
      <c r="T996" s="535" t="n"/>
      <c r="U996" s="535" t="n"/>
      <c r="V996" s="282" t="n"/>
      <c r="W996" s="282" t="n"/>
      <c r="X996" s="536" t="n"/>
      <c r="Y996" s="536" t="n"/>
      <c r="Z996" s="282" t="n"/>
      <c r="AA996" s="282" t="n"/>
      <c r="AB996" s="536" t="n"/>
      <c r="AC996" s="536" t="n"/>
      <c r="AD996" s="282" t="n"/>
      <c r="AE996" s="282" t="n"/>
      <c r="AF996" s="537" t="n"/>
      <c r="AG996" s="537" t="n"/>
      <c r="AH996" s="282" t="n"/>
      <c r="AI996" s="282" t="n"/>
      <c r="AJ996" s="537" t="n"/>
      <c r="AK996" s="537" t="n"/>
      <c r="AL996" s="282" t="n"/>
      <c r="AM996" s="282" t="n"/>
      <c r="AN996" s="282" t="n"/>
      <c r="AO996" s="282" t="n"/>
      <c r="AP996" s="282" t="n"/>
      <c r="AQ996" s="282" t="n"/>
      <c r="AR996" s="535" t="n"/>
      <c r="AS996" s="535" t="n"/>
      <c r="AT996" s="282" t="n"/>
      <c r="AU996" s="282" t="n"/>
    </row>
    <row customHeight="1" ht="15.75" r="997" s="452" spans="1:48">
      <c r="A997" s="44" t="n"/>
      <c r="D997" s="535" t="n"/>
      <c r="E997" s="535" t="n"/>
      <c r="F997" s="282" t="n"/>
      <c r="G997" s="282" t="n"/>
      <c r="H997" s="536" t="n"/>
      <c r="I997" s="535" t="n"/>
      <c r="J997" s="282" t="n"/>
      <c r="K997" s="282" t="n"/>
      <c r="L997" s="536" t="n"/>
      <c r="M997" s="535" t="n"/>
      <c r="N997" s="282" t="n"/>
      <c r="O997" s="282" t="n"/>
      <c r="P997" s="535" t="n"/>
      <c r="Q997" s="535" t="n"/>
      <c r="R997" s="282" t="n"/>
      <c r="S997" s="282" t="n"/>
      <c r="T997" s="535" t="n"/>
      <c r="U997" s="535" t="n"/>
      <c r="V997" s="282" t="n"/>
      <c r="W997" s="282" t="n"/>
      <c r="X997" s="536" t="n"/>
      <c r="Y997" s="536" t="n"/>
      <c r="Z997" s="282" t="n"/>
      <c r="AA997" s="282" t="n"/>
      <c r="AB997" s="536" t="n"/>
      <c r="AC997" s="536" t="n"/>
      <c r="AD997" s="282" t="n"/>
      <c r="AE997" s="282" t="n"/>
      <c r="AF997" s="537" t="n"/>
      <c r="AG997" s="537" t="n"/>
      <c r="AH997" s="282" t="n"/>
      <c r="AI997" s="282" t="n"/>
      <c r="AJ997" s="537" t="n"/>
      <c r="AK997" s="537" t="n"/>
      <c r="AL997" s="282" t="n"/>
      <c r="AM997" s="282" t="n"/>
      <c r="AN997" s="282" t="n"/>
      <c r="AO997" s="282" t="n"/>
      <c r="AP997" s="282" t="n"/>
      <c r="AQ997" s="282" t="n"/>
      <c r="AR997" s="535" t="n"/>
      <c r="AS997" s="535" t="n"/>
      <c r="AT997" s="282" t="n"/>
      <c r="AU997" s="282" t="n"/>
    </row>
    <row customHeight="1" ht="15.75" r="998" s="452" spans="1:48">
      <c r="A998" s="44" t="n"/>
      <c r="D998" s="535" t="n"/>
      <c r="E998" s="535" t="n"/>
      <c r="F998" s="282" t="n"/>
      <c r="G998" s="282" t="n"/>
      <c r="H998" s="536" t="n"/>
      <c r="I998" s="535" t="n"/>
      <c r="J998" s="282" t="n"/>
      <c r="K998" s="282" t="n"/>
      <c r="L998" s="536" t="n"/>
      <c r="M998" s="535" t="n"/>
      <c r="N998" s="282" t="n"/>
      <c r="O998" s="282" t="n"/>
      <c r="P998" s="535" t="n"/>
      <c r="Q998" s="535" t="n"/>
      <c r="R998" s="282" t="n"/>
      <c r="S998" s="282" t="n"/>
      <c r="T998" s="535" t="n"/>
      <c r="U998" s="535" t="n"/>
      <c r="V998" s="282" t="n"/>
      <c r="W998" s="282" t="n"/>
      <c r="X998" s="536" t="n"/>
      <c r="Y998" s="536" t="n"/>
      <c r="Z998" s="282" t="n"/>
      <c r="AA998" s="282" t="n"/>
      <c r="AB998" s="536" t="n"/>
      <c r="AC998" s="536" t="n"/>
      <c r="AD998" s="282" t="n"/>
      <c r="AE998" s="282" t="n"/>
      <c r="AF998" s="537" t="n"/>
      <c r="AG998" s="537" t="n"/>
      <c r="AH998" s="282" t="n"/>
      <c r="AI998" s="282" t="n"/>
      <c r="AJ998" s="537" t="n"/>
      <c r="AK998" s="537" t="n"/>
      <c r="AL998" s="282" t="n"/>
      <c r="AM998" s="282" t="n"/>
      <c r="AN998" s="282" t="n"/>
      <c r="AO998" s="282" t="n"/>
      <c r="AP998" s="282" t="n"/>
      <c r="AQ998" s="282" t="n"/>
      <c r="AR998" s="535" t="n"/>
      <c r="AS998" s="535" t="n"/>
      <c r="AT998" s="282" t="n"/>
      <c r="AU998" s="282" t="n"/>
    </row>
    <row customHeight="1" ht="15.75" r="999" s="452" spans="1:48">
      <c r="A999" s="44" t="n"/>
      <c r="D999" s="535" t="n"/>
      <c r="E999" s="535" t="n"/>
      <c r="F999" s="282" t="n"/>
      <c r="G999" s="282" t="n"/>
      <c r="H999" s="536" t="n"/>
      <c r="I999" s="535" t="n"/>
      <c r="J999" s="282" t="n"/>
      <c r="K999" s="282" t="n"/>
      <c r="L999" s="536" t="n"/>
      <c r="M999" s="535" t="n"/>
      <c r="N999" s="282" t="n"/>
      <c r="O999" s="282" t="n"/>
      <c r="P999" s="535" t="n"/>
      <c r="Q999" s="535" t="n"/>
      <c r="R999" s="282" t="n"/>
      <c r="S999" s="282" t="n"/>
      <c r="T999" s="535" t="n"/>
      <c r="U999" s="535" t="n"/>
      <c r="V999" s="282" t="n"/>
      <c r="W999" s="282" t="n"/>
      <c r="X999" s="536" t="n"/>
      <c r="Y999" s="536" t="n"/>
      <c r="Z999" s="282" t="n"/>
      <c r="AA999" s="282" t="n"/>
      <c r="AB999" s="536" t="n"/>
      <c r="AC999" s="536" t="n"/>
      <c r="AD999" s="282" t="n"/>
      <c r="AE999" s="282" t="n"/>
      <c r="AF999" s="537" t="n"/>
      <c r="AG999" s="537" t="n"/>
      <c r="AH999" s="282" t="n"/>
      <c r="AI999" s="282" t="n"/>
      <c r="AJ999" s="537" t="n"/>
      <c r="AK999" s="537" t="n"/>
      <c r="AL999" s="282" t="n"/>
      <c r="AM999" s="282" t="n"/>
      <c r="AN999" s="282" t="n"/>
      <c r="AO999" s="282" t="n"/>
      <c r="AP999" s="282" t="n"/>
      <c r="AQ999" s="282" t="n"/>
      <c r="AR999" s="535" t="n"/>
      <c r="AS999" s="535" t="n"/>
      <c r="AT999" s="282" t="n"/>
      <c r="AU999" s="282" t="n"/>
    </row>
    <row customHeight="1" ht="15.75" r="1000" s="452" spans="1:48">
      <c r="A1000" s="44" t="n"/>
      <c r="D1000" s="535" t="n"/>
      <c r="E1000" s="535" t="n"/>
      <c r="F1000" s="282" t="n"/>
      <c r="G1000" s="282" t="n"/>
      <c r="H1000" s="536" t="n"/>
      <c r="I1000" s="535" t="n"/>
      <c r="J1000" s="282" t="n"/>
      <c r="K1000" s="282" t="n"/>
      <c r="L1000" s="536" t="n"/>
      <c r="M1000" s="535" t="n"/>
      <c r="N1000" s="282" t="n"/>
      <c r="O1000" s="282" t="n"/>
      <c r="P1000" s="535" t="n"/>
      <c r="Q1000" s="535" t="n"/>
      <c r="R1000" s="282" t="n"/>
      <c r="S1000" s="282" t="n"/>
      <c r="T1000" s="535" t="n"/>
      <c r="U1000" s="535" t="n"/>
      <c r="V1000" s="282" t="n"/>
      <c r="W1000" s="282" t="n"/>
      <c r="X1000" s="536" t="n"/>
      <c r="Y1000" s="536" t="n"/>
      <c r="Z1000" s="282" t="n"/>
      <c r="AA1000" s="282" t="n"/>
      <c r="AB1000" s="536" t="n"/>
      <c r="AC1000" s="536" t="n"/>
      <c r="AD1000" s="282" t="n"/>
      <c r="AE1000" s="282" t="n"/>
      <c r="AF1000" s="537" t="n"/>
      <c r="AG1000" s="537" t="n"/>
      <c r="AH1000" s="282" t="n"/>
      <c r="AI1000" s="282" t="n"/>
      <c r="AJ1000" s="537" t="n"/>
      <c r="AK1000" s="537" t="n"/>
      <c r="AL1000" s="282" t="n"/>
      <c r="AM1000" s="282" t="n"/>
      <c r="AN1000" s="282" t="n"/>
      <c r="AO1000" s="282" t="n"/>
      <c r="AP1000" s="282" t="n"/>
      <c r="AQ1000" s="282" t="n"/>
      <c r="AR1000" s="535" t="n"/>
      <c r="AS1000" s="535" t="n"/>
      <c r="AT1000" s="282" t="n"/>
      <c r="AU1000" s="282" t="n"/>
    </row>
  </sheetData>
  <autoFilter ref="A1:AV55"/>
  <conditionalFormatting sqref="F2:G49 AH4:AI53 AL4:AM53 AH2:AH3 AL2:AL3">
    <cfRule dxfId="1" operator="lessThan" priority="73" type="cellIs">
      <formula>0</formula>
    </cfRule>
    <cfRule dxfId="0" operator="greaterThanOrEqual" priority="74" type="cellIs">
      <formula>0</formula>
    </cfRule>
  </conditionalFormatting>
  <conditionalFormatting sqref="F53:G53">
    <cfRule dxfId="1" operator="lessThan" priority="77" type="cellIs">
      <formula>0</formula>
    </cfRule>
    <cfRule dxfId="0" operator="greaterThanOrEqual" priority="78" type="cellIs">
      <formula>0</formula>
    </cfRule>
  </conditionalFormatting>
  <conditionalFormatting sqref="F50:G50">
    <cfRule dxfId="1" operator="lessThan" priority="79" type="cellIs">
      <formula>0</formula>
    </cfRule>
    <cfRule dxfId="0" operator="greaterThanOrEqual" priority="80" type="cellIs">
      <formula>0</formula>
    </cfRule>
  </conditionalFormatting>
  <conditionalFormatting sqref="F51:G51">
    <cfRule dxfId="1" operator="lessThan" priority="81" type="cellIs">
      <formula>0</formula>
    </cfRule>
    <cfRule dxfId="0" operator="greaterThanOrEqual" priority="82" type="cellIs">
      <formula>0</formula>
    </cfRule>
  </conditionalFormatting>
  <conditionalFormatting sqref="F52:G52">
    <cfRule dxfId="1" operator="lessThan" priority="83" type="cellIs">
      <formula>0</formula>
    </cfRule>
    <cfRule dxfId="0" operator="greaterThanOrEqual" priority="84" type="cellIs">
      <formula>0</formula>
    </cfRule>
  </conditionalFormatting>
  <conditionalFormatting sqref="AM3">
    <cfRule dxfId="1" operator="lessThan" priority="87" type="cellIs">
      <formula>0</formula>
    </cfRule>
    <cfRule dxfId="0" operator="greaterThanOrEqual" priority="88" type="cellIs">
      <formula>0</formula>
    </cfRule>
  </conditionalFormatting>
  <conditionalFormatting sqref="AI2">
    <cfRule dxfId="1" operator="lessThan" priority="89" type="cellIs">
      <formula>0</formula>
    </cfRule>
    <cfRule dxfId="0" operator="greaterThanOrEqual" priority="90" type="cellIs">
      <formula>0</formula>
    </cfRule>
  </conditionalFormatting>
  <conditionalFormatting sqref="AM2">
    <cfRule dxfId="1" operator="lessThan" priority="91" type="cellIs">
      <formula>0</formula>
    </cfRule>
    <cfRule dxfId="0" operator="greaterThanOrEqual" priority="92" type="cellIs">
      <formula>0</formula>
    </cfRule>
  </conditionalFormatting>
  <conditionalFormatting sqref="AI3">
    <cfRule dxfId="1" operator="lessThan" priority="95" type="cellIs">
      <formula>0</formula>
    </cfRule>
    <cfRule dxfId="0" operator="greaterThanOrEqual" priority="96" type="cellIs">
      <formula>0</formula>
    </cfRule>
  </conditionalFormatting>
  <conditionalFormatting sqref="Z2:Z53">
    <cfRule dxfId="663" operator="lessThan" priority="69" type="cellIs">
      <formula>0</formula>
    </cfRule>
    <cfRule dxfId="662" operator="greaterThanOrEqual" priority="70" type="cellIs">
      <formula>0</formula>
    </cfRule>
  </conditionalFormatting>
  <conditionalFormatting sqref="AT2:AT53">
    <cfRule dxfId="1" operator="lessThan" priority="67" type="cellIs">
      <formula>0</formula>
    </cfRule>
    <cfRule dxfId="0" operator="greaterThanOrEqual" priority="68" type="cellIs">
      <formula>0</formula>
    </cfRule>
  </conditionalFormatting>
  <conditionalFormatting sqref="AP2:AP53">
    <cfRule dxfId="1" operator="lessThan" priority="65" type="cellIs">
      <formula>0</formula>
    </cfRule>
    <cfRule dxfId="0" operator="greaterThanOrEqual" priority="66" type="cellIs">
      <formula>0</formula>
    </cfRule>
  </conditionalFormatting>
  <conditionalFormatting sqref="AA4:AA53">
    <cfRule dxfId="2421" operator="lessThanOrEqual" priority="59" type="cellIs">
      <formula>0</formula>
    </cfRule>
    <cfRule dxfId="2420" operator="greaterThan" priority="60" type="cellIs">
      <formula>0</formula>
    </cfRule>
  </conditionalFormatting>
  <conditionalFormatting sqref="AA2">
    <cfRule dxfId="1" operator="lessThan" priority="61" type="cellIs">
      <formula>0</formula>
    </cfRule>
    <cfRule dxfId="0" operator="greaterThanOrEqual" priority="62" type="cellIs">
      <formula>0</formula>
    </cfRule>
  </conditionalFormatting>
  <conditionalFormatting sqref="AA3">
    <cfRule dxfId="1" operator="lessThan" priority="63" type="cellIs">
      <formula>0</formula>
    </cfRule>
    <cfRule dxfId="0" operator="greaterThanOrEqual" priority="64" type="cellIs">
      <formula>0</formula>
    </cfRule>
  </conditionalFormatting>
  <conditionalFormatting sqref="AQ4:AQ53">
    <cfRule dxfId="1" operator="lessThan" priority="53" type="cellIs">
      <formula>0</formula>
    </cfRule>
    <cfRule dxfId="0" operator="greaterThanOrEqual" priority="54" type="cellIs">
      <formula>0</formula>
    </cfRule>
  </conditionalFormatting>
  <conditionalFormatting sqref="AQ3">
    <cfRule dxfId="1" operator="lessThan" priority="55" type="cellIs">
      <formula>0</formula>
    </cfRule>
    <cfRule dxfId="0" operator="greaterThanOrEqual" priority="56" type="cellIs">
      <formula>0</formula>
    </cfRule>
  </conditionalFormatting>
  <conditionalFormatting sqref="AQ2">
    <cfRule dxfId="1" operator="lessThan" priority="57" type="cellIs">
      <formula>0</formula>
    </cfRule>
    <cfRule dxfId="0" operator="greaterThanOrEqual" priority="58" type="cellIs">
      <formula>0</formula>
    </cfRule>
  </conditionalFormatting>
  <conditionalFormatting sqref="AU4:AU53">
    <cfRule dxfId="1" operator="lessThan" priority="47" type="cellIs">
      <formula>0</formula>
    </cfRule>
    <cfRule dxfId="0" operator="greaterThanOrEqual" priority="48" type="cellIs">
      <formula>0</formula>
    </cfRule>
  </conditionalFormatting>
  <conditionalFormatting sqref="AU3">
    <cfRule dxfId="1" operator="lessThan" priority="49" type="cellIs">
      <formula>0</formula>
    </cfRule>
    <cfRule dxfId="0" operator="greaterThanOrEqual" priority="50" type="cellIs">
      <formula>0</formula>
    </cfRule>
  </conditionalFormatting>
  <conditionalFormatting sqref="AU2">
    <cfRule dxfId="1" operator="lessThan" priority="51" type="cellIs">
      <formula>0</formula>
    </cfRule>
    <cfRule dxfId="0" operator="greaterThanOrEqual" priority="52" type="cellIs">
      <formula>0</formula>
    </cfRule>
  </conditionalFormatting>
  <conditionalFormatting sqref="N2:O53">
    <cfRule dxfId="0" operator="lessThanOrEqual" priority="37" type="cellIs">
      <formula>0</formula>
    </cfRule>
    <cfRule dxfId="1" operator="greaterThan" priority="38" type="cellIs">
      <formula>0</formula>
    </cfRule>
  </conditionalFormatting>
  <conditionalFormatting sqref="J2:K53">
    <cfRule dxfId="0" operator="lessThanOrEqual" priority="35" type="cellIs">
      <formula>0</formula>
    </cfRule>
    <cfRule dxfId="1" operator="greaterThan" priority="36" type="cellIs">
      <formula>0</formula>
    </cfRule>
  </conditionalFormatting>
  <conditionalFormatting sqref="AD2:AD53">
    <cfRule dxfId="663" operator="lessThan" priority="33" type="cellIs">
      <formula>0</formula>
    </cfRule>
    <cfRule dxfId="662" operator="greaterThanOrEqual" priority="34" type="cellIs">
      <formula>0</formula>
    </cfRule>
  </conditionalFormatting>
  <conditionalFormatting sqref="AE4:AE53">
    <cfRule dxfId="2421" operator="lessThanOrEqual" priority="27" type="cellIs">
      <formula>0</formula>
    </cfRule>
    <cfRule dxfId="2420" operator="greaterThan" priority="28" type="cellIs">
      <formula>0</formula>
    </cfRule>
  </conditionalFormatting>
  <conditionalFormatting sqref="AE2">
    <cfRule dxfId="1" operator="lessThan" priority="29" type="cellIs">
      <formula>0</formula>
    </cfRule>
    <cfRule dxfId="0" operator="greaterThanOrEqual" priority="30" type="cellIs">
      <formula>0</formula>
    </cfRule>
  </conditionalFormatting>
  <conditionalFormatting sqref="AE3">
    <cfRule dxfId="1" operator="lessThan" priority="31" type="cellIs">
      <formula>0</formula>
    </cfRule>
    <cfRule dxfId="0" operator="greaterThanOrEqual" priority="32" type="cellIs">
      <formula>0</formula>
    </cfRule>
  </conditionalFormatting>
  <conditionalFormatting sqref="G54">
    <cfRule dxfId="1" operator="lessThan" priority="25" type="cellIs">
      <formula>0</formula>
    </cfRule>
    <cfRule dxfId="0" operator="greaterThanOrEqual" priority="26" type="cellIs">
      <formula>0</formula>
    </cfRule>
  </conditionalFormatting>
  <conditionalFormatting sqref="K54">
    <cfRule dxfId="0" operator="lessThanOrEqual" priority="23" type="cellIs">
      <formula>0</formula>
    </cfRule>
    <cfRule dxfId="1" operator="greaterThan" priority="24" type="cellIs">
      <formula>0</formula>
    </cfRule>
  </conditionalFormatting>
  <conditionalFormatting sqref="O54">
    <cfRule dxfId="0" operator="lessThanOrEqual" priority="21" type="cellIs">
      <formula>0</formula>
    </cfRule>
    <cfRule dxfId="1" operator="greaterThan" priority="22" type="cellIs">
      <formula>0</formula>
    </cfRule>
  </conditionalFormatting>
  <conditionalFormatting sqref="AA54">
    <cfRule dxfId="2421" operator="lessThanOrEqual" priority="19" type="cellIs">
      <formula>0</formula>
    </cfRule>
    <cfRule dxfId="2420" operator="greaterThan" priority="20" type="cellIs">
      <formula>0</formula>
    </cfRule>
  </conditionalFormatting>
  <conditionalFormatting sqref="AI54">
    <cfRule dxfId="1" operator="lessThan" priority="17" type="cellIs">
      <formula>0</formula>
    </cfRule>
    <cfRule dxfId="0" operator="greaterThanOrEqual" priority="18" type="cellIs">
      <formula>0</formula>
    </cfRule>
  </conditionalFormatting>
  <conditionalFormatting sqref="AM54">
    <cfRule dxfId="1" operator="lessThan" priority="15" type="cellIs">
      <formula>0</formula>
    </cfRule>
    <cfRule dxfId="0" operator="greaterThanOrEqual" priority="16" type="cellIs">
      <formula>0</formula>
    </cfRule>
  </conditionalFormatting>
  <conditionalFormatting sqref="AQ54">
    <cfRule dxfId="1" operator="lessThan" priority="13" type="cellIs">
      <formula>0</formula>
    </cfRule>
    <cfRule dxfId="0" operator="greaterThanOrEqual" priority="14" type="cellIs">
      <formula>0</formula>
    </cfRule>
  </conditionalFormatting>
  <conditionalFormatting sqref="AU54">
    <cfRule dxfId="1" operator="lessThan" priority="11" type="cellIs">
      <formula>0</formula>
    </cfRule>
    <cfRule dxfId="0" operator="greaterThanOrEqual" priority="12" type="cellIs">
      <formula>0</formula>
    </cfRule>
  </conditionalFormatting>
  <conditionalFormatting sqref="AE54">
    <cfRule dxfId="2421" operator="lessThanOrEqual" priority="9" type="cellIs">
      <formula>0</formula>
    </cfRule>
    <cfRule dxfId="2420" operator="greaterThan" priority="10" type="cellIs">
      <formula>0</formula>
    </cfRule>
  </conditionalFormatting>
  <conditionalFormatting sqref="R2:S53">
    <cfRule dxfId="0" operator="lessThanOrEqual" priority="7" type="cellIs">
      <formula>0</formula>
    </cfRule>
    <cfRule dxfId="1" operator="greaterThan" priority="8" type="cellIs">
      <formula>0</formula>
    </cfRule>
  </conditionalFormatting>
  <conditionalFormatting sqref="S54">
    <cfRule dxfId="0" operator="lessThanOrEqual" priority="5" type="cellIs">
      <formula>0</formula>
    </cfRule>
    <cfRule dxfId="1" operator="greaterThan" priority="6" type="cellIs">
      <formula>0</formula>
    </cfRule>
  </conditionalFormatting>
  <conditionalFormatting sqref="V2:W53">
    <cfRule dxfId="0" operator="lessThanOrEqual" priority="3" type="cellIs">
      <formula>0</formula>
    </cfRule>
    <cfRule dxfId="1" operator="greaterThan" priority="4" type="cellIs">
      <formula>0</formula>
    </cfRule>
  </conditionalFormatting>
  <conditionalFormatting sqref="W54">
    <cfRule dxfId="0" operator="lessThanOrEqual" priority="1" type="cellIs">
      <formula>0</formula>
    </cfRule>
    <cfRule dxfId="1" operator="greaterThan" priority="2" type="cellIs">
      <formula>0</formula>
    </cfRule>
  </conditionalFormatting>
  <pageMargins bottom="1" footer="0.5" header="0.5" left="0.75" right="0.75" top="1"/>
  <pageSetup horizontalDpi="4294967292" orientation="portrait" verticalDpi="4294967292"/>
</worksheet>
</file>

<file path=xl/worksheets/sheet7.xml><?xml version="1.0" encoding="utf-8"?>
<worksheet xmlns="http://schemas.openxmlformats.org/spreadsheetml/2006/main">
  <sheetPr>
    <tabColor theme="7"/>
    <outlinePr summaryBelow="1" summaryRight="1"/>
    <pageSetUpPr/>
  </sheetPr>
  <dimension ref="A1:G55"/>
  <sheetViews>
    <sheetView topLeftCell="A34" workbookViewId="0">
      <selection activeCell="D51" sqref="D51"/>
    </sheetView>
  </sheetViews>
  <sheetFormatPr baseColWidth="8" defaultColWidth="11" defaultRowHeight="18.75" outlineLevelCol="0"/>
  <cols>
    <col customWidth="1" max="2" min="1" style="126" width="14"/>
    <col bestFit="1" customWidth="1" max="3" min="3" style="518" width="15.5"/>
    <col bestFit="1" customWidth="1" max="4" min="4" style="518" width="13.5"/>
    <col bestFit="1" customWidth="1" max="5" min="5" style="519" width="16.625"/>
    <col bestFit="1" customWidth="1" max="6" min="6" style="520" width="14.125"/>
    <col bestFit="1" customWidth="1" max="7" min="7" style="520" width="10.875"/>
  </cols>
  <sheetData>
    <row customHeight="1" ht="23.25" r="1" s="452" spans="1:7">
      <c r="A1" s="457" t="s">
        <v>165</v>
      </c>
    </row>
    <row r="2" spans="1:7">
      <c r="A2" s="122" t="s">
        <v>55</v>
      </c>
      <c r="B2" s="122" t="s">
        <v>166</v>
      </c>
      <c r="C2" s="122" t="s">
        <v>167</v>
      </c>
      <c r="D2" s="123" t="s">
        <v>168</v>
      </c>
      <c r="E2" s="122" t="s">
        <v>169</v>
      </c>
      <c r="F2" s="122" t="s">
        <v>170</v>
      </c>
      <c r="G2" s="124" t="n"/>
    </row>
    <row r="3" spans="1:7">
      <c r="A3" s="125" t="n">
        <v>1</v>
      </c>
      <c r="B3" s="125" t="s">
        <v>67</v>
      </c>
      <c r="C3" s="518" t="n">
        <v>23453</v>
      </c>
      <c r="D3" s="522" t="n">
        <v>21239.02</v>
      </c>
      <c r="E3" s="521">
        <f>C3-D3</f>
        <v/>
      </c>
      <c r="F3" s="129">
        <f>(C3-D3)/C3</f>
        <v/>
      </c>
      <c r="G3" s="523" t="n"/>
    </row>
    <row r="4" spans="1:7">
      <c r="A4" s="125" t="n">
        <v>1</v>
      </c>
      <c r="B4" s="125" t="s">
        <v>68</v>
      </c>
      <c r="C4" s="518" t="n">
        <v>9658</v>
      </c>
      <c r="D4" s="522" t="n">
        <v>8139.21</v>
      </c>
      <c r="E4" s="521">
        <f>C4-D4</f>
        <v/>
      </c>
      <c r="F4" s="129">
        <f>(C4-D4)/C4</f>
        <v/>
      </c>
      <c r="G4" s="523" t="n"/>
    </row>
    <row r="5" spans="1:7">
      <c r="A5" s="125" t="n">
        <v>1</v>
      </c>
      <c r="B5" s="125" t="s">
        <v>69</v>
      </c>
      <c r="C5" s="518" t="n">
        <v>21813</v>
      </c>
      <c r="D5" s="522" t="n">
        <v>19920.81</v>
      </c>
      <c r="E5" s="521">
        <f>C5-D5</f>
        <v/>
      </c>
      <c r="F5" s="129">
        <f>(C5-D5)/C5</f>
        <v/>
      </c>
      <c r="G5" s="523" t="n"/>
    </row>
    <row r="6" spans="1:7">
      <c r="A6" s="203" t="n">
        <v>1</v>
      </c>
      <c r="B6" s="203" t="s">
        <v>71</v>
      </c>
      <c r="C6" s="608" t="n">
        <v>22915</v>
      </c>
      <c r="D6" s="609" t="n">
        <v>21471.5</v>
      </c>
      <c r="E6" s="610">
        <f>C6-D6</f>
        <v/>
      </c>
      <c r="F6" s="207">
        <f>(C6-D6)/C6</f>
        <v/>
      </c>
      <c r="G6" s="523" t="n"/>
    </row>
    <row r="7" spans="1:7">
      <c r="A7" s="125" t="n">
        <v>2</v>
      </c>
      <c r="B7" s="125" t="s">
        <v>73</v>
      </c>
      <c r="C7" s="518" t="n">
        <v>27165</v>
      </c>
      <c r="D7" s="524" t="n">
        <v>22972.49</v>
      </c>
      <c r="E7" s="521">
        <f>C7-D7</f>
        <v/>
      </c>
      <c r="F7" s="129">
        <f>(C7-D7)/C7</f>
        <v/>
      </c>
    </row>
    <row r="8" spans="1:7">
      <c r="A8" s="125" t="n">
        <v>2</v>
      </c>
      <c r="B8" s="125" t="s">
        <v>75</v>
      </c>
      <c r="C8" s="518" t="n">
        <v>19784</v>
      </c>
      <c r="D8" s="522" t="n">
        <v>17769.04</v>
      </c>
      <c r="E8" s="521">
        <f>C8-D8</f>
        <v/>
      </c>
      <c r="F8" s="129">
        <f>(C8-D8)/C8</f>
        <v/>
      </c>
      <c r="G8" s="523" t="n"/>
    </row>
    <row r="9" spans="1:7">
      <c r="A9" s="125" t="n">
        <v>2</v>
      </c>
      <c r="B9" s="125" t="s">
        <v>77</v>
      </c>
      <c r="C9" s="518" t="n">
        <v>75527</v>
      </c>
      <c r="D9" s="522" t="n">
        <v>14304.5</v>
      </c>
      <c r="E9" s="521">
        <f>C9-D9</f>
        <v/>
      </c>
      <c r="F9" s="129">
        <f>(C9-D9)/C9</f>
        <v/>
      </c>
      <c r="G9" s="523" t="n"/>
    </row>
    <row r="10" spans="1:7">
      <c r="A10" s="203" t="n">
        <v>2</v>
      </c>
      <c r="B10" s="203" t="s">
        <v>79</v>
      </c>
      <c r="C10" s="610" t="n">
        <v>17401</v>
      </c>
      <c r="D10" s="609" t="n">
        <v>18627.65</v>
      </c>
      <c r="E10" s="610">
        <f>C10-D10</f>
        <v/>
      </c>
      <c r="F10" s="207">
        <f>(C10-D10)/C10</f>
        <v/>
      </c>
      <c r="G10" s="523" t="n"/>
    </row>
    <row r="11" spans="1:7">
      <c r="A11" s="125" t="n">
        <v>3</v>
      </c>
      <c r="B11" s="125" t="s">
        <v>80</v>
      </c>
      <c r="C11" s="518" t="n">
        <v>16157</v>
      </c>
      <c r="D11" s="524" t="n">
        <v>11875.42</v>
      </c>
      <c r="E11" s="521">
        <f>C11-D11</f>
        <v/>
      </c>
      <c r="F11" s="129">
        <f>(C11-D11)/C11</f>
        <v/>
      </c>
    </row>
    <row r="12" spans="1:7">
      <c r="A12" s="125" t="n">
        <v>3</v>
      </c>
      <c r="B12" s="125" t="s">
        <v>82</v>
      </c>
      <c r="C12" s="518" t="n">
        <v>63408</v>
      </c>
      <c r="D12" s="524" t="n">
        <v>55880.76</v>
      </c>
      <c r="E12" s="521">
        <f>C12-D12</f>
        <v/>
      </c>
      <c r="F12" s="129">
        <f>(C12-D12)/C12</f>
        <v/>
      </c>
    </row>
    <row r="13" spans="1:7">
      <c r="A13" s="125" t="n">
        <v>3</v>
      </c>
      <c r="B13" s="125" t="s">
        <v>84</v>
      </c>
      <c r="C13" s="518" t="n">
        <v>46182</v>
      </c>
      <c r="D13" s="524" t="n">
        <v>43760.51</v>
      </c>
      <c r="E13" s="521">
        <f>C13-D13</f>
        <v/>
      </c>
      <c r="F13" s="129">
        <f>(C13-D13)/C13</f>
        <v/>
      </c>
    </row>
    <row r="14" spans="1:7">
      <c r="A14" s="203" t="n">
        <v>3</v>
      </c>
      <c r="B14" s="203" t="s">
        <v>86</v>
      </c>
      <c r="C14" s="608" t="n">
        <v>22258</v>
      </c>
      <c r="D14" s="611" t="n">
        <v>19232.59</v>
      </c>
      <c r="E14" s="610">
        <f>C14-D14</f>
        <v/>
      </c>
      <c r="F14" s="207">
        <f>(C14-D14)/C14</f>
        <v/>
      </c>
    </row>
    <row r="15" spans="1:7">
      <c r="A15" s="125" t="n">
        <v>4</v>
      </c>
      <c r="B15" s="125" t="s">
        <v>88</v>
      </c>
      <c r="C15" s="518" t="n">
        <v>27902</v>
      </c>
      <c r="D15" s="524" t="n">
        <v>20063.32</v>
      </c>
      <c r="E15" s="521">
        <f>C15-D15</f>
        <v/>
      </c>
      <c r="F15" s="129">
        <f>(C15-D15)/C15</f>
        <v/>
      </c>
    </row>
    <row r="16" spans="1:7">
      <c r="A16" s="125" t="n">
        <v>4</v>
      </c>
      <c r="B16" s="125" t="s">
        <v>90</v>
      </c>
      <c r="C16" s="518" t="n">
        <v>34338</v>
      </c>
      <c r="D16" s="524" t="n">
        <v>30965.36</v>
      </c>
      <c r="E16" s="521">
        <f>C16-D16</f>
        <v/>
      </c>
      <c r="F16" s="129">
        <f>(C16-D16)/C16</f>
        <v/>
      </c>
    </row>
    <row r="17" spans="1:7">
      <c r="A17" s="125" t="n">
        <v>4</v>
      </c>
      <c r="B17" s="125" t="s">
        <v>92</v>
      </c>
      <c r="C17" s="518">
        <f>Affiliate!D16</f>
        <v/>
      </c>
      <c r="D17" s="524" t="n">
        <v>13329.4</v>
      </c>
      <c r="E17" s="521">
        <f>C17-D17</f>
        <v/>
      </c>
      <c r="F17" s="129">
        <f>(C17-D17)/C17</f>
        <v/>
      </c>
    </row>
    <row r="18" spans="1:7">
      <c r="A18" s="203" t="n">
        <v>4</v>
      </c>
      <c r="B18" s="203" t="s">
        <v>93</v>
      </c>
      <c r="C18" s="608" t="n">
        <v>32339</v>
      </c>
      <c r="D18" s="611" t="n">
        <v>29822.8</v>
      </c>
      <c r="E18" s="610">
        <f>C18-D18</f>
        <v/>
      </c>
      <c r="F18" s="207">
        <f>(C18-D18)/C18</f>
        <v/>
      </c>
    </row>
    <row r="19" spans="1:7">
      <c r="A19" s="125" t="n">
        <v>5</v>
      </c>
      <c r="B19" s="125" t="s">
        <v>95</v>
      </c>
      <c r="C19" s="518" t="n">
        <v>18240</v>
      </c>
      <c r="D19" s="524" t="n">
        <v>17128.46</v>
      </c>
      <c r="E19" s="521">
        <f>C19-D19</f>
        <v/>
      </c>
      <c r="F19" s="129">
        <f>(C19-D19)/C19</f>
        <v/>
      </c>
    </row>
    <row r="20" spans="1:7">
      <c r="A20" s="125" t="n">
        <v>5</v>
      </c>
      <c r="B20" s="125" t="s">
        <v>96</v>
      </c>
      <c r="C20" s="518" t="n">
        <v>91686</v>
      </c>
      <c r="D20" s="524" t="n">
        <v>16161.64</v>
      </c>
      <c r="E20" s="521">
        <f>C20-D20</f>
        <v/>
      </c>
      <c r="F20" s="129">
        <f>(C20-D20)/C20</f>
        <v/>
      </c>
    </row>
    <row r="21" spans="1:7">
      <c r="A21" s="125" t="n">
        <v>5</v>
      </c>
      <c r="B21" s="125" t="s">
        <v>98</v>
      </c>
      <c r="C21" s="518" t="n">
        <v>26376</v>
      </c>
      <c r="D21" s="524" t="n">
        <v>31160.55</v>
      </c>
      <c r="E21" s="521">
        <f>C21-D21</f>
        <v/>
      </c>
      <c r="F21" s="129">
        <f>(C21-D21)/C21</f>
        <v/>
      </c>
    </row>
    <row r="22" spans="1:7">
      <c r="A22" s="203" t="n">
        <v>5</v>
      </c>
      <c r="B22" s="203" t="s">
        <v>99</v>
      </c>
      <c r="C22" s="608" t="n">
        <v>11571</v>
      </c>
      <c r="D22" s="611" t="n">
        <v>13902.58</v>
      </c>
      <c r="E22" s="610">
        <f>C22-D22</f>
        <v/>
      </c>
      <c r="F22" s="207">
        <f>(C22-D22)/C22</f>
        <v/>
      </c>
    </row>
    <row r="23" spans="1:7">
      <c r="A23" s="125" t="n">
        <v>6</v>
      </c>
      <c r="B23" s="125" t="s">
        <v>101</v>
      </c>
      <c r="C23" s="518" t="n">
        <v>19617</v>
      </c>
      <c r="D23" s="524" t="n">
        <v>20247.76</v>
      </c>
      <c r="E23" s="521">
        <f>C23-D23</f>
        <v/>
      </c>
      <c r="F23" s="129">
        <f>(C23-D23)/C23</f>
        <v/>
      </c>
    </row>
    <row r="24" spans="1:7">
      <c r="A24" s="125" t="n">
        <v>6</v>
      </c>
      <c r="B24" s="125" t="s">
        <v>102</v>
      </c>
      <c r="C24" s="518" t="n">
        <v>15709</v>
      </c>
      <c r="D24" s="524" t="n">
        <v>16631.83</v>
      </c>
      <c r="E24" s="521">
        <f>C24-D24</f>
        <v/>
      </c>
      <c r="F24" s="129">
        <f>(C24-D24)/C24</f>
        <v/>
      </c>
    </row>
    <row r="25" spans="1:7">
      <c r="A25" s="125" t="n">
        <v>6</v>
      </c>
      <c r="B25" s="125" t="s">
        <v>103</v>
      </c>
      <c r="C25" s="518" t="n">
        <v>14408</v>
      </c>
      <c r="D25" s="524" t="n">
        <v>21004.81</v>
      </c>
      <c r="E25" s="521">
        <f>C25-D25</f>
        <v/>
      </c>
      <c r="F25" s="129">
        <f>(C25-D25)/C25</f>
        <v/>
      </c>
    </row>
    <row r="26" spans="1:7">
      <c r="A26" s="203" t="n">
        <v>6</v>
      </c>
      <c r="B26" s="203" t="s">
        <v>104</v>
      </c>
      <c r="C26" s="608" t="n">
        <v>42858</v>
      </c>
      <c r="D26" s="611" t="n">
        <v>9309.4</v>
      </c>
      <c r="E26" s="610">
        <f>C26-D26</f>
        <v/>
      </c>
      <c r="F26" s="207">
        <f>(C26-D26)/C26</f>
        <v/>
      </c>
    </row>
    <row r="27" spans="1:7">
      <c r="A27" s="125" t="n">
        <v>7</v>
      </c>
      <c r="B27" s="125" t="s">
        <v>106</v>
      </c>
      <c r="C27" s="518" t="n">
        <v>13456</v>
      </c>
      <c r="D27" s="524" t="n">
        <v>11429.7</v>
      </c>
      <c r="E27" s="521">
        <f>C27-D27</f>
        <v/>
      </c>
      <c r="F27" s="129">
        <f>(C27-D27)/C27</f>
        <v/>
      </c>
    </row>
    <row r="28" spans="1:7">
      <c r="A28" s="125" t="n">
        <v>7</v>
      </c>
      <c r="B28" s="125" t="s">
        <v>108</v>
      </c>
      <c r="C28" s="518">
        <f>Affiliate!D27</f>
        <v/>
      </c>
      <c r="D28" s="524" t="n">
        <v>12237.17</v>
      </c>
      <c r="E28" s="521">
        <f>C28-D28</f>
        <v/>
      </c>
      <c r="F28" s="129">
        <f>(C28-D28)/C28</f>
        <v/>
      </c>
    </row>
    <row r="29" spans="1:7">
      <c r="A29" s="125" t="n">
        <v>7</v>
      </c>
      <c r="B29" s="125" t="s">
        <v>109</v>
      </c>
      <c r="C29" s="518">
        <f>Affiliate!D28</f>
        <v/>
      </c>
      <c r="D29" s="524" t="n">
        <v>14212.55</v>
      </c>
      <c r="E29" s="521">
        <f>C29-D29</f>
        <v/>
      </c>
      <c r="F29" s="129">
        <f>(C29-D29)/C29</f>
        <v/>
      </c>
    </row>
    <row r="30" spans="1:7">
      <c r="A30" s="203" t="n">
        <v>7</v>
      </c>
      <c r="B30" s="203" t="s">
        <v>110</v>
      </c>
      <c r="C30" s="608">
        <f>Affiliate!D29</f>
        <v/>
      </c>
      <c r="D30" s="611" t="n">
        <v>21377.94</v>
      </c>
      <c r="E30" s="610">
        <f>C30-D30</f>
        <v/>
      </c>
      <c r="F30" s="207">
        <f>(C30-D30)/C30</f>
        <v/>
      </c>
    </row>
    <row r="31" spans="1:7">
      <c r="A31" s="125" t="n">
        <v>8</v>
      </c>
      <c r="B31" s="125" t="s">
        <v>111</v>
      </c>
      <c r="C31" s="518">
        <f>Affiliate!D30</f>
        <v/>
      </c>
      <c r="D31" s="524" t="n">
        <v>17193.48</v>
      </c>
      <c r="E31" s="521">
        <f>C31-D31</f>
        <v/>
      </c>
      <c r="F31" s="129">
        <f>(C31-D31)/C31</f>
        <v/>
      </c>
    </row>
    <row r="32" spans="1:7">
      <c r="A32" s="125" t="n">
        <v>8</v>
      </c>
      <c r="B32" s="125" t="s">
        <v>112</v>
      </c>
      <c r="C32" s="518">
        <f>Affiliate!D31</f>
        <v/>
      </c>
      <c r="D32" s="524" t="n">
        <v>7703.22</v>
      </c>
      <c r="E32" s="521">
        <f>C32-D32</f>
        <v/>
      </c>
      <c r="F32" s="129">
        <f>(C32-D32)/C32</f>
        <v/>
      </c>
    </row>
    <row r="33" spans="1:7">
      <c r="A33" s="125" t="n">
        <v>8</v>
      </c>
      <c r="B33" s="125" t="s">
        <v>114</v>
      </c>
      <c r="C33" s="518">
        <f>Affiliate!D32</f>
        <v/>
      </c>
      <c r="D33" s="524" t="n">
        <v>15969.5</v>
      </c>
      <c r="E33" s="521">
        <f>C33-D33</f>
        <v/>
      </c>
      <c r="F33" s="129">
        <f>(C33-D33)/C33</f>
        <v/>
      </c>
    </row>
    <row r="34" spans="1:7">
      <c r="A34" s="203" t="n">
        <v>8</v>
      </c>
      <c r="B34" s="203" t="s">
        <v>116</v>
      </c>
      <c r="C34" s="608">
        <f>Affiliate!D33</f>
        <v/>
      </c>
      <c r="D34" s="611" t="n">
        <v>14712.02</v>
      </c>
      <c r="E34" s="610">
        <f>C34-D34</f>
        <v/>
      </c>
      <c r="F34" s="207">
        <f>(C34-D34)/C34</f>
        <v/>
      </c>
    </row>
    <row r="35" spans="1:7">
      <c r="A35" s="125" t="n">
        <v>9</v>
      </c>
      <c r="B35" s="125" t="s">
        <v>117</v>
      </c>
      <c r="C35" s="518">
        <f>Affiliate!D34</f>
        <v/>
      </c>
      <c r="D35" s="524" t="n">
        <v>29625.03</v>
      </c>
      <c r="E35" s="521">
        <f>C35-D35</f>
        <v/>
      </c>
      <c r="F35" s="129">
        <f>(C35-D35)/C35</f>
        <v/>
      </c>
    </row>
    <row r="36" spans="1:7">
      <c r="A36" s="125" t="n">
        <v>9</v>
      </c>
      <c r="B36" s="125" t="s">
        <v>118</v>
      </c>
      <c r="C36" s="518">
        <f>Affiliate!D35</f>
        <v/>
      </c>
      <c r="D36" s="524" t="n">
        <v>27074.99</v>
      </c>
      <c r="E36" s="521">
        <f>C36-D36</f>
        <v/>
      </c>
      <c r="F36" s="129">
        <f>(C36-D36)/C36</f>
        <v/>
      </c>
    </row>
    <row r="37" spans="1:7">
      <c r="A37" s="125" t="n">
        <v>9</v>
      </c>
      <c r="B37" s="125" t="s">
        <v>119</v>
      </c>
      <c r="C37" s="518">
        <f>Affiliate!D36</f>
        <v/>
      </c>
      <c r="D37" s="524" t="n">
        <v>16470.98</v>
      </c>
      <c r="E37" s="521">
        <f>C37-D37</f>
        <v/>
      </c>
      <c r="F37" s="129">
        <f>(C37-D37)/C37</f>
        <v/>
      </c>
    </row>
    <row r="38" spans="1:7">
      <c r="A38" s="203" t="n">
        <v>9</v>
      </c>
      <c r="B38" s="203" t="s">
        <v>120</v>
      </c>
      <c r="C38" s="608">
        <f>Affiliate!D37</f>
        <v/>
      </c>
      <c r="D38" s="611" t="n">
        <v>21150.16</v>
      </c>
      <c r="E38" s="610">
        <f>C38-D38</f>
        <v/>
      </c>
      <c r="F38" s="207">
        <f>(C38-D38)/C38</f>
        <v/>
      </c>
    </row>
    <row r="39" spans="1:7">
      <c r="A39" s="125" t="n">
        <v>10</v>
      </c>
      <c r="B39" s="125" t="s">
        <v>121</v>
      </c>
      <c r="C39" s="518">
        <f>Affiliate!D38</f>
        <v/>
      </c>
      <c r="D39" s="524" t="n">
        <v>32220.79</v>
      </c>
      <c r="E39" s="521">
        <f>C39-D39</f>
        <v/>
      </c>
      <c r="F39" s="129">
        <f>(C39-D39)/C39</f>
        <v/>
      </c>
    </row>
    <row r="40" spans="1:7">
      <c r="A40" s="125" t="n">
        <v>10</v>
      </c>
      <c r="B40" s="125" t="s">
        <v>122</v>
      </c>
      <c r="C40" s="518">
        <f>Affiliate!D39</f>
        <v/>
      </c>
      <c r="D40" s="524" t="n">
        <v>24659.99</v>
      </c>
      <c r="E40" s="521">
        <f>C40-D40</f>
        <v/>
      </c>
      <c r="F40" s="129">
        <f>(C40-D40)/C40</f>
        <v/>
      </c>
    </row>
    <row r="41" spans="1:7">
      <c r="A41" s="125" t="n">
        <v>10</v>
      </c>
      <c r="B41" s="125" t="s">
        <v>123</v>
      </c>
      <c r="C41" s="518">
        <f>Affiliate!D40</f>
        <v/>
      </c>
      <c r="D41" s="524" t="n">
        <v>25494</v>
      </c>
      <c r="E41" s="521">
        <f>C41-D41</f>
        <v/>
      </c>
      <c r="F41" s="129">
        <f>(C41-D41)/C41</f>
        <v/>
      </c>
    </row>
    <row r="42" spans="1:7">
      <c r="A42" s="203" t="n">
        <v>10</v>
      </c>
      <c r="B42" s="203" t="s">
        <v>124</v>
      </c>
      <c r="C42" s="608">
        <f>Affiliate!D41</f>
        <v/>
      </c>
      <c r="D42" s="611" t="n">
        <v>7388.48</v>
      </c>
      <c r="E42" s="610">
        <f>C42-D42</f>
        <v/>
      </c>
      <c r="F42" s="207">
        <f>(C42-D42)/C42</f>
        <v/>
      </c>
    </row>
    <row r="43" spans="1:7">
      <c r="A43" s="122" t="n">
        <v>11</v>
      </c>
      <c r="B43" s="125" t="s">
        <v>125</v>
      </c>
      <c r="C43" s="518">
        <f>Affiliate!D42</f>
        <v/>
      </c>
      <c r="D43" s="524" t="n">
        <v>3187.44</v>
      </c>
      <c r="E43" s="521">
        <f>C43-D43</f>
        <v/>
      </c>
      <c r="F43" s="129">
        <f>(C43-D43)/C43</f>
        <v/>
      </c>
      <c r="G43" s="124" t="n"/>
    </row>
    <row r="44" spans="1:7">
      <c r="A44" s="122" t="n">
        <v>11</v>
      </c>
      <c r="B44" s="125" t="s">
        <v>126</v>
      </c>
      <c r="C44" s="518">
        <f>Affiliate!D43</f>
        <v/>
      </c>
      <c r="D44" s="524" t="n">
        <v>24914.05</v>
      </c>
      <c r="E44" s="521">
        <f>C44-D44</f>
        <v/>
      </c>
      <c r="F44" s="129">
        <f>(C44-D44)/C44</f>
        <v/>
      </c>
    </row>
    <row r="45" spans="1:7">
      <c r="A45" s="122" t="n">
        <v>11</v>
      </c>
      <c r="B45" s="125" t="s">
        <v>127</v>
      </c>
      <c r="C45" s="518">
        <f>Affiliate!D44</f>
        <v/>
      </c>
      <c r="D45" s="524" t="n">
        <v>53746</v>
      </c>
      <c r="E45" s="521">
        <f>C45-D45</f>
        <v/>
      </c>
      <c r="F45" s="129">
        <f>(C45-D45)/C45</f>
        <v/>
      </c>
    </row>
    <row r="46" spans="1:7">
      <c r="A46" s="209" t="n">
        <v>11</v>
      </c>
      <c r="B46" s="203" t="s">
        <v>128</v>
      </c>
      <c r="C46" s="608">
        <f>Affiliate!D45</f>
        <v/>
      </c>
      <c r="D46" s="611" t="n">
        <v>57161.34</v>
      </c>
      <c r="E46" s="610">
        <f>C46-D46</f>
        <v/>
      </c>
      <c r="F46" s="207">
        <f>(C46-D46)/C46</f>
        <v/>
      </c>
    </row>
    <row r="47" spans="1:7">
      <c r="A47" s="125" t="n">
        <v>12</v>
      </c>
      <c r="B47" s="125" t="s">
        <v>129</v>
      </c>
      <c r="C47" s="518">
        <f>Affiliate!D46</f>
        <v/>
      </c>
      <c r="D47" s="522" t="n">
        <v>93770.28</v>
      </c>
      <c r="E47" s="521">
        <f>C47-D47</f>
        <v/>
      </c>
      <c r="F47" s="129">
        <f>(C47-D47)/C47</f>
        <v/>
      </c>
      <c r="G47" s="523" t="n"/>
    </row>
    <row r="48" spans="1:7">
      <c r="A48" s="125" t="n">
        <v>12</v>
      </c>
      <c r="B48" s="125" t="s">
        <v>130</v>
      </c>
      <c r="C48" s="518">
        <f>Affiliate!D47</f>
        <v/>
      </c>
      <c r="D48" s="524" t="n">
        <v>42595.58</v>
      </c>
      <c r="E48" s="521">
        <f>C48-D48</f>
        <v/>
      </c>
      <c r="F48" s="129">
        <f>(C48-D48)/C48</f>
        <v/>
      </c>
    </row>
    <row r="49" spans="1:7">
      <c r="A49" s="125" t="n">
        <v>12</v>
      </c>
      <c r="B49" s="125" t="s">
        <v>131</v>
      </c>
      <c r="C49" s="518">
        <f>Affiliate!D48</f>
        <v/>
      </c>
      <c r="D49" s="524" t="n">
        <v>98306.56</v>
      </c>
      <c r="E49" s="521">
        <f>C49-D49</f>
        <v/>
      </c>
      <c r="F49" s="129">
        <f>(C49-D49)/C49</f>
        <v/>
      </c>
    </row>
    <row r="50" spans="1:7">
      <c r="A50" s="203" t="n">
        <v>12</v>
      </c>
      <c r="B50" s="203" t="s">
        <v>53</v>
      </c>
      <c r="C50" s="608">
        <f>Affiliate!D49</f>
        <v/>
      </c>
      <c r="D50" s="611" t="n">
        <v>175241.68</v>
      </c>
      <c r="E50" s="610">
        <f>C50-D50</f>
        <v/>
      </c>
      <c r="F50" s="207">
        <f>(C50-D50)/C50</f>
        <v/>
      </c>
    </row>
    <row r="51" spans="1:7">
      <c r="A51" s="125" t="n">
        <v>13</v>
      </c>
      <c r="B51" s="125" t="s">
        <v>132</v>
      </c>
      <c r="C51" s="518">
        <f>Affiliate!D50</f>
        <v/>
      </c>
      <c r="D51" s="524" t="n"/>
      <c r="E51" s="521">
        <f>C51-D51</f>
        <v/>
      </c>
      <c r="F51" s="129">
        <f>(C51-D51)/C51</f>
        <v/>
      </c>
    </row>
    <row r="52" spans="1:7">
      <c r="A52" s="125" t="n">
        <v>13</v>
      </c>
      <c r="B52" s="125" t="s">
        <v>133</v>
      </c>
      <c r="C52" s="518">
        <f>Affiliate!D51</f>
        <v/>
      </c>
      <c r="D52" s="524" t="n"/>
      <c r="E52" s="521">
        <f>C52-D52</f>
        <v/>
      </c>
      <c r="F52" s="129">
        <f>(C52-D52)/C52</f>
        <v/>
      </c>
    </row>
    <row r="53" spans="1:7">
      <c r="A53" s="125" t="n">
        <v>13</v>
      </c>
      <c r="B53" s="125" t="s">
        <v>134</v>
      </c>
      <c r="C53" s="518">
        <f>Affiliate!D52</f>
        <v/>
      </c>
      <c r="D53" s="524" t="n"/>
      <c r="E53" s="521">
        <f>C53-D53</f>
        <v/>
      </c>
      <c r="F53" s="129">
        <f>(C53-D53)/C53</f>
        <v/>
      </c>
    </row>
    <row r="54" spans="1:7">
      <c r="A54" s="125" t="n">
        <v>13</v>
      </c>
      <c r="B54" s="125" t="s">
        <v>135</v>
      </c>
      <c r="C54" s="518">
        <f>Affiliate!D53</f>
        <v/>
      </c>
      <c r="D54" s="524" t="n"/>
      <c r="E54" s="521">
        <f>C54-D54</f>
        <v/>
      </c>
      <c r="F54" s="129">
        <f>(C54-D54)/C54</f>
        <v/>
      </c>
    </row>
    <row r="55" spans="1:7">
      <c r="A55" s="134" t="s">
        <v>60</v>
      </c>
      <c r="B55" s="134" t="n"/>
      <c r="C55" s="526" t="n"/>
      <c r="D55" s="527" t="n"/>
      <c r="E55" s="528">
        <f>C55-D55</f>
        <v/>
      </c>
      <c r="F55" s="138">
        <f>E55/C55</f>
        <v/>
      </c>
    </row>
  </sheetData>
  <mergeCells count="1">
    <mergeCell ref="A1:F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AO1269"/>
  <sheetViews>
    <sheetView workbookViewId="0" zoomScale="53" zoomScaleNormal="53">
      <pane activePane="bottomLeft" state="frozen" topLeftCell="A270" ySplit="1"/>
      <selection activeCell="F293" pane="bottomLeft" sqref="F293"/>
    </sheetView>
  </sheetViews>
  <sheetFormatPr baseColWidth="8" customHeight="1" defaultColWidth="13.5" defaultRowHeight="15" outlineLevelCol="1"/>
  <cols>
    <col bestFit="1" customWidth="1" max="1" min="1" style="452" width="12"/>
    <col bestFit="1" customWidth="1" max="2" min="2" style="452" width="9.375"/>
    <col bestFit="1" customWidth="1" max="3" min="3" style="452" width="13.5"/>
    <col bestFit="1" customWidth="1" max="4" min="4" style="452" width="52.5"/>
    <col customWidth="1" max="5" min="5" style="452" width="10.125"/>
    <col customWidth="1" max="6" min="6" outlineLevel="1" style="452" width="11"/>
    <col customWidth="1" max="7" min="7" style="452" width="8.375"/>
    <col customWidth="1" max="8" min="8" style="452" width="10.375"/>
    <col customWidth="1" max="9" min="9" outlineLevel="1" style="452" width="11.125"/>
    <col customWidth="1" max="10" min="10" style="452" width="6.125"/>
    <col customWidth="1" max="11" min="11" style="452" width="11.875"/>
    <col customWidth="1" max="12" min="12" outlineLevel="1" style="452" width="11.125"/>
    <col customWidth="1" max="13" min="13" style="452" width="6.125"/>
    <col customWidth="1" max="14" min="14" style="452" width="14.375"/>
    <col customWidth="1" max="15" min="15" outlineLevel="1" style="452" width="8.625"/>
    <col customWidth="1" max="16" min="16" style="452" width="8.375"/>
    <col customWidth="1" max="17" min="17" style="452" width="10.125"/>
    <col customWidth="1" max="18" min="18" outlineLevel="1" style="452" width="8.625"/>
    <col customWidth="1" max="19" min="19" style="452" width="8.375"/>
    <col customWidth="1" max="20" min="20" style="452" width="7.75"/>
    <col customWidth="1" max="21" min="21" outlineLevel="1" style="452" width="10.625"/>
    <col customWidth="1" max="22" min="22" style="452" width="8.375"/>
    <col customWidth="1" max="23" min="23" style="452" width="9.5"/>
    <col customWidth="1" max="24" min="24" outlineLevel="1" style="452" width="9.5"/>
    <col customWidth="1" max="26" min="25" style="452" width="8.375"/>
    <col customWidth="1" max="27" min="27" outlineLevel="1" style="452" width="8.375"/>
    <col customWidth="1" max="28" min="28" style="452" width="8.375"/>
    <col customWidth="1" max="29" min="29" style="452" width="11.125"/>
    <col customWidth="1" max="30" min="30" outlineLevel="1" style="452" width="14.375"/>
    <col customWidth="1" max="31" min="31" style="452" width="8.375"/>
    <col customWidth="1" max="32" min="32" style="452" width="9.125"/>
    <col customWidth="1" max="33" min="33" outlineLevel="1" style="452" width="9.125"/>
    <col customWidth="1" max="34" min="34" style="452" width="8.375"/>
    <col customWidth="1" max="35" min="35" style="452" width="11"/>
    <col customWidth="1" max="36" min="36" outlineLevel="1" style="452" width="13.625"/>
    <col customWidth="1" max="37" min="37" style="452" width="8.375"/>
    <col customWidth="1" max="38" min="38" style="286" width="8.375"/>
    <col customWidth="1" max="39" min="39" outlineLevel="1" style="286" width="8.375"/>
    <col customWidth="1" max="40" min="40" style="452" width="8.375"/>
    <col customWidth="1" max="41" min="41" style="452" width="23.625"/>
  </cols>
  <sheetData>
    <row customFormat="1" customHeight="1" ht="31.5" r="1" s="188" spans="1:41">
      <c r="A1" s="183" t="s">
        <v>55</v>
      </c>
      <c r="B1" s="183" t="s">
        <v>61</v>
      </c>
      <c r="C1" s="183" t="s">
        <v>62</v>
      </c>
      <c r="D1" s="183" t="s">
        <v>171</v>
      </c>
      <c r="E1" s="183" t="s">
        <v>1</v>
      </c>
      <c r="F1" s="183" t="s">
        <v>138</v>
      </c>
      <c r="G1" s="184" t="s">
        <v>3</v>
      </c>
      <c r="H1" s="183" t="s">
        <v>143</v>
      </c>
      <c r="I1" s="183" t="s">
        <v>5</v>
      </c>
      <c r="J1" s="184" t="s">
        <v>3</v>
      </c>
      <c r="K1" s="183" t="s">
        <v>172</v>
      </c>
      <c r="L1" s="183" t="s">
        <v>140</v>
      </c>
      <c r="M1" s="184" t="s">
        <v>3</v>
      </c>
      <c r="N1" s="183" t="s">
        <v>173</v>
      </c>
      <c r="O1" s="183" t="s">
        <v>7</v>
      </c>
      <c r="P1" s="184" t="s">
        <v>3</v>
      </c>
      <c r="Q1" s="183" t="s">
        <v>174</v>
      </c>
      <c r="R1" s="183" t="s">
        <v>7</v>
      </c>
      <c r="S1" s="184" t="s">
        <v>3</v>
      </c>
      <c r="T1" s="183" t="s">
        <v>8</v>
      </c>
      <c r="U1" s="183" t="s">
        <v>9</v>
      </c>
      <c r="V1" s="184" t="s">
        <v>3</v>
      </c>
      <c r="W1" s="183" t="s">
        <v>10</v>
      </c>
      <c r="X1" s="183" t="s">
        <v>11</v>
      </c>
      <c r="Y1" s="184" t="s">
        <v>3</v>
      </c>
      <c r="Z1" s="183" t="s">
        <v>16</v>
      </c>
      <c r="AA1" s="183" t="s">
        <v>17</v>
      </c>
      <c r="AB1" s="184" t="s">
        <v>3</v>
      </c>
      <c r="AC1" s="564" t="s">
        <v>175</v>
      </c>
      <c r="AD1" s="564" t="s">
        <v>176</v>
      </c>
      <c r="AE1" s="184" t="s">
        <v>3</v>
      </c>
      <c r="AF1" s="564" t="s">
        <v>18</v>
      </c>
      <c r="AG1" s="564" t="s">
        <v>19</v>
      </c>
      <c r="AH1" s="186" t="s">
        <v>3</v>
      </c>
      <c r="AI1" s="564" t="s">
        <v>33</v>
      </c>
      <c r="AJ1" s="564" t="s">
        <v>34</v>
      </c>
      <c r="AK1" s="184" t="s">
        <v>3</v>
      </c>
      <c r="AL1" s="187" t="s">
        <v>22</v>
      </c>
      <c r="AM1" s="187" t="s">
        <v>23</v>
      </c>
      <c r="AN1" s="184" t="s">
        <v>3</v>
      </c>
      <c r="AO1" s="183" t="s">
        <v>66</v>
      </c>
    </row>
    <row customHeight="1" ht="15.75" r="2" s="452" spans="1:41">
      <c r="A2" s="49" t="s">
        <v>32</v>
      </c>
      <c r="B2" s="49" t="s">
        <v>67</v>
      </c>
      <c r="C2" s="50" t="n">
        <v>42734</v>
      </c>
      <c r="D2" s="50" t="s">
        <v>60</v>
      </c>
      <c r="E2" s="566">
        <f>SUM(E3:E7)</f>
        <v/>
      </c>
      <c r="F2" s="566">
        <f>SUM(F3:F7)</f>
        <v/>
      </c>
      <c r="G2" s="52">
        <f>(E2-F2)/F2</f>
        <v/>
      </c>
      <c r="H2" s="566">
        <f>SUM(H3:H7)</f>
        <v/>
      </c>
      <c r="I2" s="566">
        <f>SUM(I3:I7)</f>
        <v/>
      </c>
      <c r="J2" s="52">
        <f>(H2-I2)/I2</f>
        <v/>
      </c>
      <c r="K2" s="566">
        <f>H2*1.085</f>
        <v/>
      </c>
      <c r="L2" s="566">
        <f>I2*1.085</f>
        <v/>
      </c>
      <c r="M2" s="52">
        <f>(K2-L2)/L2</f>
        <v/>
      </c>
      <c r="N2" s="567">
        <f>E2/H2</f>
        <v/>
      </c>
      <c r="O2" s="567">
        <f>F2/I2</f>
        <v/>
      </c>
      <c r="P2" s="52">
        <f>(N2-O2)/O2</f>
        <v/>
      </c>
      <c r="Q2" s="567">
        <f>E2/K2</f>
        <v/>
      </c>
      <c r="R2" s="567">
        <f>F2/L2</f>
        <v/>
      </c>
      <c r="S2" s="52">
        <f>(Q2-R2)/R2</f>
        <v/>
      </c>
      <c r="T2" s="568">
        <f>SUM(T3:T7)</f>
        <v/>
      </c>
      <c r="U2" s="568">
        <f>SUM(U3:U7)</f>
        <v/>
      </c>
      <c r="V2" s="52">
        <f>(T2-U2)/U2</f>
        <v/>
      </c>
      <c r="W2" s="568">
        <f>SUM(W3:W7)</f>
        <v/>
      </c>
      <c r="X2" s="568">
        <f>SUM(X3:X7)</f>
        <v/>
      </c>
      <c r="Y2" s="52">
        <f>(W2-X2)/X2</f>
        <v/>
      </c>
      <c r="Z2" s="568">
        <f>E2/W2</f>
        <v/>
      </c>
      <c r="AA2" s="568">
        <f>F2/X2</f>
        <v/>
      </c>
      <c r="AB2" s="52">
        <f>(Z2-AA2)/AA2</f>
        <v/>
      </c>
      <c r="AC2" s="568">
        <f>SUM(AC3:AC7)</f>
        <v/>
      </c>
      <c r="AD2" s="568">
        <f>SUM(AD3:AD7)</f>
        <v/>
      </c>
      <c r="AE2" s="52">
        <f>(AD323-AD2)/AD2</f>
        <v/>
      </c>
      <c r="AF2" s="568">
        <f>SUM(AF3:AF7)</f>
        <v/>
      </c>
      <c r="AG2" s="568">
        <f>SUM(AG3:AG7)</f>
        <v/>
      </c>
      <c r="AH2" s="67">
        <f>(AF2-AG2)/AG2</f>
        <v/>
      </c>
      <c r="AI2" s="568">
        <f>SUM(AI3:AI7)</f>
        <v/>
      </c>
      <c r="AJ2" s="568">
        <f>SUM(AJ3:AJ7)</f>
        <v/>
      </c>
      <c r="AK2" s="52">
        <f>(AI2-AJ2)/AJ2</f>
        <v/>
      </c>
      <c r="AL2" s="82">
        <f>AF2/AI2</f>
        <v/>
      </c>
      <c r="AM2" s="82">
        <f>AG2/AJ2</f>
        <v/>
      </c>
      <c r="AN2" s="52">
        <f>(AL2-AM2)/AM2</f>
        <v/>
      </c>
    </row>
    <row customHeight="1" ht="15.75" r="3" s="452" spans="1:41">
      <c r="A3" s="279" t="n"/>
      <c r="B3" s="279" t="n"/>
      <c r="C3" s="280" t="n"/>
      <c r="D3" s="280" t="n"/>
      <c r="E3" s="535" t="n"/>
      <c r="F3" s="535" t="n"/>
      <c r="G3" s="282" t="n"/>
      <c r="H3" s="535" t="n"/>
      <c r="I3" s="536" t="n"/>
      <c r="J3" s="282" t="n"/>
      <c r="K3" s="535" t="n"/>
      <c r="L3" s="535" t="n"/>
      <c r="M3" s="282" t="n"/>
      <c r="N3" s="536" t="n"/>
      <c r="O3" s="536" t="n"/>
      <c r="P3" s="282" t="n"/>
      <c r="Q3" s="536" t="n"/>
      <c r="R3" s="536" t="n"/>
      <c r="S3" s="282" t="n"/>
      <c r="T3" s="537" t="n"/>
      <c r="U3" s="537" t="n"/>
      <c r="V3" s="282" t="n"/>
      <c r="W3" s="537" t="n"/>
      <c r="X3" s="537" t="n"/>
      <c r="Y3" s="282" t="n"/>
      <c r="Z3" s="537" t="n"/>
      <c r="AA3" s="537" t="n"/>
      <c r="AB3" s="282" t="n"/>
      <c r="AC3" s="537" t="n"/>
      <c r="AD3" s="537" t="n"/>
      <c r="AE3" s="282" t="n"/>
      <c r="AF3" s="537" t="n"/>
      <c r="AG3" s="537" t="n"/>
      <c r="AI3" s="537" t="n"/>
      <c r="AJ3" s="537" t="n"/>
      <c r="AK3" s="282" t="n"/>
      <c r="AL3" s="286" t="n"/>
      <c r="AM3" s="286" t="n"/>
      <c r="AN3" s="282" t="n"/>
    </row>
    <row customHeight="1" ht="15.75" r="4" s="452" spans="1:41">
      <c r="A4" s="279" t="n"/>
      <c r="B4" s="279" t="n"/>
      <c r="C4" s="280" t="n"/>
      <c r="D4" s="280" t="n"/>
      <c r="E4" s="535" t="n"/>
      <c r="F4" s="535" t="n"/>
      <c r="G4" s="282" t="n"/>
      <c r="H4" s="535" t="n"/>
      <c r="I4" s="536" t="n"/>
      <c r="J4" s="282" t="n"/>
      <c r="K4" s="535" t="n"/>
      <c r="L4" s="535" t="n"/>
      <c r="M4" s="282" t="n"/>
      <c r="N4" s="536" t="n"/>
      <c r="O4" s="536" t="n"/>
      <c r="P4" s="282" t="n"/>
      <c r="Q4" s="536" t="n"/>
      <c r="R4" s="536" t="n"/>
      <c r="S4" s="282" t="n"/>
      <c r="T4" s="537" t="n"/>
      <c r="U4" s="537" t="n"/>
      <c r="V4" s="282" t="n"/>
      <c r="W4" s="537" t="n"/>
      <c r="X4" s="537" t="n"/>
      <c r="Y4" s="282" t="n"/>
      <c r="Z4" s="537" t="n"/>
      <c r="AA4" s="537" t="n"/>
      <c r="AB4" s="282" t="n"/>
      <c r="AC4" s="537" t="n"/>
      <c r="AD4" s="537" t="n"/>
      <c r="AE4" s="282" t="n"/>
      <c r="AF4" s="537" t="n"/>
      <c r="AG4" s="537" t="n"/>
      <c r="AI4" s="537" t="n"/>
      <c r="AJ4" s="537" t="n"/>
      <c r="AK4" s="282" t="n"/>
      <c r="AL4" s="286" t="n"/>
      <c r="AM4" s="286" t="n"/>
      <c r="AN4" s="282" t="n"/>
    </row>
    <row customHeight="1" ht="15.75" r="5" s="452" spans="1:41">
      <c r="A5" s="279" t="n"/>
      <c r="B5" s="279" t="n"/>
      <c r="C5" s="280" t="n"/>
      <c r="D5" s="280" t="n"/>
      <c r="E5" s="535" t="n"/>
      <c r="F5" s="535" t="n"/>
      <c r="G5" s="282" t="n"/>
      <c r="H5" s="535" t="n"/>
      <c r="I5" s="536" t="n"/>
      <c r="J5" s="282" t="n"/>
      <c r="K5" s="535" t="n"/>
      <c r="L5" s="535" t="n"/>
      <c r="M5" s="282" t="n"/>
      <c r="N5" s="536" t="n"/>
      <c r="O5" s="536" t="n"/>
      <c r="P5" s="282" t="n"/>
      <c r="Q5" s="536" t="n"/>
      <c r="R5" s="536" t="n"/>
      <c r="S5" s="282" t="n"/>
      <c r="T5" s="537" t="n"/>
      <c r="U5" s="537" t="n"/>
      <c r="V5" s="282" t="n"/>
      <c r="W5" s="537" t="n"/>
      <c r="X5" s="537" t="n"/>
      <c r="Y5" s="282" t="n"/>
      <c r="Z5" s="537" t="n"/>
      <c r="AA5" s="537" t="n"/>
      <c r="AB5" s="282" t="n"/>
      <c r="AC5" s="537" t="n"/>
      <c r="AD5" s="537" t="n"/>
      <c r="AE5" s="282" t="n"/>
      <c r="AF5" s="537" t="n"/>
      <c r="AG5" s="537" t="n"/>
      <c r="AI5" s="537" t="n"/>
      <c r="AJ5" s="537" t="n"/>
      <c r="AK5" s="282" t="n"/>
      <c r="AL5" s="286" t="n"/>
      <c r="AM5" s="286" t="n"/>
      <c r="AN5" s="282" t="n"/>
    </row>
    <row customHeight="1" ht="15.75" r="6" s="452" spans="1:41">
      <c r="A6" s="279" t="n"/>
      <c r="B6" s="279" t="n"/>
      <c r="C6" s="280" t="n"/>
      <c r="D6" s="280" t="n"/>
      <c r="E6" s="535" t="n"/>
      <c r="F6" s="535" t="n"/>
      <c r="G6" s="282" t="n"/>
      <c r="H6" s="535" t="n"/>
      <c r="I6" s="536" t="n"/>
      <c r="J6" s="282" t="n"/>
      <c r="K6" s="535" t="n"/>
      <c r="L6" s="535" t="n"/>
      <c r="M6" s="282" t="n"/>
      <c r="N6" s="536" t="n"/>
      <c r="O6" s="536" t="n"/>
      <c r="P6" s="282" t="n"/>
      <c r="Q6" s="536" t="n"/>
      <c r="R6" s="536" t="n"/>
      <c r="S6" s="282" t="n"/>
      <c r="T6" s="537" t="n"/>
      <c r="U6" s="537" t="n"/>
      <c r="V6" s="282" t="n"/>
      <c r="W6" s="537" t="n"/>
      <c r="X6" s="537" t="n"/>
      <c r="Y6" s="282" t="n"/>
      <c r="Z6" s="537" t="n"/>
      <c r="AA6" s="537" t="n"/>
      <c r="AB6" s="282" t="n"/>
      <c r="AC6" s="537" t="n"/>
      <c r="AD6" s="537" t="n"/>
      <c r="AE6" s="282" t="n"/>
      <c r="AF6" s="537" t="n"/>
      <c r="AG6" s="537" t="n"/>
      <c r="AI6" s="537" t="n"/>
      <c r="AJ6" s="537" t="n"/>
      <c r="AK6" s="282" t="n"/>
      <c r="AL6" s="286" t="n"/>
      <c r="AM6" s="286" t="n"/>
      <c r="AN6" s="282" t="n"/>
    </row>
    <row customHeight="1" ht="15.75" r="7" s="452" spans="1:41">
      <c r="A7" s="279" t="n"/>
      <c r="B7" s="279" t="n"/>
      <c r="C7" s="280" t="n"/>
      <c r="D7" s="297" t="s">
        <v>177</v>
      </c>
      <c r="E7" s="535" t="n">
        <v>93</v>
      </c>
      <c r="F7" s="535" t="n"/>
      <c r="G7" s="282" t="n"/>
      <c r="H7" s="535" t="n">
        <v>0</v>
      </c>
      <c r="I7" s="536" t="n"/>
      <c r="J7" s="282" t="n"/>
      <c r="K7" s="535">
        <f>H7*1.085</f>
        <v/>
      </c>
      <c r="L7" s="535" t="n"/>
      <c r="M7" s="282" t="n"/>
      <c r="N7" s="536">
        <f>E7/H7</f>
        <v/>
      </c>
      <c r="O7" s="536" t="n"/>
      <c r="P7" s="282" t="n"/>
      <c r="Q7" s="536">
        <f>E7/K7</f>
        <v/>
      </c>
      <c r="R7" s="536" t="n"/>
      <c r="S7" s="282" t="n"/>
      <c r="T7" s="537" t="n">
        <v>262</v>
      </c>
      <c r="U7" s="537" t="n"/>
      <c r="V7" s="282" t="n"/>
      <c r="W7" s="537" t="n">
        <v>1</v>
      </c>
      <c r="X7" s="537" t="n"/>
      <c r="Y7" s="282" t="n"/>
      <c r="Z7" s="537">
        <f>E7/W7</f>
        <v/>
      </c>
      <c r="AA7" s="537" t="n"/>
      <c r="AB7" s="282" t="n"/>
      <c r="AC7" s="537" t="n">
        <v>0</v>
      </c>
      <c r="AD7" s="537" t="n"/>
      <c r="AE7" s="282" t="n"/>
      <c r="AF7" s="537" t="n">
        <v>0</v>
      </c>
      <c r="AG7" s="537" t="n"/>
      <c r="AI7" s="537" t="n">
        <v>0</v>
      </c>
      <c r="AJ7" s="537" t="n"/>
      <c r="AK7" s="282" t="n"/>
      <c r="AL7" s="286">
        <f>AF7/AI7</f>
        <v/>
      </c>
      <c r="AM7" s="286" t="n"/>
      <c r="AN7" s="282" t="n"/>
    </row>
    <row customHeight="1" ht="15.75" r="8" s="452" spans="1:41">
      <c r="A8" s="49" t="s">
        <v>32</v>
      </c>
      <c r="B8" s="49" t="s">
        <v>68</v>
      </c>
      <c r="C8" s="50">
        <f>C2+7</f>
        <v/>
      </c>
      <c r="D8" s="50" t="s">
        <v>60</v>
      </c>
      <c r="E8" s="566">
        <f>SUM(E9:E13)</f>
        <v/>
      </c>
      <c r="F8" s="566">
        <f>SUM(F9:F13)</f>
        <v/>
      </c>
      <c r="G8" s="52">
        <f>(E8-F8)/F8</f>
        <v/>
      </c>
      <c r="H8" s="566">
        <f>SUM(H9:H13)</f>
        <v/>
      </c>
      <c r="I8" s="566">
        <f>SUM(I9:I13)</f>
        <v/>
      </c>
      <c r="J8" s="52">
        <f>(H8-I8)/I8</f>
        <v/>
      </c>
      <c r="K8" s="566">
        <f>H8*1.085</f>
        <v/>
      </c>
      <c r="L8" s="566">
        <f>I8*1.085</f>
        <v/>
      </c>
      <c r="M8" s="52">
        <f>(K8-L8)/L8</f>
        <v/>
      </c>
      <c r="N8" s="567">
        <f>E8/H8</f>
        <v/>
      </c>
      <c r="O8" s="567">
        <f>F8/I8</f>
        <v/>
      </c>
      <c r="P8" s="52">
        <f>(N8-O8)/O8</f>
        <v/>
      </c>
      <c r="Q8" s="567">
        <f>E8/K8</f>
        <v/>
      </c>
      <c r="R8" s="567">
        <f>F8/L8</f>
        <v/>
      </c>
      <c r="S8" s="52">
        <f>(Q8-R8)/R8</f>
        <v/>
      </c>
      <c r="T8" s="568">
        <f>SUM(T9:T13)</f>
        <v/>
      </c>
      <c r="U8" s="568">
        <f>SUM(U9:U13)</f>
        <v/>
      </c>
      <c r="V8" s="52">
        <f>(T8-U8)/U8</f>
        <v/>
      </c>
      <c r="W8" s="568">
        <f>SUM(W9:W13)</f>
        <v/>
      </c>
      <c r="X8" s="568">
        <f>SUM(X9:X13)</f>
        <v/>
      </c>
      <c r="Y8" s="52">
        <f>(W8-X8)/X8</f>
        <v/>
      </c>
      <c r="Z8" s="566">
        <f>E8/W8</f>
        <v/>
      </c>
      <c r="AA8" s="568">
        <f>F8/X8</f>
        <v/>
      </c>
      <c r="AB8" s="52">
        <f>(Z8-AA8)/AA8</f>
        <v/>
      </c>
      <c r="AC8" s="568">
        <f>SUM(AC9:AC13)</f>
        <v/>
      </c>
      <c r="AD8" s="568">
        <f>SUM(AD9:AD13)</f>
        <v/>
      </c>
      <c r="AE8" s="52">
        <f>(AC8-AD8)/AD8</f>
        <v/>
      </c>
      <c r="AF8" s="568">
        <f>SUM(AF9:AF13)</f>
        <v/>
      </c>
      <c r="AG8" s="568">
        <f>SUM(AG9:AG13)</f>
        <v/>
      </c>
      <c r="AH8" s="67">
        <f>(AF8-AG8)/AG8</f>
        <v/>
      </c>
      <c r="AI8" s="568">
        <f>SUM(AI9:AI13)</f>
        <v/>
      </c>
      <c r="AJ8" s="568">
        <f>SUM(AJ9:AJ13)</f>
        <v/>
      </c>
      <c r="AK8" s="52">
        <f>(AI8-AJ8)/AJ8</f>
        <v/>
      </c>
      <c r="AL8" s="82">
        <f>AF8/AI8</f>
        <v/>
      </c>
      <c r="AM8" s="82">
        <f>AG8/AJ8</f>
        <v/>
      </c>
      <c r="AN8" s="52">
        <f>(AL8-AM8)/AM8</f>
        <v/>
      </c>
    </row>
    <row customHeight="1" ht="15.75" r="9" s="452" spans="1:41">
      <c r="A9" s="279" t="n"/>
      <c r="B9" s="279" t="n"/>
      <c r="C9" s="280" t="n"/>
      <c r="D9" s="280" t="n"/>
      <c r="E9" s="535" t="n"/>
      <c r="F9" s="535" t="n"/>
      <c r="G9" s="282">
        <f>(E9-F9)/F9</f>
        <v/>
      </c>
      <c r="H9" s="535" t="n"/>
      <c r="I9" s="536" t="n"/>
      <c r="J9" s="282">
        <f>(H9-I9)/I9</f>
        <v/>
      </c>
      <c r="K9" s="535">
        <f>H9*1.085</f>
        <v/>
      </c>
      <c r="L9" s="535">
        <f>I9*1.085</f>
        <v/>
      </c>
      <c r="M9" s="282">
        <f>(K9-L9)/L9</f>
        <v/>
      </c>
      <c r="N9" s="536">
        <f>E9/H9</f>
        <v/>
      </c>
      <c r="O9" s="536">
        <f>F9/I9</f>
        <v/>
      </c>
      <c r="P9" s="282">
        <f>(N9-O9)/O9</f>
        <v/>
      </c>
      <c r="Q9" s="536">
        <f>E9/K9</f>
        <v/>
      </c>
      <c r="R9" s="536">
        <f>F9/L9</f>
        <v/>
      </c>
      <c r="S9" s="282">
        <f>(Q9-R9)/R9</f>
        <v/>
      </c>
      <c r="T9" s="537" t="n"/>
      <c r="U9" s="537" t="n"/>
      <c r="V9" s="282">
        <f>(T9-U9)/U9</f>
        <v/>
      </c>
      <c r="W9" s="537" t="n"/>
      <c r="X9" s="537" t="n"/>
      <c r="Y9" s="282">
        <f>(W9-X9)/X9</f>
        <v/>
      </c>
      <c r="Z9" s="537">
        <f>E9/W9</f>
        <v/>
      </c>
      <c r="AA9" s="537">
        <f>F9/X9</f>
        <v/>
      </c>
      <c r="AB9" s="282">
        <f>(Z9-AA9)/AA9</f>
        <v/>
      </c>
      <c r="AC9" s="537" t="n"/>
      <c r="AD9" s="537" t="n"/>
      <c r="AE9" s="282">
        <f>(AC9-AD9)/AD9</f>
        <v/>
      </c>
      <c r="AF9" s="537" t="n"/>
      <c r="AG9" s="537" t="n"/>
      <c r="AH9">
        <f>(AF9-AG9)/AG9</f>
        <v/>
      </c>
      <c r="AI9" s="537" t="n"/>
      <c r="AJ9" s="537" t="n"/>
      <c r="AK9" s="282">
        <f>(AI9-AJ9)/AJ9</f>
        <v/>
      </c>
      <c r="AL9" s="286">
        <f>AF9/AI9</f>
        <v/>
      </c>
      <c r="AM9" s="286">
        <f>AG9/AJ9</f>
        <v/>
      </c>
      <c r="AN9" s="282">
        <f>(AL9-AM9)/AM9</f>
        <v/>
      </c>
    </row>
    <row customHeight="1" ht="15.75" r="10" s="452" spans="1:41">
      <c r="A10" s="279" t="n"/>
      <c r="B10" s="279" t="n"/>
      <c r="C10" s="280" t="n"/>
      <c r="D10" s="280" t="n"/>
      <c r="E10" s="535" t="n"/>
      <c r="F10" s="535" t="n"/>
      <c r="G10" s="282">
        <f>(E10-F10)/F10</f>
        <v/>
      </c>
      <c r="H10" s="535" t="n"/>
      <c r="I10" s="536" t="n"/>
      <c r="J10" s="282">
        <f>(H10-I10)/I10</f>
        <v/>
      </c>
      <c r="K10" s="535">
        <f>H10*1.085</f>
        <v/>
      </c>
      <c r="L10" s="535">
        <f>I10*1.085</f>
        <v/>
      </c>
      <c r="M10" s="282">
        <f>(K10-L10)/L10</f>
        <v/>
      </c>
      <c r="N10" s="536">
        <f>E10/H10</f>
        <v/>
      </c>
      <c r="O10" s="536">
        <f>F10/I10</f>
        <v/>
      </c>
      <c r="P10" s="282">
        <f>(N10-O10)/O10</f>
        <v/>
      </c>
      <c r="Q10" s="536">
        <f>E10/K10</f>
        <v/>
      </c>
      <c r="R10" s="536">
        <f>F10/L10</f>
        <v/>
      </c>
      <c r="S10" s="282">
        <f>(Q10-R10)/R10</f>
        <v/>
      </c>
      <c r="T10" s="537" t="n"/>
      <c r="U10" s="537" t="n"/>
      <c r="V10" s="282">
        <f>(T10-U10)/U10</f>
        <v/>
      </c>
      <c r="W10" s="537" t="n"/>
      <c r="X10" s="537" t="n"/>
      <c r="Y10" s="282">
        <f>(W10-X10)/X10</f>
        <v/>
      </c>
      <c r="Z10" s="537">
        <f>E10/W10</f>
        <v/>
      </c>
      <c r="AA10" s="537">
        <f>F10/X10</f>
        <v/>
      </c>
      <c r="AB10" s="282">
        <f>(Z10-AA10)/AA10</f>
        <v/>
      </c>
      <c r="AC10" s="537" t="n"/>
      <c r="AD10" s="537" t="n"/>
      <c r="AE10" s="282">
        <f>(AC10-AD10)/AD10</f>
        <v/>
      </c>
      <c r="AF10" s="537" t="n"/>
      <c r="AG10" s="537" t="n"/>
      <c r="AH10">
        <f>(AF10-AG10)/AG10</f>
        <v/>
      </c>
      <c r="AI10" s="537" t="n"/>
      <c r="AJ10" s="537" t="n"/>
      <c r="AK10" s="282">
        <f>(AI10-AJ10)/AJ10</f>
        <v/>
      </c>
      <c r="AL10" s="286">
        <f>AF10/AI10</f>
        <v/>
      </c>
      <c r="AM10" s="286">
        <f>AG10/AJ10</f>
        <v/>
      </c>
      <c r="AN10" s="282">
        <f>(AL10-AM10)/AM10</f>
        <v/>
      </c>
    </row>
    <row customHeight="1" ht="15.75" r="11" s="452" spans="1:41">
      <c r="A11" s="279" t="n"/>
      <c r="B11" s="279" t="n"/>
      <c r="C11" s="280" t="n"/>
      <c r="D11" s="280" t="n"/>
      <c r="E11" s="535" t="n"/>
      <c r="F11" s="535" t="n"/>
      <c r="G11" s="282">
        <f>(E11-F11)/F11</f>
        <v/>
      </c>
      <c r="H11" s="535" t="n"/>
      <c r="I11" s="536" t="n"/>
      <c r="J11" s="282">
        <f>(H11-I11)/I11</f>
        <v/>
      </c>
      <c r="K11" s="535">
        <f>H11*1.085</f>
        <v/>
      </c>
      <c r="L11" s="535">
        <f>I11*1.085</f>
        <v/>
      </c>
      <c r="M11" s="282">
        <f>(K11-L11)/L11</f>
        <v/>
      </c>
      <c r="N11" s="536">
        <f>E11/H11</f>
        <v/>
      </c>
      <c r="O11" s="536">
        <f>F11/I11</f>
        <v/>
      </c>
      <c r="P11" s="282">
        <f>(N11-O11)/O11</f>
        <v/>
      </c>
      <c r="Q11" s="536">
        <f>E11/K11</f>
        <v/>
      </c>
      <c r="R11" s="536">
        <f>F11/L11</f>
        <v/>
      </c>
      <c r="S11" s="282">
        <f>(Q11-R11)/R11</f>
        <v/>
      </c>
      <c r="T11" s="537" t="n"/>
      <c r="U11" s="537" t="n"/>
      <c r="V11" s="282">
        <f>(T11-U11)/U11</f>
        <v/>
      </c>
      <c r="W11" s="537" t="n"/>
      <c r="X11" s="537" t="n"/>
      <c r="Y11" s="282">
        <f>(W11-X11)/X11</f>
        <v/>
      </c>
      <c r="Z11" s="537">
        <f>E11/W11</f>
        <v/>
      </c>
      <c r="AA11" s="537">
        <f>F11/X11</f>
        <v/>
      </c>
      <c r="AB11" s="282">
        <f>(Z11-AA11)/AA11</f>
        <v/>
      </c>
      <c r="AC11" s="537" t="n"/>
      <c r="AD11" s="537" t="n"/>
      <c r="AE11" s="282">
        <f>(AC11-AD11)/AD11</f>
        <v/>
      </c>
      <c r="AF11" s="537" t="n"/>
      <c r="AG11" s="537" t="n"/>
      <c r="AH11">
        <f>(AF11-AG11)/AG11</f>
        <v/>
      </c>
      <c r="AI11" s="537" t="n"/>
      <c r="AJ11" s="537" t="n"/>
      <c r="AK11" s="282">
        <f>(AI11-AJ11)/AJ11</f>
        <v/>
      </c>
      <c r="AL11" s="286">
        <f>AF11/AI11</f>
        <v/>
      </c>
      <c r="AM11" s="286">
        <f>AG11/AJ11</f>
        <v/>
      </c>
      <c r="AN11" s="282">
        <f>(AL11-AM11)/AM11</f>
        <v/>
      </c>
    </row>
    <row customHeight="1" ht="15.75" r="12" s="452" spans="1:41">
      <c r="A12" s="279" t="n"/>
      <c r="B12" s="279" t="n"/>
      <c r="C12" s="280" t="n"/>
      <c r="D12" s="280" t="n"/>
      <c r="E12" s="535" t="n"/>
      <c r="F12" s="535" t="n"/>
      <c r="G12" s="282">
        <f>(E12-F12)/F12</f>
        <v/>
      </c>
      <c r="H12" s="535" t="n"/>
      <c r="I12" s="536" t="n"/>
      <c r="J12" s="282">
        <f>(H12-I12)/I12</f>
        <v/>
      </c>
      <c r="K12" s="535">
        <f>H12*1.085</f>
        <v/>
      </c>
      <c r="L12" s="535">
        <f>I12*1.085</f>
        <v/>
      </c>
      <c r="M12" s="282">
        <f>(K12-L12)/L12</f>
        <v/>
      </c>
      <c r="N12" s="536">
        <f>E12/H12</f>
        <v/>
      </c>
      <c r="O12" s="536">
        <f>F12/I12</f>
        <v/>
      </c>
      <c r="P12" s="282">
        <f>(N12-O12)/O12</f>
        <v/>
      </c>
      <c r="Q12" s="536">
        <f>E12/K12</f>
        <v/>
      </c>
      <c r="R12" s="536">
        <f>F12/L12</f>
        <v/>
      </c>
      <c r="S12" s="282">
        <f>(Q12-R12)/R12</f>
        <v/>
      </c>
      <c r="T12" s="537" t="n"/>
      <c r="U12" s="537" t="n"/>
      <c r="V12" s="282">
        <f>(T12-U12)/U12</f>
        <v/>
      </c>
      <c r="W12" s="537" t="n"/>
      <c r="X12" s="537" t="n"/>
      <c r="Y12" s="282">
        <f>(W12-X12)/X12</f>
        <v/>
      </c>
      <c r="Z12" s="537">
        <f>E12/W12</f>
        <v/>
      </c>
      <c r="AA12" s="537">
        <f>F12/X12</f>
        <v/>
      </c>
      <c r="AB12" s="282">
        <f>(Z12-AA12)/AA12</f>
        <v/>
      </c>
      <c r="AC12" s="537" t="n"/>
      <c r="AD12" s="537" t="n"/>
      <c r="AE12" s="282">
        <f>(AC12-AD12)/AD12</f>
        <v/>
      </c>
      <c r="AF12" s="537" t="n"/>
      <c r="AG12" s="537" t="n"/>
      <c r="AH12">
        <f>(AF12-AG12)/AG12</f>
        <v/>
      </c>
      <c r="AI12" s="537" t="n"/>
      <c r="AJ12" s="537" t="n"/>
      <c r="AK12" s="282">
        <f>(AI12-AJ12)/AJ12</f>
        <v/>
      </c>
      <c r="AL12" s="286">
        <f>AF12/AI12</f>
        <v/>
      </c>
      <c r="AM12" s="286">
        <f>AG12/AJ12</f>
        <v/>
      </c>
      <c r="AN12" s="282">
        <f>(AL12-AM12)/AM12</f>
        <v/>
      </c>
    </row>
    <row customHeight="1" ht="15.75" r="13" s="452" spans="1:41">
      <c r="A13" s="279" t="n"/>
      <c r="B13" s="279" t="n"/>
      <c r="C13" s="280" t="n"/>
      <c r="D13" s="297" t="s">
        <v>177</v>
      </c>
      <c r="E13" s="535" t="n">
        <v>123</v>
      </c>
      <c r="F13" s="535" t="n"/>
      <c r="G13" s="282">
        <f>(E13-F13)/F13</f>
        <v/>
      </c>
      <c r="H13" s="535" t="n">
        <v>0</v>
      </c>
      <c r="I13" s="536" t="n"/>
      <c r="J13" s="282">
        <f>(H13-I13)/I13</f>
        <v/>
      </c>
      <c r="K13" s="535">
        <f>H13*1.085</f>
        <v/>
      </c>
      <c r="L13" s="535">
        <f>I13*1.085</f>
        <v/>
      </c>
      <c r="M13" s="282">
        <f>(K13-L13)/L13</f>
        <v/>
      </c>
      <c r="N13" s="536">
        <f>E13/H13</f>
        <v/>
      </c>
      <c r="O13" s="536">
        <f>F13/I13</f>
        <v/>
      </c>
      <c r="P13" s="282">
        <f>(N13-O13)/O13</f>
        <v/>
      </c>
      <c r="Q13" s="536">
        <f>E13/K13</f>
        <v/>
      </c>
      <c r="R13" s="536">
        <f>F13/L13</f>
        <v/>
      </c>
      <c r="S13" s="282">
        <f>(Q13-R13)/R13</f>
        <v/>
      </c>
      <c r="T13" s="537" t="n">
        <v>109</v>
      </c>
      <c r="U13" s="537" t="n">
        <v>23</v>
      </c>
      <c r="V13" s="282">
        <f>(T13-U13)/U13</f>
        <v/>
      </c>
      <c r="W13" s="537" t="n">
        <v>3</v>
      </c>
      <c r="X13" s="537" t="n"/>
      <c r="Y13" s="282">
        <f>(W13-X13)/X13</f>
        <v/>
      </c>
      <c r="Z13" s="537">
        <f>E13/W13</f>
        <v/>
      </c>
      <c r="AA13" s="537">
        <f>F13/X13</f>
        <v/>
      </c>
      <c r="AB13" s="282">
        <f>(Z13-AA13)/AA13</f>
        <v/>
      </c>
      <c r="AC13" s="537" t="n">
        <v>0</v>
      </c>
      <c r="AD13" s="537" t="n"/>
      <c r="AE13" s="282">
        <f>(AC13-AD13)/AD13</f>
        <v/>
      </c>
      <c r="AF13" s="537" t="n">
        <v>0</v>
      </c>
      <c r="AG13" s="537" t="n"/>
      <c r="AH13">
        <f>(AF13-AG13)/AG13</f>
        <v/>
      </c>
      <c r="AI13" s="537" t="n">
        <v>0</v>
      </c>
      <c r="AJ13" s="537" t="n"/>
      <c r="AK13" s="282">
        <f>(AI13-AJ13)/AJ13</f>
        <v/>
      </c>
      <c r="AL13" s="286">
        <f>AF13/AI13</f>
        <v/>
      </c>
      <c r="AM13" s="286">
        <f>AG13/AJ13</f>
        <v/>
      </c>
      <c r="AN13" s="282">
        <f>(AL13-AM13)/AM13</f>
        <v/>
      </c>
    </row>
    <row customHeight="1" ht="15.75" r="14" s="452" spans="1:41">
      <c r="A14" s="49" t="s">
        <v>32</v>
      </c>
      <c r="B14" s="49" t="s">
        <v>69</v>
      </c>
      <c r="C14" s="50">
        <f>C8+7</f>
        <v/>
      </c>
      <c r="D14" s="50" t="s">
        <v>60</v>
      </c>
      <c r="E14" s="566">
        <f>SUM(E15:E19)</f>
        <v/>
      </c>
      <c r="F14" s="566">
        <f>SUM(F15:F19)</f>
        <v/>
      </c>
      <c r="G14" s="52">
        <f>(E14-F14)/F14</f>
        <v/>
      </c>
      <c r="H14" s="566">
        <f>SUM(H15:H19)</f>
        <v/>
      </c>
      <c r="I14" s="566">
        <f>SUM(I15:I19)</f>
        <v/>
      </c>
      <c r="J14" s="52">
        <f>(H14-I14)/I14</f>
        <v/>
      </c>
      <c r="K14" s="566">
        <f>H14*1.085</f>
        <v/>
      </c>
      <c r="L14" s="566">
        <f>I14*1.085</f>
        <v/>
      </c>
      <c r="M14" s="52">
        <f>(K14-L14)/L14</f>
        <v/>
      </c>
      <c r="N14" s="567">
        <f>E14/H14</f>
        <v/>
      </c>
      <c r="O14" s="567">
        <f>F14/I14</f>
        <v/>
      </c>
      <c r="P14" s="52">
        <f>(N14-O14)/O14</f>
        <v/>
      </c>
      <c r="Q14" s="567">
        <f>E14/K14</f>
        <v/>
      </c>
      <c r="R14" s="567">
        <f>F14/L14</f>
        <v/>
      </c>
      <c r="S14" s="52">
        <f>(Q14-R14)/R14</f>
        <v/>
      </c>
      <c r="T14" s="568">
        <f>SUM(T15:T19)</f>
        <v/>
      </c>
      <c r="U14" s="568">
        <f>SUM(U15:U19)</f>
        <v/>
      </c>
      <c r="V14" s="52">
        <f>(T14-U14)/U14</f>
        <v/>
      </c>
      <c r="W14" s="568">
        <f>SUM(W15:W19)</f>
        <v/>
      </c>
      <c r="X14" s="568">
        <f>SUM(X15:X19)</f>
        <v/>
      </c>
      <c r="Y14" s="52">
        <f>(W14-X14)/X14</f>
        <v/>
      </c>
      <c r="Z14" s="566">
        <f>E14/W14</f>
        <v/>
      </c>
      <c r="AA14" s="568">
        <f>F14/X14</f>
        <v/>
      </c>
      <c r="AB14" s="52">
        <f>(Z14-AA14)/AA14</f>
        <v/>
      </c>
      <c r="AC14" s="568">
        <f>SUM(AC15:AC19)</f>
        <v/>
      </c>
      <c r="AD14" s="568">
        <f>SUM(AD15:AD19)</f>
        <v/>
      </c>
      <c r="AE14" s="52">
        <f>(AC14-AD14)/AD14</f>
        <v/>
      </c>
      <c r="AF14" s="568">
        <f>SUM(AF15:AF19)</f>
        <v/>
      </c>
      <c r="AG14" s="568">
        <f>SUM(AG15:AG19)</f>
        <v/>
      </c>
      <c r="AH14" s="67">
        <f>(AF14-AG14)/AG14</f>
        <v/>
      </c>
      <c r="AI14" s="568">
        <f>SUM(AI15:AI19)</f>
        <v/>
      </c>
      <c r="AJ14" s="568">
        <f>SUM(AJ15:AJ19)</f>
        <v/>
      </c>
      <c r="AK14" s="52">
        <f>(AI14-AJ14)/AJ14</f>
        <v/>
      </c>
      <c r="AL14" s="82">
        <f>AF14/AI14</f>
        <v/>
      </c>
      <c r="AM14" s="82">
        <f>AG14/AJ14</f>
        <v/>
      </c>
      <c r="AN14" s="52">
        <f>(AL14-AM14)/AM14</f>
        <v/>
      </c>
      <c r="AO14" t="s">
        <v>178</v>
      </c>
    </row>
    <row customHeight="1" ht="15.75" r="15" s="452" spans="1:41">
      <c r="A15" s="279" t="n"/>
      <c r="B15" s="279" t="n"/>
      <c r="C15" s="280" t="n"/>
      <c r="D15" s="297" t="s">
        <v>70</v>
      </c>
      <c r="E15" s="535" t="n">
        <v>381</v>
      </c>
      <c r="F15" s="535" t="n"/>
      <c r="G15" s="282">
        <f>(E15-F15)/F15</f>
        <v/>
      </c>
      <c r="H15" s="535" t="n">
        <v>4607</v>
      </c>
      <c r="I15" s="536" t="n"/>
      <c r="J15" s="282">
        <f>(H15-I15)/I15</f>
        <v/>
      </c>
      <c r="K15" s="535">
        <f>H15*1.085</f>
        <v/>
      </c>
      <c r="L15" s="535">
        <f>I15*1.085</f>
        <v/>
      </c>
      <c r="M15" s="282">
        <f>(K15-L15)/L15</f>
        <v/>
      </c>
      <c r="N15" s="536">
        <f>E15/H15</f>
        <v/>
      </c>
      <c r="O15" s="536">
        <f>F15/I15</f>
        <v/>
      </c>
      <c r="P15" s="282">
        <f>(N15-O15)/O15</f>
        <v/>
      </c>
      <c r="Q15" s="536">
        <f>E15/K15</f>
        <v/>
      </c>
      <c r="R15" s="536">
        <f>F15/L15</f>
        <v/>
      </c>
      <c r="S15" s="282">
        <f>(Q15-R15)/R15</f>
        <v/>
      </c>
      <c r="T15" s="537" t="n">
        <v>4666</v>
      </c>
      <c r="U15" s="537" t="n"/>
      <c r="V15" s="282">
        <f>(T15-U15)/U15</f>
        <v/>
      </c>
      <c r="W15" s="537" t="n">
        <v>4</v>
      </c>
      <c r="X15" s="537" t="n"/>
      <c r="Y15" s="282">
        <f>(W15-X15)/X15</f>
        <v/>
      </c>
      <c r="Z15" s="537">
        <f>E15/W15</f>
        <v/>
      </c>
      <c r="AA15" s="537">
        <f>F15/X15</f>
        <v/>
      </c>
      <c r="AB15" s="282">
        <f>(Z15-AA15)/AA15</f>
        <v/>
      </c>
      <c r="AC15" s="537" t="n">
        <v>983819</v>
      </c>
      <c r="AD15" s="537" t="n"/>
      <c r="AE15" s="282">
        <f>(AC15-AD15)/AD15</f>
        <v/>
      </c>
      <c r="AF15" s="537" t="n">
        <v>7337</v>
      </c>
      <c r="AG15" s="537" t="n"/>
      <c r="AH15">
        <f>(AF15-AG15)/AG15</f>
        <v/>
      </c>
      <c r="AI15" s="537" t="n">
        <v>4557430</v>
      </c>
      <c r="AJ15" s="537" t="n"/>
      <c r="AK15" s="282">
        <f>(AI15-AJ15)/AJ15</f>
        <v/>
      </c>
      <c r="AL15" s="286">
        <f>AF15/AI15</f>
        <v/>
      </c>
      <c r="AM15" s="286">
        <f>AG15/AJ15</f>
        <v/>
      </c>
      <c r="AN15" s="282">
        <f>(AL15-AM15)/AM15</f>
        <v/>
      </c>
    </row>
    <row customHeight="1" ht="15.75" r="16" s="452" spans="1:41">
      <c r="A16" s="279" t="n"/>
      <c r="B16" s="279" t="n"/>
      <c r="C16" s="280" t="n"/>
      <c r="D16" s="280" t="n"/>
      <c r="E16" s="535" t="n"/>
      <c r="F16" s="535" t="n"/>
      <c r="G16" s="282">
        <f>(E16-F16)/F16</f>
        <v/>
      </c>
      <c r="H16" s="535" t="n"/>
      <c r="I16" s="536" t="n"/>
      <c r="J16" s="282">
        <f>(H16-I16)/I16</f>
        <v/>
      </c>
      <c r="K16" s="535">
        <f>H16*1.085</f>
        <v/>
      </c>
      <c r="L16" s="535">
        <f>I16*1.085</f>
        <v/>
      </c>
      <c r="M16" s="282">
        <f>(K16-L16)/L16</f>
        <v/>
      </c>
      <c r="N16" s="536">
        <f>E16/H16</f>
        <v/>
      </c>
      <c r="O16" s="536">
        <f>F16/I16</f>
        <v/>
      </c>
      <c r="P16" s="282">
        <f>(N16-O16)/O16</f>
        <v/>
      </c>
      <c r="Q16" s="536">
        <f>E16/K16</f>
        <v/>
      </c>
      <c r="R16" s="536">
        <f>F16/L16</f>
        <v/>
      </c>
      <c r="S16" s="282">
        <f>(Q16-R16)/R16</f>
        <v/>
      </c>
      <c r="T16" s="537" t="n"/>
      <c r="U16" s="537" t="n"/>
      <c r="V16" s="282">
        <f>(T16-U16)/U16</f>
        <v/>
      </c>
      <c r="W16" s="537" t="n"/>
      <c r="X16" s="537" t="n"/>
      <c r="Y16" s="282">
        <f>(W16-X16)/X16</f>
        <v/>
      </c>
      <c r="Z16" s="537">
        <f>E16/W16</f>
        <v/>
      </c>
      <c r="AA16" s="537">
        <f>F16/X16</f>
        <v/>
      </c>
      <c r="AB16" s="282">
        <f>(Z16-AA16)/AA16</f>
        <v/>
      </c>
      <c r="AC16" s="537" t="n"/>
      <c r="AD16" s="537" t="n"/>
      <c r="AE16" s="282">
        <f>(AC16-AD16)/AD16</f>
        <v/>
      </c>
      <c r="AF16" s="537" t="n"/>
      <c r="AG16" s="537" t="n"/>
      <c r="AH16">
        <f>(AF16-AG16)/AG16</f>
        <v/>
      </c>
      <c r="AI16" s="537" t="n"/>
      <c r="AJ16" s="537" t="n"/>
      <c r="AK16" s="282">
        <f>(AI16-AJ16)/AJ16</f>
        <v/>
      </c>
      <c r="AL16" s="286">
        <f>AF16/AI16</f>
        <v/>
      </c>
      <c r="AM16" s="286">
        <f>AG16/AJ16</f>
        <v/>
      </c>
      <c r="AN16" s="282">
        <f>(AL16-AM16)/AM16</f>
        <v/>
      </c>
    </row>
    <row customHeight="1" ht="15.75" r="17" s="452" spans="1:41">
      <c r="A17" s="279" t="n"/>
      <c r="B17" s="279" t="n"/>
      <c r="C17" s="280" t="n"/>
      <c r="D17" s="280" t="n"/>
      <c r="E17" s="535" t="n"/>
      <c r="F17" s="535" t="n"/>
      <c r="G17" s="282">
        <f>(E17-F17)/F17</f>
        <v/>
      </c>
      <c r="H17" s="535" t="n"/>
      <c r="I17" s="536" t="n"/>
      <c r="J17" s="282">
        <f>(H17-I17)/I17</f>
        <v/>
      </c>
      <c r="K17" s="535">
        <f>H17*1.085</f>
        <v/>
      </c>
      <c r="L17" s="535">
        <f>I17*1.085</f>
        <v/>
      </c>
      <c r="M17" s="282">
        <f>(K17-L17)/L17</f>
        <v/>
      </c>
      <c r="N17" s="536">
        <f>E17/H17</f>
        <v/>
      </c>
      <c r="O17" s="536">
        <f>F17/I17</f>
        <v/>
      </c>
      <c r="P17" s="282">
        <f>(N17-O17)/O17</f>
        <v/>
      </c>
      <c r="Q17" s="536">
        <f>E17/K17</f>
        <v/>
      </c>
      <c r="R17" s="536">
        <f>F17/L17</f>
        <v/>
      </c>
      <c r="S17" s="282">
        <f>(Q17-R17)/R17</f>
        <v/>
      </c>
      <c r="T17" s="537" t="n"/>
      <c r="U17" s="537" t="n"/>
      <c r="V17" s="282">
        <f>(T17-U17)/U17</f>
        <v/>
      </c>
      <c r="W17" s="537" t="n"/>
      <c r="X17" s="537" t="n"/>
      <c r="Y17" s="282">
        <f>(W17-X17)/X17</f>
        <v/>
      </c>
      <c r="Z17" s="537">
        <f>E17/W17</f>
        <v/>
      </c>
      <c r="AA17" s="537">
        <f>F17/X17</f>
        <v/>
      </c>
      <c r="AB17" s="282">
        <f>(Z17-AA17)/AA17</f>
        <v/>
      </c>
      <c r="AC17" s="537" t="n"/>
      <c r="AD17" s="537" t="n"/>
      <c r="AE17" s="282">
        <f>(AC17-AD17)/AD17</f>
        <v/>
      </c>
      <c r="AF17" s="537" t="n"/>
      <c r="AG17" s="537" t="n"/>
      <c r="AH17">
        <f>(AF17-AG17)/AG17</f>
        <v/>
      </c>
      <c r="AI17" s="537" t="n"/>
      <c r="AJ17" s="537" t="n"/>
      <c r="AK17" s="282">
        <f>(AI17-AJ17)/AJ17</f>
        <v/>
      </c>
      <c r="AL17" s="286">
        <f>AF17/AI17</f>
        <v/>
      </c>
      <c r="AM17" s="286">
        <f>AG17/AJ17</f>
        <v/>
      </c>
      <c r="AN17" s="282">
        <f>(AL17-AM17)/AM17</f>
        <v/>
      </c>
    </row>
    <row customHeight="1" ht="15.75" r="18" s="452" spans="1:41">
      <c r="A18" s="279" t="n"/>
      <c r="B18" s="279" t="n"/>
      <c r="C18" s="280" t="n"/>
      <c r="D18" s="280" t="n"/>
      <c r="E18" s="535" t="n"/>
      <c r="F18" s="535" t="n"/>
      <c r="G18" s="282">
        <f>(E18-F18)/F18</f>
        <v/>
      </c>
      <c r="H18" s="535" t="n"/>
      <c r="I18" s="536" t="n"/>
      <c r="J18" s="282">
        <f>(H18-I18)/I18</f>
        <v/>
      </c>
      <c r="K18" s="535">
        <f>H18*1.085</f>
        <v/>
      </c>
      <c r="L18" s="535">
        <f>I18*1.085</f>
        <v/>
      </c>
      <c r="M18" s="282">
        <f>(K18-L18)/L18</f>
        <v/>
      </c>
      <c r="N18" s="536">
        <f>E18/H18</f>
        <v/>
      </c>
      <c r="O18" s="536">
        <f>F18/I18</f>
        <v/>
      </c>
      <c r="P18" s="282">
        <f>(N18-O18)/O18</f>
        <v/>
      </c>
      <c r="Q18" s="536">
        <f>E18/K18</f>
        <v/>
      </c>
      <c r="R18" s="536">
        <f>F18/L18</f>
        <v/>
      </c>
      <c r="S18" s="282">
        <f>(Q18-R18)/R18</f>
        <v/>
      </c>
      <c r="T18" s="537" t="n"/>
      <c r="U18" s="537" t="n"/>
      <c r="V18" s="282">
        <f>(T18-U18)/U18</f>
        <v/>
      </c>
      <c r="W18" s="537" t="n"/>
      <c r="X18" s="537" t="n"/>
      <c r="Y18" s="282">
        <f>(W18-X18)/X18</f>
        <v/>
      </c>
      <c r="Z18" s="537">
        <f>E18/W18</f>
        <v/>
      </c>
      <c r="AA18" s="537">
        <f>F18/X18</f>
        <v/>
      </c>
      <c r="AB18" s="282">
        <f>(Z18-AA18)/AA18</f>
        <v/>
      </c>
      <c r="AC18" s="537" t="n"/>
      <c r="AD18" s="537" t="n"/>
      <c r="AE18" s="282">
        <f>(AC18-AD18)/AD18</f>
        <v/>
      </c>
      <c r="AF18" s="537" t="n"/>
      <c r="AG18" s="537" t="n"/>
      <c r="AH18">
        <f>(AF18-AG18)/AG18</f>
        <v/>
      </c>
      <c r="AI18" s="537" t="n"/>
      <c r="AJ18" s="537" t="n"/>
      <c r="AK18" s="282">
        <f>(AI18-AJ18)/AJ18</f>
        <v/>
      </c>
      <c r="AL18" s="286">
        <f>AF18/AI18</f>
        <v/>
      </c>
      <c r="AM18" s="286">
        <f>AG18/AJ18</f>
        <v/>
      </c>
      <c r="AN18" s="282">
        <f>(AL18-AM18)/AM18</f>
        <v/>
      </c>
    </row>
    <row customHeight="1" ht="15.75" r="19" s="452" spans="1:41">
      <c r="A19" s="279" t="n"/>
      <c r="B19" s="279" t="n"/>
      <c r="C19" s="280" t="n"/>
      <c r="D19" s="297" t="s">
        <v>177</v>
      </c>
      <c r="E19" s="535" t="n">
        <v>66</v>
      </c>
      <c r="F19" s="535" t="n"/>
      <c r="G19" s="282">
        <f>(E19-F19)/F19</f>
        <v/>
      </c>
      <c r="H19" s="535" t="n">
        <v>0</v>
      </c>
      <c r="I19" s="536" t="n"/>
      <c r="J19" s="282">
        <f>(H19-I19)/I19</f>
        <v/>
      </c>
      <c r="K19" s="535">
        <f>H19*1.085</f>
        <v/>
      </c>
      <c r="L19" s="535">
        <f>I19*1.085</f>
        <v/>
      </c>
      <c r="M19" s="282">
        <f>(K19-L19)/L19</f>
        <v/>
      </c>
      <c r="N19" s="536">
        <f>E19/H19</f>
        <v/>
      </c>
      <c r="O19" s="536">
        <f>F19/I19</f>
        <v/>
      </c>
      <c r="P19" s="282">
        <f>(N19-O19)/O19</f>
        <v/>
      </c>
      <c r="Q19" s="536">
        <f>E19/K19</f>
        <v/>
      </c>
      <c r="R19" s="536">
        <f>F19/L19</f>
        <v/>
      </c>
      <c r="S19" s="282">
        <f>(Q19-R19)/R19</f>
        <v/>
      </c>
      <c r="T19" s="537" t="n">
        <v>72</v>
      </c>
      <c r="U19" s="537" t="n">
        <v>0</v>
      </c>
      <c r="V19" s="282">
        <f>(T19-U19)/U19</f>
        <v/>
      </c>
      <c r="W19" s="537" t="n">
        <v>1</v>
      </c>
      <c r="X19" s="537" t="n"/>
      <c r="Y19" s="282">
        <f>(W19-X19)/X19</f>
        <v/>
      </c>
      <c r="Z19" s="537">
        <f>E19/W19</f>
        <v/>
      </c>
      <c r="AA19" s="537">
        <f>F19/X19</f>
        <v/>
      </c>
      <c r="AB19" s="282">
        <f>(Z19-AA19)/AA19</f>
        <v/>
      </c>
      <c r="AC19" s="537" t="n">
        <v>0</v>
      </c>
      <c r="AD19" s="537" t="n"/>
      <c r="AE19" s="282">
        <f>(AC19-AD19)/AD19</f>
        <v/>
      </c>
      <c r="AF19" s="537" t="n">
        <v>0</v>
      </c>
      <c r="AG19" s="537" t="n"/>
      <c r="AH19">
        <f>(AF19-AG19)/AG19</f>
        <v/>
      </c>
      <c r="AI19" s="537" t="n">
        <v>0</v>
      </c>
      <c r="AJ19" s="537" t="n"/>
      <c r="AK19" s="282">
        <f>(AI19-AJ19)/AJ19</f>
        <v/>
      </c>
      <c r="AL19" s="286">
        <f>AF19/AI19</f>
        <v/>
      </c>
      <c r="AM19" s="286">
        <f>AG19/AJ19</f>
        <v/>
      </c>
      <c r="AN19" s="282">
        <f>(AL19-AM19)/AM19</f>
        <v/>
      </c>
    </row>
    <row customHeight="1" ht="15.75" r="20" s="452" spans="1:41">
      <c r="A20" s="49" t="s">
        <v>32</v>
      </c>
      <c r="B20" s="49" t="s">
        <v>71</v>
      </c>
      <c r="C20" s="50">
        <f>C14+7</f>
        <v/>
      </c>
      <c r="D20" s="50" t="s">
        <v>60</v>
      </c>
      <c r="E20" s="566">
        <f>SUM(E21:E25)</f>
        <v/>
      </c>
      <c r="F20" s="566">
        <f>SUM(F21:F25)</f>
        <v/>
      </c>
      <c r="G20" s="52">
        <f>(E20-F20)/F20</f>
        <v/>
      </c>
      <c r="H20" s="566">
        <f>SUM(H21:H25)</f>
        <v/>
      </c>
      <c r="I20" s="566">
        <f>SUM(I21:I25)</f>
        <v/>
      </c>
      <c r="J20" s="52">
        <f>(H20-I20)/I20</f>
        <v/>
      </c>
      <c r="K20" s="566">
        <f>H20*1.085</f>
        <v/>
      </c>
      <c r="L20" s="566">
        <f>I20*1.085</f>
        <v/>
      </c>
      <c r="M20" s="52">
        <f>(K20-L20)/L20</f>
        <v/>
      </c>
      <c r="N20" s="567">
        <f>E20/H20</f>
        <v/>
      </c>
      <c r="O20" s="567">
        <f>F20/I20</f>
        <v/>
      </c>
      <c r="P20" s="52">
        <f>(N20-O20)/O20</f>
        <v/>
      </c>
      <c r="Q20" s="567">
        <f>E20/K20</f>
        <v/>
      </c>
      <c r="R20" s="567">
        <f>F20/L20</f>
        <v/>
      </c>
      <c r="S20" s="52">
        <f>(Q20-R20)/R20</f>
        <v/>
      </c>
      <c r="T20" s="568">
        <f>SUM(T21:T25)</f>
        <v/>
      </c>
      <c r="U20" s="568">
        <f>SUM(U21:U25)</f>
        <v/>
      </c>
      <c r="V20" s="52">
        <f>(T20-U20)/U20</f>
        <v/>
      </c>
      <c r="W20" s="568">
        <f>SUM(W21:W25)</f>
        <v/>
      </c>
      <c r="X20" s="568">
        <f>SUM(X21:X25)</f>
        <v/>
      </c>
      <c r="Y20" s="52">
        <f>(W20-X20)/X20</f>
        <v/>
      </c>
      <c r="Z20" s="566">
        <f>E20/W20</f>
        <v/>
      </c>
      <c r="AA20" s="568">
        <f>F20/X20</f>
        <v/>
      </c>
      <c r="AB20" s="52">
        <f>(Z20-AA20)/AA20</f>
        <v/>
      </c>
      <c r="AC20" s="568">
        <f>SUM(AC21:AC25)</f>
        <v/>
      </c>
      <c r="AD20" s="568">
        <f>SUM(AD21:AD25)</f>
        <v/>
      </c>
      <c r="AE20" s="52">
        <f>(AC20-AD20)/AD20</f>
        <v/>
      </c>
      <c r="AF20" s="568">
        <f>SUM(AF21:AF25)</f>
        <v/>
      </c>
      <c r="AG20" s="568">
        <f>SUM(AG21:AG25)</f>
        <v/>
      </c>
      <c r="AH20" s="67">
        <f>(AF20-AG20)/AG20</f>
        <v/>
      </c>
      <c r="AI20" s="568">
        <f>SUM(AI21:AI25)</f>
        <v/>
      </c>
      <c r="AJ20" s="568">
        <f>SUM(AJ21:AJ25)</f>
        <v/>
      </c>
      <c r="AK20" s="52">
        <f>(AI20-AJ20)/AJ20</f>
        <v/>
      </c>
      <c r="AL20" s="82">
        <f>AF20/AI20</f>
        <v/>
      </c>
      <c r="AM20" s="82">
        <f>AG20/AJ20</f>
        <v/>
      </c>
      <c r="AN20" s="52">
        <f>(AL20-AM20)/AM20</f>
        <v/>
      </c>
      <c r="AO20" t="s">
        <v>179</v>
      </c>
    </row>
    <row customHeight="1" ht="15.75" r="21" s="452" spans="1:41">
      <c r="A21" s="279" t="n"/>
      <c r="B21" s="279" t="n"/>
      <c r="C21" s="280" t="n"/>
      <c r="D21" s="297" t="s">
        <v>72</v>
      </c>
      <c r="E21" s="535" t="n">
        <v>569</v>
      </c>
      <c r="F21" s="535" t="n"/>
      <c r="G21" s="282">
        <f>(E21-F21)/F21</f>
        <v/>
      </c>
      <c r="H21" s="535" t="n">
        <v>3912</v>
      </c>
      <c r="I21" s="536" t="n"/>
      <c r="J21" s="282">
        <f>(H21-I21)/I21</f>
        <v/>
      </c>
      <c r="K21" s="535">
        <f>H21*1.085</f>
        <v/>
      </c>
      <c r="L21" s="535">
        <f>I21*1.085</f>
        <v/>
      </c>
      <c r="M21" s="282">
        <f>(K21-L21)/L21</f>
        <v/>
      </c>
      <c r="N21" s="536">
        <f>E21/H21</f>
        <v/>
      </c>
      <c r="O21" s="536">
        <f>F21/I21</f>
        <v/>
      </c>
      <c r="P21" s="282">
        <f>(N21-O21)/O21</f>
        <v/>
      </c>
      <c r="Q21" s="536">
        <f>E21/K21</f>
        <v/>
      </c>
      <c r="R21" s="536">
        <f>F21/L21</f>
        <v/>
      </c>
      <c r="S21" s="282">
        <f>(Q21-R21)/R21</f>
        <v/>
      </c>
      <c r="T21" s="537" t="n">
        <v>3933</v>
      </c>
      <c r="U21" s="537" t="n"/>
      <c r="V21" s="282">
        <f>(T21-U21)/U21</f>
        <v/>
      </c>
      <c r="W21" s="537" t="n">
        <v>5</v>
      </c>
      <c r="X21" s="537" t="n"/>
      <c r="Y21" s="282">
        <f>(W21-X21)/X21</f>
        <v/>
      </c>
      <c r="Z21" s="537">
        <f>E21/W21</f>
        <v/>
      </c>
      <c r="AA21" s="537">
        <f>F21/X21</f>
        <v/>
      </c>
      <c r="AB21" s="282">
        <f>(Z21-AA21)/AA21</f>
        <v/>
      </c>
      <c r="AC21" s="537" t="n">
        <v>190495</v>
      </c>
      <c r="AD21" s="537" t="n"/>
      <c r="AE21" s="282">
        <f>(AC21-AD21)/AD21</f>
        <v/>
      </c>
      <c r="AF21" s="537" t="n">
        <v>4508</v>
      </c>
      <c r="AG21" s="537" t="n"/>
      <c r="AH21">
        <f>(AF21-AG21)/AG21</f>
        <v/>
      </c>
      <c r="AI21" s="537" t="n">
        <v>286957</v>
      </c>
      <c r="AJ21" s="537" t="n"/>
      <c r="AK21" s="282">
        <f>(AI21-AJ21)/AJ21</f>
        <v/>
      </c>
      <c r="AL21" s="286">
        <f>AF21/AI21</f>
        <v/>
      </c>
      <c r="AM21" s="286">
        <f>AG21/AJ21</f>
        <v/>
      </c>
      <c r="AN21" s="282">
        <f>(AL21-AM21)/AM21</f>
        <v/>
      </c>
    </row>
    <row customHeight="1" ht="15.75" r="22" s="452" spans="1:41">
      <c r="A22" s="279" t="n"/>
      <c r="B22" s="279" t="n"/>
      <c r="C22" s="280" t="n"/>
      <c r="D22" s="280" t="n"/>
      <c r="E22" s="535" t="n"/>
      <c r="F22" s="535" t="n"/>
      <c r="G22" s="282">
        <f>(E22-F22)/F22</f>
        <v/>
      </c>
      <c r="H22" s="535" t="n"/>
      <c r="I22" s="536" t="n"/>
      <c r="J22" s="282">
        <f>(H22-I22)/I22</f>
        <v/>
      </c>
      <c r="K22" s="535">
        <f>H22*1.085</f>
        <v/>
      </c>
      <c r="L22" s="535">
        <f>I22*1.085</f>
        <v/>
      </c>
      <c r="M22" s="282">
        <f>(K22-L22)/L22</f>
        <v/>
      </c>
      <c r="N22" s="536">
        <f>E22/H22</f>
        <v/>
      </c>
      <c r="O22" s="536">
        <f>F22/I22</f>
        <v/>
      </c>
      <c r="P22" s="282">
        <f>(N22-O22)/O22</f>
        <v/>
      </c>
      <c r="Q22" s="536">
        <f>E22/K22</f>
        <v/>
      </c>
      <c r="R22" s="536">
        <f>F22/L22</f>
        <v/>
      </c>
      <c r="S22" s="282">
        <f>(Q22-R22)/R22</f>
        <v/>
      </c>
      <c r="T22" s="537" t="n"/>
      <c r="U22" s="537" t="n"/>
      <c r="V22" s="282">
        <f>(T22-U22)/U22</f>
        <v/>
      </c>
      <c r="W22" s="537" t="n"/>
      <c r="X22" s="537" t="n"/>
      <c r="Y22" s="282">
        <f>(W22-X22)/X22</f>
        <v/>
      </c>
      <c r="Z22" s="537">
        <f>E22/W22</f>
        <v/>
      </c>
      <c r="AA22" s="537">
        <f>F22/X22</f>
        <v/>
      </c>
      <c r="AB22" s="282">
        <f>(Z22-AA22)/AA22</f>
        <v/>
      </c>
      <c r="AC22" s="537" t="n"/>
      <c r="AD22" s="537" t="n"/>
      <c r="AE22" s="282">
        <f>(AC22-AD22)/AD22</f>
        <v/>
      </c>
      <c r="AF22" s="537" t="n"/>
      <c r="AG22" s="537" t="n"/>
      <c r="AH22">
        <f>(AF22-AG22)/AG22</f>
        <v/>
      </c>
      <c r="AI22" s="537" t="n"/>
      <c r="AJ22" s="537" t="n"/>
      <c r="AK22" s="282">
        <f>(AI22-AJ22)/AJ22</f>
        <v/>
      </c>
      <c r="AL22" s="286">
        <f>AF22/AI22</f>
        <v/>
      </c>
      <c r="AM22" s="286">
        <f>AG22/AJ22</f>
        <v/>
      </c>
      <c r="AN22" s="282">
        <f>(AL22-AM22)/AM22</f>
        <v/>
      </c>
    </row>
    <row customHeight="1" ht="15.75" r="23" s="452" spans="1:41">
      <c r="A23" s="279" t="n"/>
      <c r="B23" s="279" t="n"/>
      <c r="C23" s="280" t="n"/>
      <c r="D23" s="280" t="n"/>
      <c r="E23" s="535" t="n"/>
      <c r="F23" s="535" t="n"/>
      <c r="G23" s="282">
        <f>(E23-F23)/F23</f>
        <v/>
      </c>
      <c r="H23" s="535" t="n"/>
      <c r="I23" s="536" t="n"/>
      <c r="J23" s="282">
        <f>(H23-I23)/I23</f>
        <v/>
      </c>
      <c r="K23" s="535">
        <f>H23*1.085</f>
        <v/>
      </c>
      <c r="L23" s="535">
        <f>I23*1.085</f>
        <v/>
      </c>
      <c r="M23" s="282">
        <f>(K23-L23)/L23</f>
        <v/>
      </c>
      <c r="N23" s="536">
        <f>E23/H23</f>
        <v/>
      </c>
      <c r="O23" s="536">
        <f>F23/I23</f>
        <v/>
      </c>
      <c r="P23" s="282">
        <f>(N23-O23)/O23</f>
        <v/>
      </c>
      <c r="Q23" s="536">
        <f>E23/K23</f>
        <v/>
      </c>
      <c r="R23" s="536">
        <f>F23/L23</f>
        <v/>
      </c>
      <c r="S23" s="282">
        <f>(Q23-R23)/R23</f>
        <v/>
      </c>
      <c r="T23" s="537" t="n"/>
      <c r="U23" s="537" t="n"/>
      <c r="V23" s="282">
        <f>(T23-U23)/U23</f>
        <v/>
      </c>
      <c r="W23" s="537" t="n"/>
      <c r="X23" s="537" t="n"/>
      <c r="Y23" s="282">
        <f>(W23-X23)/X23</f>
        <v/>
      </c>
      <c r="Z23" s="537">
        <f>E23/W23</f>
        <v/>
      </c>
      <c r="AA23" s="537">
        <f>F23/X23</f>
        <v/>
      </c>
      <c r="AB23" s="282">
        <f>(Z23-AA23)/AA23</f>
        <v/>
      </c>
      <c r="AC23" s="537" t="n"/>
      <c r="AD23" s="537" t="n"/>
      <c r="AE23" s="282">
        <f>(AC23-AD23)/AD23</f>
        <v/>
      </c>
      <c r="AF23" s="537" t="n"/>
      <c r="AG23" s="537" t="n"/>
      <c r="AH23">
        <f>(AF23-AG23)/AG23</f>
        <v/>
      </c>
      <c r="AI23" s="537" t="n"/>
      <c r="AJ23" s="537" t="n"/>
      <c r="AK23" s="282">
        <f>(AI23-AJ23)/AJ23</f>
        <v/>
      </c>
      <c r="AL23" s="286">
        <f>AF23/AI23</f>
        <v/>
      </c>
      <c r="AM23" s="286">
        <f>AG23/AJ23</f>
        <v/>
      </c>
      <c r="AN23" s="282">
        <f>(AL23-AM23)/AM23</f>
        <v/>
      </c>
    </row>
    <row customHeight="1" ht="15.75" r="24" s="452" spans="1:41">
      <c r="A24" s="279" t="n"/>
      <c r="B24" s="279" t="n"/>
      <c r="C24" s="280" t="n"/>
      <c r="D24" s="280" t="n"/>
      <c r="E24" s="535" t="n"/>
      <c r="F24" s="535" t="n"/>
      <c r="G24" s="282">
        <f>(E24-F24)/F24</f>
        <v/>
      </c>
      <c r="H24" s="535" t="n"/>
      <c r="I24" s="536" t="n"/>
      <c r="J24" s="282">
        <f>(H24-I24)/I24</f>
        <v/>
      </c>
      <c r="K24" s="535">
        <f>H24*1.085</f>
        <v/>
      </c>
      <c r="L24" s="535">
        <f>I24*1.085</f>
        <v/>
      </c>
      <c r="M24" s="282">
        <f>(K24-L24)/L24</f>
        <v/>
      </c>
      <c r="N24" s="536">
        <f>E24/H24</f>
        <v/>
      </c>
      <c r="O24" s="536">
        <f>F24/I24</f>
        <v/>
      </c>
      <c r="P24" s="282">
        <f>(N24-O24)/O24</f>
        <v/>
      </c>
      <c r="Q24" s="536">
        <f>E24/K24</f>
        <v/>
      </c>
      <c r="R24" s="536">
        <f>F24/L24</f>
        <v/>
      </c>
      <c r="S24" s="282">
        <f>(Q24-R24)/R24</f>
        <v/>
      </c>
      <c r="T24" s="537" t="n"/>
      <c r="U24" s="537" t="n"/>
      <c r="V24" s="282">
        <f>(T24-U24)/U24</f>
        <v/>
      </c>
      <c r="W24" s="537" t="n"/>
      <c r="X24" s="537" t="n"/>
      <c r="Y24" s="282">
        <f>(W24-X24)/X24</f>
        <v/>
      </c>
      <c r="Z24" s="537">
        <f>E24/W24</f>
        <v/>
      </c>
      <c r="AA24" s="537">
        <f>F24/X24</f>
        <v/>
      </c>
      <c r="AB24" s="282">
        <f>(Z24-AA24)/AA24</f>
        <v/>
      </c>
      <c r="AC24" s="537" t="n"/>
      <c r="AD24" s="537" t="n"/>
      <c r="AE24" s="282">
        <f>(AC24-AD24)/AD24</f>
        <v/>
      </c>
      <c r="AF24" s="537" t="n"/>
      <c r="AG24" s="537" t="n"/>
      <c r="AH24">
        <f>(AF24-AG24)/AG24</f>
        <v/>
      </c>
      <c r="AI24" s="537" t="n"/>
      <c r="AJ24" s="537" t="n"/>
      <c r="AK24" s="282">
        <f>(AI24-AJ24)/AJ24</f>
        <v/>
      </c>
      <c r="AL24" s="286">
        <f>AF24/AI24</f>
        <v/>
      </c>
      <c r="AM24" s="286">
        <f>AG24/AJ24</f>
        <v/>
      </c>
      <c r="AN24" s="282">
        <f>(AL24-AM24)/AM24</f>
        <v/>
      </c>
    </row>
    <row customFormat="1" customHeight="1" ht="15.75" r="25" s="357" spans="1:41">
      <c r="A25" s="347" t="n"/>
      <c r="B25" s="347" t="n"/>
      <c r="C25" s="348" t="n"/>
      <c r="D25" s="349" t="s">
        <v>177</v>
      </c>
      <c r="E25" s="612" t="n">
        <v>0</v>
      </c>
      <c r="F25" s="612" t="n"/>
      <c r="G25" s="351">
        <f>(E25-F25)/F25</f>
        <v/>
      </c>
      <c r="H25" s="612" t="n">
        <v>0</v>
      </c>
      <c r="I25" s="613" t="n"/>
      <c r="J25" s="351">
        <f>(H25-I25)/I25</f>
        <v/>
      </c>
      <c r="K25" s="612">
        <f>H25*1.085</f>
        <v/>
      </c>
      <c r="L25" s="612">
        <f>I25*1.085</f>
        <v/>
      </c>
      <c r="M25" s="351">
        <f>(K25-L25)/L25</f>
        <v/>
      </c>
      <c r="N25" s="613">
        <f>E25/H25</f>
        <v/>
      </c>
      <c r="O25" s="613">
        <f>F25/I25</f>
        <v/>
      </c>
      <c r="P25" s="351">
        <f>(N25-O25)/O25</f>
        <v/>
      </c>
      <c r="Q25" s="613">
        <f>E25/K25</f>
        <v/>
      </c>
      <c r="R25" s="613">
        <f>F25/L25</f>
        <v/>
      </c>
      <c r="S25" s="351">
        <f>(Q25-R25)/R25</f>
        <v/>
      </c>
      <c r="T25" s="614" t="n">
        <v>91</v>
      </c>
      <c r="U25" s="614" t="n">
        <v>17</v>
      </c>
      <c r="V25" s="351">
        <f>(T25-U25)/U25</f>
        <v/>
      </c>
      <c r="W25" s="614" t="n">
        <v>0</v>
      </c>
      <c r="X25" s="614" t="n"/>
      <c r="Y25" s="351">
        <f>(W25-X25)/X25</f>
        <v/>
      </c>
      <c r="Z25" s="614">
        <f>E25/W25</f>
        <v/>
      </c>
      <c r="AA25" s="614">
        <f>F25/X25</f>
        <v/>
      </c>
      <c r="AB25" s="351">
        <f>(Z25-AA25)/AA25</f>
        <v/>
      </c>
      <c r="AC25" s="614" t="n">
        <v>0</v>
      </c>
      <c r="AD25" s="614" t="n"/>
      <c r="AE25" s="351">
        <f>(AC25-AD25)/AD25</f>
        <v/>
      </c>
      <c r="AF25" s="614" t="n">
        <v>0</v>
      </c>
      <c r="AG25" s="614" t="n"/>
      <c r="AH25" s="357">
        <f>(AF25-AG25)/AG25</f>
        <v/>
      </c>
      <c r="AI25" s="614" t="n">
        <v>0</v>
      </c>
      <c r="AJ25" s="614" t="n"/>
      <c r="AK25" s="351">
        <f>(AI25-AJ25)/AJ25</f>
        <v/>
      </c>
      <c r="AL25" s="356">
        <f>AF25/AI25</f>
        <v/>
      </c>
      <c r="AM25" s="356">
        <f>AG25/AJ25</f>
        <v/>
      </c>
      <c r="AN25" s="351">
        <f>(AL25-AM25)/AM25</f>
        <v/>
      </c>
      <c r="AO25" s="357" t="n"/>
    </row>
    <row customHeight="1" ht="15.75" r="26" s="452" spans="1:41">
      <c r="A26" s="49" t="s">
        <v>41</v>
      </c>
      <c r="B26" s="49" t="s">
        <v>73</v>
      </c>
      <c r="C26" s="50">
        <f>C20+7</f>
        <v/>
      </c>
      <c r="D26" s="50" t="s">
        <v>60</v>
      </c>
      <c r="E26" s="566">
        <f>SUM(E27:E31)</f>
        <v/>
      </c>
      <c r="F26" s="566">
        <f>SUM(F27:F31)</f>
        <v/>
      </c>
      <c r="G26" s="52">
        <f>(E26-F26)/F26</f>
        <v/>
      </c>
      <c r="H26" s="566">
        <f>SUM(H27:H31)</f>
        <v/>
      </c>
      <c r="I26" s="566">
        <f>SUM(I27:I31)</f>
        <v/>
      </c>
      <c r="J26" s="52">
        <f>(H26-I26)/I26</f>
        <v/>
      </c>
      <c r="K26" s="566">
        <f>H26*1.085</f>
        <v/>
      </c>
      <c r="L26" s="566">
        <f>I26*1.085</f>
        <v/>
      </c>
      <c r="M26" s="52">
        <f>(K26-L26)/L26</f>
        <v/>
      </c>
      <c r="N26" s="567">
        <f>E26/H26</f>
        <v/>
      </c>
      <c r="O26" s="567">
        <f>F26/I26</f>
        <v/>
      </c>
      <c r="P26" s="52">
        <f>(N26-O26)/O26</f>
        <v/>
      </c>
      <c r="Q26" s="567">
        <f>E26/K26</f>
        <v/>
      </c>
      <c r="R26" s="567">
        <f>F26/L26</f>
        <v/>
      </c>
      <c r="S26" s="52">
        <f>(Q26-R26)/R26</f>
        <v/>
      </c>
      <c r="T26" s="568">
        <f>SUM(T27:T31)</f>
        <v/>
      </c>
      <c r="U26" s="568">
        <f>SUM(U27:U31)</f>
        <v/>
      </c>
      <c r="V26" s="52">
        <f>(T26-U26)/U26</f>
        <v/>
      </c>
      <c r="W26" s="568">
        <f>SUM(W27:W31)</f>
        <v/>
      </c>
      <c r="X26" s="568">
        <f>SUM(X27:X31)</f>
        <v/>
      </c>
      <c r="Y26" s="52">
        <f>(W26-X26)/X26</f>
        <v/>
      </c>
      <c r="Z26" s="566">
        <f>E26/W26</f>
        <v/>
      </c>
      <c r="AA26" s="568">
        <f>F26/X26</f>
        <v/>
      </c>
      <c r="AB26" s="52">
        <f>(Z26-AA26)/AA26</f>
        <v/>
      </c>
      <c r="AC26" s="568">
        <f>SUM(AC27:AC31)</f>
        <v/>
      </c>
      <c r="AD26" s="568">
        <f>SUM(AD27:AD31)</f>
        <v/>
      </c>
      <c r="AE26" s="52">
        <f>(AC26-AD26)/AD26</f>
        <v/>
      </c>
      <c r="AF26" s="568">
        <f>SUM(AF27:AF31)</f>
        <v/>
      </c>
      <c r="AG26" s="568">
        <f>SUM(AG27:AG31)</f>
        <v/>
      </c>
      <c r="AH26" s="67">
        <f>(AF26-AG26)/AG26</f>
        <v/>
      </c>
      <c r="AI26" s="568">
        <f>SUM(AI27:AI31)</f>
        <v/>
      </c>
      <c r="AJ26" s="568">
        <f>SUM(AJ27:AJ31)</f>
        <v/>
      </c>
      <c r="AK26" s="52">
        <f>(AI26-AJ26)/AJ26</f>
        <v/>
      </c>
      <c r="AL26" s="82">
        <f>AF26/AI26</f>
        <v/>
      </c>
      <c r="AM26" s="82">
        <f>AG26/AJ26</f>
        <v/>
      </c>
      <c r="AN26" s="52">
        <f>(AL26-AM26)/AM26</f>
        <v/>
      </c>
    </row>
    <row customHeight="1" ht="15.75" r="27" s="452" spans="1:41">
      <c r="A27" s="279" t="n"/>
      <c r="B27" s="279" t="n"/>
      <c r="C27" s="280" t="n"/>
      <c r="D27" s="280" t="n"/>
      <c r="E27" s="535" t="n"/>
      <c r="F27" s="535" t="n"/>
      <c r="G27" s="282">
        <f>(E27-F27)/F27</f>
        <v/>
      </c>
      <c r="H27" s="535" t="n"/>
      <c r="I27" s="536" t="n"/>
      <c r="J27" s="282">
        <f>(H27-I27)/I27</f>
        <v/>
      </c>
      <c r="K27" s="535">
        <f>H27*1.085</f>
        <v/>
      </c>
      <c r="L27" s="535">
        <f>I27*1.085</f>
        <v/>
      </c>
      <c r="M27" s="282">
        <f>(K27-L27)/L27</f>
        <v/>
      </c>
      <c r="N27" s="536">
        <f>E27/H27</f>
        <v/>
      </c>
      <c r="O27" s="536">
        <f>F27/I27</f>
        <v/>
      </c>
      <c r="P27" s="282">
        <f>(N27-O27)/O27</f>
        <v/>
      </c>
      <c r="Q27" s="536">
        <f>E27/K27</f>
        <v/>
      </c>
      <c r="R27" s="536">
        <f>F27/L27</f>
        <v/>
      </c>
      <c r="S27" s="282">
        <f>(Q27-R27)/R27</f>
        <v/>
      </c>
      <c r="T27" s="537" t="n"/>
      <c r="U27" s="537" t="n"/>
      <c r="V27" s="282">
        <f>(T27-U27)/U27</f>
        <v/>
      </c>
      <c r="W27" s="537" t="n"/>
      <c r="X27" s="537" t="n"/>
      <c r="Y27" s="282">
        <f>(W27-X27)/X27</f>
        <v/>
      </c>
      <c r="Z27" s="537">
        <f>E27/W27</f>
        <v/>
      </c>
      <c r="AA27" s="537">
        <f>F27/X27</f>
        <v/>
      </c>
      <c r="AB27" s="282">
        <f>(Z27-AA27)/AA27</f>
        <v/>
      </c>
      <c r="AC27" s="537" t="n"/>
      <c r="AD27" s="537" t="n"/>
      <c r="AE27" s="282">
        <f>(AC27-AD27)/AD27</f>
        <v/>
      </c>
      <c r="AF27" s="537" t="n"/>
      <c r="AG27" s="537" t="n"/>
      <c r="AH27">
        <f>(AF27-AG27)/AG27</f>
        <v/>
      </c>
      <c r="AI27" s="537" t="n"/>
      <c r="AJ27" s="537" t="n"/>
      <c r="AK27" s="282">
        <f>(AI27-AJ27)/AJ27</f>
        <v/>
      </c>
      <c r="AL27" s="286">
        <f>AF27/AI27</f>
        <v/>
      </c>
      <c r="AM27" s="286">
        <f>AG27/AJ27</f>
        <v/>
      </c>
      <c r="AN27" s="282">
        <f>(AL27-AM27)/AM27</f>
        <v/>
      </c>
    </row>
    <row customHeight="1" ht="15.75" r="28" s="452" spans="1:41">
      <c r="A28" s="279" t="n"/>
      <c r="B28" s="279" t="n"/>
      <c r="C28" s="280" t="n"/>
      <c r="D28" s="280" t="n"/>
      <c r="E28" s="535" t="n"/>
      <c r="F28" s="535" t="n"/>
      <c r="G28" s="282">
        <f>(E28-F28)/F28</f>
        <v/>
      </c>
      <c r="H28" s="535" t="n"/>
      <c r="I28" s="536" t="n"/>
      <c r="J28" s="282">
        <f>(H28-I28)/I28</f>
        <v/>
      </c>
      <c r="K28" s="535">
        <f>H28*1.085</f>
        <v/>
      </c>
      <c r="L28" s="535">
        <f>I28*1.085</f>
        <v/>
      </c>
      <c r="M28" s="282">
        <f>(K28-L28)/L28</f>
        <v/>
      </c>
      <c r="N28" s="536">
        <f>E28/H28</f>
        <v/>
      </c>
      <c r="O28" s="536">
        <f>F28/I28</f>
        <v/>
      </c>
      <c r="P28" s="282">
        <f>(N28-O28)/O28</f>
        <v/>
      </c>
      <c r="Q28" s="536">
        <f>E28/K28</f>
        <v/>
      </c>
      <c r="R28" s="536">
        <f>F28/L28</f>
        <v/>
      </c>
      <c r="S28" s="282">
        <f>(Q28-R28)/R28</f>
        <v/>
      </c>
      <c r="T28" s="537" t="n"/>
      <c r="U28" s="537" t="n"/>
      <c r="V28" s="282">
        <f>(T28-U28)/U28</f>
        <v/>
      </c>
      <c r="W28" s="537" t="n"/>
      <c r="X28" s="537" t="n"/>
      <c r="Y28" s="282">
        <f>(W28-X28)/X28</f>
        <v/>
      </c>
      <c r="Z28" s="537">
        <f>E28/W28</f>
        <v/>
      </c>
      <c r="AA28" s="537">
        <f>F28/X28</f>
        <v/>
      </c>
      <c r="AB28" s="282">
        <f>(Z28-AA28)/AA28</f>
        <v/>
      </c>
      <c r="AC28" s="537" t="n"/>
      <c r="AD28" s="537" t="n"/>
      <c r="AE28" s="282">
        <f>(AC28-AD28)/AD28</f>
        <v/>
      </c>
      <c r="AF28" s="537" t="n"/>
      <c r="AG28" s="537" t="n"/>
      <c r="AH28">
        <f>(AF28-AG28)/AG28</f>
        <v/>
      </c>
      <c r="AI28" s="537" t="n"/>
      <c r="AJ28" s="537" t="n"/>
      <c r="AK28" s="282">
        <f>(AI28-AJ28)/AJ28</f>
        <v/>
      </c>
      <c r="AL28" s="286">
        <f>AF28/AI28</f>
        <v/>
      </c>
      <c r="AM28" s="286">
        <f>AG28/AJ28</f>
        <v/>
      </c>
      <c r="AN28" s="282">
        <f>(AL28-AM28)/AM28</f>
        <v/>
      </c>
    </row>
    <row customHeight="1" ht="15.75" r="29" s="452" spans="1:41">
      <c r="A29" s="279" t="n"/>
      <c r="B29" s="279" t="n"/>
      <c r="C29" s="280" t="n"/>
      <c r="D29" s="280" t="n"/>
      <c r="E29" s="535" t="n"/>
      <c r="F29" s="535" t="n"/>
      <c r="G29" s="282">
        <f>(E29-F29)/F29</f>
        <v/>
      </c>
      <c r="H29" s="535" t="n"/>
      <c r="I29" s="536" t="n"/>
      <c r="J29" s="282">
        <f>(H29-I29)/I29</f>
        <v/>
      </c>
      <c r="K29" s="535">
        <f>H29*1.085</f>
        <v/>
      </c>
      <c r="L29" s="535">
        <f>I29*1.085</f>
        <v/>
      </c>
      <c r="M29" s="282">
        <f>(K29-L29)/L29</f>
        <v/>
      </c>
      <c r="N29" s="536">
        <f>E29/H29</f>
        <v/>
      </c>
      <c r="O29" s="536">
        <f>F29/I29</f>
        <v/>
      </c>
      <c r="P29" s="282">
        <f>(N29-O29)/O29</f>
        <v/>
      </c>
      <c r="Q29" s="536">
        <f>E29/K29</f>
        <v/>
      </c>
      <c r="R29" s="536">
        <f>F29/L29</f>
        <v/>
      </c>
      <c r="S29" s="282">
        <f>(Q29-R29)/R29</f>
        <v/>
      </c>
      <c r="T29" s="537" t="n"/>
      <c r="U29" s="537" t="n"/>
      <c r="V29" s="282">
        <f>(T29-U29)/U29</f>
        <v/>
      </c>
      <c r="W29" s="537" t="n"/>
      <c r="X29" s="537" t="n"/>
      <c r="Y29" s="282">
        <f>(W29-X29)/X29</f>
        <v/>
      </c>
      <c r="Z29" s="537">
        <f>E29/W29</f>
        <v/>
      </c>
      <c r="AA29" s="537">
        <f>F29/X29</f>
        <v/>
      </c>
      <c r="AB29" s="282">
        <f>(Z29-AA29)/AA29</f>
        <v/>
      </c>
      <c r="AC29" s="537" t="n"/>
      <c r="AD29" s="537" t="n"/>
      <c r="AE29" s="282">
        <f>(AC29-AD29)/AD29</f>
        <v/>
      </c>
      <c r="AF29" s="537" t="n"/>
      <c r="AG29" s="537" t="n"/>
      <c r="AH29">
        <f>(AF29-AG29)/AG29</f>
        <v/>
      </c>
      <c r="AI29" s="537" t="n"/>
      <c r="AJ29" s="537" t="n"/>
      <c r="AK29" s="282">
        <f>(AI29-AJ29)/AJ29</f>
        <v/>
      </c>
      <c r="AL29" s="286">
        <f>AF29/AI29</f>
        <v/>
      </c>
      <c r="AM29" s="286">
        <f>AG29/AJ29</f>
        <v/>
      </c>
      <c r="AN29" s="282">
        <f>(AL29-AM29)/AM29</f>
        <v/>
      </c>
    </row>
    <row customHeight="1" ht="15.75" r="30" s="452" spans="1:41">
      <c r="A30" s="279" t="n"/>
      <c r="B30" s="279" t="n"/>
      <c r="C30" s="280" t="n"/>
      <c r="D30" s="280" t="n"/>
      <c r="E30" s="535" t="n"/>
      <c r="F30" s="535" t="n"/>
      <c r="G30" s="282">
        <f>(E30-F30)/F30</f>
        <v/>
      </c>
      <c r="H30" s="535" t="n"/>
      <c r="I30" s="536" t="n"/>
      <c r="J30" s="282">
        <f>(H30-I30)/I30</f>
        <v/>
      </c>
      <c r="K30" s="535">
        <f>H30*1.085</f>
        <v/>
      </c>
      <c r="L30" s="535">
        <f>I30*1.085</f>
        <v/>
      </c>
      <c r="M30" s="282">
        <f>(K30-L30)/L30</f>
        <v/>
      </c>
      <c r="N30" s="536">
        <f>E30/H30</f>
        <v/>
      </c>
      <c r="O30" s="536">
        <f>F30/I30</f>
        <v/>
      </c>
      <c r="P30" s="282">
        <f>(N30-O30)/O30</f>
        <v/>
      </c>
      <c r="Q30" s="536">
        <f>E30/K30</f>
        <v/>
      </c>
      <c r="R30" s="536">
        <f>F30/L30</f>
        <v/>
      </c>
      <c r="S30" s="282">
        <f>(Q30-R30)/R30</f>
        <v/>
      </c>
      <c r="T30" s="537" t="n"/>
      <c r="U30" s="537" t="n"/>
      <c r="V30" s="282">
        <f>(T30-U30)/U30</f>
        <v/>
      </c>
      <c r="W30" s="537" t="n"/>
      <c r="X30" s="537" t="n"/>
      <c r="Y30" s="282">
        <f>(W30-X30)/X30</f>
        <v/>
      </c>
      <c r="Z30" s="537">
        <f>E30/W30</f>
        <v/>
      </c>
      <c r="AA30" s="537">
        <f>F30/X30</f>
        <v/>
      </c>
      <c r="AB30" s="282">
        <f>(Z30-AA30)/AA30</f>
        <v/>
      </c>
      <c r="AC30" s="537" t="n"/>
      <c r="AD30" s="537" t="n"/>
      <c r="AE30" s="282">
        <f>(AC30-AD30)/AD30</f>
        <v/>
      </c>
      <c r="AF30" s="537" t="n"/>
      <c r="AG30" s="537" t="n"/>
      <c r="AH30">
        <f>(AF30-AG30)/AG30</f>
        <v/>
      </c>
      <c r="AI30" s="537" t="n"/>
      <c r="AJ30" s="537" t="n"/>
      <c r="AK30" s="282">
        <f>(AI30-AJ30)/AJ30</f>
        <v/>
      </c>
      <c r="AL30" s="286">
        <f>AF30/AI30</f>
        <v/>
      </c>
      <c r="AM30" s="286">
        <f>AG30/AJ30</f>
        <v/>
      </c>
      <c r="AN30" s="282">
        <f>(AL30-AM30)/AM30</f>
        <v/>
      </c>
    </row>
    <row customHeight="1" ht="15.75" r="31" s="452" spans="1:41">
      <c r="A31" s="279" t="n"/>
      <c r="B31" s="279" t="n"/>
      <c r="C31" s="280" t="n"/>
      <c r="D31" s="297" t="s">
        <v>177</v>
      </c>
      <c r="E31" s="535" t="n">
        <v>25</v>
      </c>
      <c r="F31" s="535" t="n"/>
      <c r="G31" s="282">
        <f>(E31-F31)/F31</f>
        <v/>
      </c>
      <c r="H31" s="535" t="n">
        <v>0</v>
      </c>
      <c r="I31" s="536" t="n"/>
      <c r="J31" s="282">
        <f>(H31-I31)/I31</f>
        <v/>
      </c>
      <c r="K31" s="535">
        <f>H31*1.085</f>
        <v/>
      </c>
      <c r="L31" s="535">
        <f>I31*1.085</f>
        <v/>
      </c>
      <c r="M31" s="282">
        <f>(K31-L31)/L31</f>
        <v/>
      </c>
      <c r="N31" s="536">
        <f>E31/H31</f>
        <v/>
      </c>
      <c r="O31" s="536">
        <f>F31/I31</f>
        <v/>
      </c>
      <c r="P31" s="282">
        <f>(N31-O31)/O31</f>
        <v/>
      </c>
      <c r="Q31" s="536">
        <f>E31/K31</f>
        <v/>
      </c>
      <c r="R31" s="536">
        <f>F31/L31</f>
        <v/>
      </c>
      <c r="S31" s="282">
        <f>(Q31-R31)/R31</f>
        <v/>
      </c>
      <c r="T31" s="537" t="n">
        <v>46</v>
      </c>
      <c r="U31" s="537" t="n">
        <v>3</v>
      </c>
      <c r="V31" s="282">
        <f>(T31-U31)/U31</f>
        <v/>
      </c>
      <c r="W31" s="537" t="n">
        <v>1</v>
      </c>
      <c r="X31" s="537" t="n">
        <v>0</v>
      </c>
      <c r="Y31" s="282">
        <f>(W31-X31)/X31</f>
        <v/>
      </c>
      <c r="Z31" s="537">
        <f>E31/W31</f>
        <v/>
      </c>
      <c r="AA31" s="537">
        <f>F31/X31</f>
        <v/>
      </c>
      <c r="AB31" s="282">
        <f>(Z31-AA31)/AA31</f>
        <v/>
      </c>
      <c r="AC31" s="537" t="n">
        <v>0</v>
      </c>
      <c r="AD31" s="537" t="n"/>
      <c r="AE31" s="282">
        <f>(AC31-AD31)/AD31</f>
        <v/>
      </c>
      <c r="AF31" s="537" t="n">
        <v>0</v>
      </c>
      <c r="AG31" s="537" t="n"/>
      <c r="AH31">
        <f>(AF31-AG31)/AG31</f>
        <v/>
      </c>
      <c r="AI31" s="537" t="n">
        <v>0</v>
      </c>
      <c r="AJ31" s="537" t="n"/>
      <c r="AK31" s="282">
        <f>(AI31-AJ31)/AJ31</f>
        <v/>
      </c>
      <c r="AL31" s="286">
        <f>AF31/AI31</f>
        <v/>
      </c>
      <c r="AM31" s="286">
        <f>AG31/AJ31</f>
        <v/>
      </c>
      <c r="AN31" s="282">
        <f>(AL31-AM31)/AM31</f>
        <v/>
      </c>
    </row>
    <row customHeight="1" ht="15.75" r="32" s="452" spans="1:41">
      <c r="A32" s="49" t="s">
        <v>41</v>
      </c>
      <c r="B32" s="49" t="s">
        <v>75</v>
      </c>
      <c r="C32" s="50">
        <f>C26+7</f>
        <v/>
      </c>
      <c r="D32" s="50" t="s">
        <v>60</v>
      </c>
      <c r="E32" s="566">
        <f>SUM(E33:E37)</f>
        <v/>
      </c>
      <c r="F32" s="566">
        <f>SUM(F33:F37)</f>
        <v/>
      </c>
      <c r="G32" s="52">
        <f>(E32-F32)/F32</f>
        <v/>
      </c>
      <c r="H32" s="566">
        <f>SUM(H33:H37)</f>
        <v/>
      </c>
      <c r="I32" s="566">
        <f>SUM(I33:I37)</f>
        <v/>
      </c>
      <c r="J32" s="52">
        <f>(H32-I32)/I32</f>
        <v/>
      </c>
      <c r="K32" s="566">
        <f>H32*1.085</f>
        <v/>
      </c>
      <c r="L32" s="566">
        <f>I32*1.085</f>
        <v/>
      </c>
      <c r="M32" s="52">
        <f>(K32-L32)/L32</f>
        <v/>
      </c>
      <c r="N32" s="567">
        <f>E32/H32</f>
        <v/>
      </c>
      <c r="O32" s="567">
        <f>F32/I32</f>
        <v/>
      </c>
      <c r="P32" s="52">
        <f>(N32-O32)/O32</f>
        <v/>
      </c>
      <c r="Q32" s="567">
        <f>E32/K32</f>
        <v/>
      </c>
      <c r="R32" s="567">
        <f>F32/L32</f>
        <v/>
      </c>
      <c r="S32" s="52">
        <f>(Q32-R32)/R32</f>
        <v/>
      </c>
      <c r="T32" s="568">
        <f>SUM(T33:T37)</f>
        <v/>
      </c>
      <c r="U32" s="568">
        <f>SUM(U33:U37)</f>
        <v/>
      </c>
      <c r="V32" s="52">
        <f>(T32-U32)/U32</f>
        <v/>
      </c>
      <c r="W32" s="568">
        <f>SUM(W33:W37)</f>
        <v/>
      </c>
      <c r="X32" s="568">
        <f>SUM(X33:X37)</f>
        <v/>
      </c>
      <c r="Y32" s="52">
        <f>(W32-X32)/X32</f>
        <v/>
      </c>
      <c r="Z32" s="566">
        <f>E32/W32</f>
        <v/>
      </c>
      <c r="AA32" s="568">
        <f>F32/X32</f>
        <v/>
      </c>
      <c r="AB32" s="52">
        <f>(Z32-AA32)/AA32</f>
        <v/>
      </c>
      <c r="AC32" s="568">
        <f>SUM(AC33:AC37)</f>
        <v/>
      </c>
      <c r="AD32" s="568">
        <f>SUM(AD33:AD37)</f>
        <v/>
      </c>
      <c r="AE32" s="52">
        <f>(AC32-AD32)/AD32</f>
        <v/>
      </c>
      <c r="AF32" s="568">
        <f>SUM(AF33:AF37)</f>
        <v/>
      </c>
      <c r="AG32" s="568">
        <f>SUM(AG33:AG37)</f>
        <v/>
      </c>
      <c r="AH32" s="67">
        <f>(AF32-AG32)/AG32</f>
        <v/>
      </c>
      <c r="AI32" s="568">
        <f>SUM(AI33:AI37)</f>
        <v/>
      </c>
      <c r="AJ32" s="568">
        <f>SUM(AJ33:AJ37)</f>
        <v/>
      </c>
      <c r="AK32" s="52">
        <f>(AI32-AJ32)/AJ32</f>
        <v/>
      </c>
      <c r="AL32" s="82">
        <f>AF32/AI32</f>
        <v/>
      </c>
      <c r="AM32" s="82">
        <f>AG32/AJ32</f>
        <v/>
      </c>
      <c r="AN32" s="52">
        <f>(AL32-AM32)/AM32</f>
        <v/>
      </c>
    </row>
    <row customHeight="1" ht="15.75" r="33" s="452" spans="1:41">
      <c r="A33" s="279" t="n"/>
      <c r="B33" s="279" t="n"/>
      <c r="C33" s="280" t="n"/>
      <c r="D33" s="280" t="n"/>
      <c r="E33" s="535" t="n"/>
      <c r="F33" s="535" t="n"/>
      <c r="G33" s="282">
        <f>(E33-F33)/F33</f>
        <v/>
      </c>
      <c r="H33" s="535" t="n"/>
      <c r="I33" s="536" t="n"/>
      <c r="J33" s="282">
        <f>(H33-I33)/I33</f>
        <v/>
      </c>
      <c r="K33" s="535">
        <f>H33*1.085</f>
        <v/>
      </c>
      <c r="L33" s="535">
        <f>I33*1.085</f>
        <v/>
      </c>
      <c r="M33" s="282">
        <f>(K33-L33)/L33</f>
        <v/>
      </c>
      <c r="N33" s="536">
        <f>E33/H33</f>
        <v/>
      </c>
      <c r="O33" s="536">
        <f>F33/I33</f>
        <v/>
      </c>
      <c r="P33" s="282">
        <f>(N33-O33)/O33</f>
        <v/>
      </c>
      <c r="Q33" s="536">
        <f>E33/K33</f>
        <v/>
      </c>
      <c r="R33" s="536">
        <f>F33/L33</f>
        <v/>
      </c>
      <c r="S33" s="282">
        <f>(Q33-R33)/R33</f>
        <v/>
      </c>
      <c r="T33" s="537" t="n"/>
      <c r="U33" s="537" t="n"/>
      <c r="V33" s="282">
        <f>(T33-U33)/U33</f>
        <v/>
      </c>
      <c r="W33" s="537" t="n"/>
      <c r="X33" s="537" t="n"/>
      <c r="Y33" s="282">
        <f>(W33-X33)/X33</f>
        <v/>
      </c>
      <c r="Z33" s="537">
        <f>E33/W33</f>
        <v/>
      </c>
      <c r="AA33" s="537">
        <f>F33/X33</f>
        <v/>
      </c>
      <c r="AB33" s="282">
        <f>(Z33-AA33)/AA33</f>
        <v/>
      </c>
      <c r="AC33" s="537" t="n"/>
      <c r="AD33" s="537" t="n"/>
      <c r="AE33" s="282">
        <f>(AC33-AD33)/AD33</f>
        <v/>
      </c>
      <c r="AF33" s="537" t="n"/>
      <c r="AG33" s="537" t="n"/>
      <c r="AH33">
        <f>(AF33-AG33)/AG33</f>
        <v/>
      </c>
      <c r="AI33" s="537" t="n"/>
      <c r="AJ33" s="537" t="n"/>
      <c r="AK33" s="282">
        <f>(AI33-AJ33)/AJ33</f>
        <v/>
      </c>
      <c r="AL33" s="286">
        <f>AF33/AI33</f>
        <v/>
      </c>
      <c r="AM33" s="286">
        <f>AG33/AJ33</f>
        <v/>
      </c>
      <c r="AN33" s="282">
        <f>(AL33-AM33)/AM33</f>
        <v/>
      </c>
    </row>
    <row customHeight="1" ht="15.75" r="34" s="452" spans="1:41">
      <c r="A34" s="279" t="n"/>
      <c r="B34" s="279" t="n"/>
      <c r="C34" s="280" t="n"/>
      <c r="D34" s="280" t="n"/>
      <c r="E34" s="535" t="n"/>
      <c r="F34" s="535" t="n"/>
      <c r="G34" s="282">
        <f>(E34-F34)/F34</f>
        <v/>
      </c>
      <c r="H34" s="535" t="n"/>
      <c r="I34" s="536" t="n"/>
      <c r="J34" s="282">
        <f>(H34-I34)/I34</f>
        <v/>
      </c>
      <c r="K34" s="535">
        <f>H34*1.085</f>
        <v/>
      </c>
      <c r="L34" s="535">
        <f>I34*1.085</f>
        <v/>
      </c>
      <c r="M34" s="282">
        <f>(K34-L34)/L34</f>
        <v/>
      </c>
      <c r="N34" s="536">
        <f>E34/H34</f>
        <v/>
      </c>
      <c r="O34" s="536">
        <f>F34/I34</f>
        <v/>
      </c>
      <c r="P34" s="282">
        <f>(N34-O34)/O34</f>
        <v/>
      </c>
      <c r="Q34" s="536">
        <f>E34/K34</f>
        <v/>
      </c>
      <c r="R34" s="536">
        <f>F34/L34</f>
        <v/>
      </c>
      <c r="S34" s="282">
        <f>(Q34-R34)/R34</f>
        <v/>
      </c>
      <c r="T34" s="537" t="n"/>
      <c r="U34" s="537" t="n"/>
      <c r="V34" s="282">
        <f>(T34-U34)/U34</f>
        <v/>
      </c>
      <c r="W34" s="537" t="n"/>
      <c r="X34" s="537" t="n"/>
      <c r="Y34" s="282">
        <f>(W34-X34)/X34</f>
        <v/>
      </c>
      <c r="Z34" s="537">
        <f>E34/W34</f>
        <v/>
      </c>
      <c r="AA34" s="537">
        <f>F34/X34</f>
        <v/>
      </c>
      <c r="AB34" s="282">
        <f>(Z34-AA34)/AA34</f>
        <v/>
      </c>
      <c r="AC34" s="537" t="n"/>
      <c r="AD34" s="537" t="n"/>
      <c r="AE34" s="282">
        <f>(AC34-AD34)/AD34</f>
        <v/>
      </c>
      <c r="AF34" s="537" t="n"/>
      <c r="AG34" s="537" t="n"/>
      <c r="AH34">
        <f>(AF34-AG34)/AG34</f>
        <v/>
      </c>
      <c r="AI34" s="537" t="n"/>
      <c r="AJ34" s="537" t="n"/>
      <c r="AK34" s="282">
        <f>(AI34-AJ34)/AJ34</f>
        <v/>
      </c>
      <c r="AL34" s="286">
        <f>AF34/AI34</f>
        <v/>
      </c>
      <c r="AM34" s="286">
        <f>AG34/AJ34</f>
        <v/>
      </c>
      <c r="AN34" s="282">
        <f>(AL34-AM34)/AM34</f>
        <v/>
      </c>
    </row>
    <row customHeight="1" ht="15.75" r="35" s="452" spans="1:41">
      <c r="A35" s="279" t="n"/>
      <c r="B35" s="279" t="n"/>
      <c r="C35" s="280" t="n"/>
      <c r="D35" s="280" t="n"/>
      <c r="E35" s="535" t="n"/>
      <c r="F35" s="535" t="n"/>
      <c r="G35" s="282">
        <f>(E35-F35)/F35</f>
        <v/>
      </c>
      <c r="H35" s="535" t="n"/>
      <c r="I35" s="536" t="n"/>
      <c r="J35" s="282">
        <f>(H35-I35)/I35</f>
        <v/>
      </c>
      <c r="K35" s="535">
        <f>H35*1.085</f>
        <v/>
      </c>
      <c r="L35" s="535">
        <f>I35*1.085</f>
        <v/>
      </c>
      <c r="M35" s="282">
        <f>(K35-L35)/L35</f>
        <v/>
      </c>
      <c r="N35" s="536">
        <f>E35/H35</f>
        <v/>
      </c>
      <c r="O35" s="536">
        <f>F35/I35</f>
        <v/>
      </c>
      <c r="P35" s="282">
        <f>(N35-O35)/O35</f>
        <v/>
      </c>
      <c r="Q35" s="536">
        <f>E35/K35</f>
        <v/>
      </c>
      <c r="R35" s="536">
        <f>F35/L35</f>
        <v/>
      </c>
      <c r="S35" s="282">
        <f>(Q35-R35)/R35</f>
        <v/>
      </c>
      <c r="T35" s="537" t="n"/>
      <c r="U35" s="537" t="n"/>
      <c r="V35" s="282">
        <f>(T35-U35)/U35</f>
        <v/>
      </c>
      <c r="W35" s="537" t="n"/>
      <c r="X35" s="537" t="n"/>
      <c r="Y35" s="282">
        <f>(W35-X35)/X35</f>
        <v/>
      </c>
      <c r="Z35" s="537">
        <f>E35/W35</f>
        <v/>
      </c>
      <c r="AA35" s="537">
        <f>F35/X35</f>
        <v/>
      </c>
      <c r="AB35" s="282">
        <f>(Z35-AA35)/AA35</f>
        <v/>
      </c>
      <c r="AC35" s="537" t="n"/>
      <c r="AD35" s="537" t="n"/>
      <c r="AE35" s="282">
        <f>(AC35-AD35)/AD35</f>
        <v/>
      </c>
      <c r="AF35" s="537" t="n"/>
      <c r="AG35" s="537" t="n"/>
      <c r="AH35">
        <f>(AF35-AG35)/AG35</f>
        <v/>
      </c>
      <c r="AI35" s="537" t="n"/>
      <c r="AJ35" s="537" t="n"/>
      <c r="AK35" s="282">
        <f>(AI35-AJ35)/AJ35</f>
        <v/>
      </c>
      <c r="AL35" s="286">
        <f>AF35/AI35</f>
        <v/>
      </c>
      <c r="AM35" s="286">
        <f>AG35/AJ35</f>
        <v/>
      </c>
      <c r="AN35" s="282">
        <f>(AL35-AM35)/AM35</f>
        <v/>
      </c>
    </row>
    <row customHeight="1" ht="15.75" r="36" s="452" spans="1:41">
      <c r="A36" s="279" t="n"/>
      <c r="B36" s="279" t="n"/>
      <c r="C36" s="280" t="n"/>
      <c r="D36" s="280" t="n"/>
      <c r="E36" s="535" t="n"/>
      <c r="F36" s="535" t="n"/>
      <c r="G36" s="282">
        <f>(E36-F36)/F36</f>
        <v/>
      </c>
      <c r="H36" s="535" t="n"/>
      <c r="I36" s="536" t="n"/>
      <c r="J36" s="282">
        <f>(H36-I36)/I36</f>
        <v/>
      </c>
      <c r="K36" s="535">
        <f>H36*1.085</f>
        <v/>
      </c>
      <c r="L36" s="535">
        <f>I36*1.085</f>
        <v/>
      </c>
      <c r="M36" s="282">
        <f>(K36-L36)/L36</f>
        <v/>
      </c>
      <c r="N36" s="536">
        <f>E36/H36</f>
        <v/>
      </c>
      <c r="O36" s="536">
        <f>F36/I36</f>
        <v/>
      </c>
      <c r="P36" s="282">
        <f>(N36-O36)/O36</f>
        <v/>
      </c>
      <c r="Q36" s="536">
        <f>E36/K36</f>
        <v/>
      </c>
      <c r="R36" s="536">
        <f>F36/L36</f>
        <v/>
      </c>
      <c r="S36" s="282">
        <f>(Q36-R36)/R36</f>
        <v/>
      </c>
      <c r="T36" s="537" t="n"/>
      <c r="U36" s="537" t="n"/>
      <c r="V36" s="282">
        <f>(T36-U36)/U36</f>
        <v/>
      </c>
      <c r="W36" s="537" t="n"/>
      <c r="X36" s="537" t="n"/>
      <c r="Y36" s="282">
        <f>(W36-X36)/X36</f>
        <v/>
      </c>
      <c r="Z36" s="537">
        <f>E36/W36</f>
        <v/>
      </c>
      <c r="AA36" s="537">
        <f>F36/X36</f>
        <v/>
      </c>
      <c r="AB36" s="282">
        <f>(Z36-AA36)/AA36</f>
        <v/>
      </c>
      <c r="AC36" s="537" t="n"/>
      <c r="AD36" s="537" t="n"/>
      <c r="AE36" s="282">
        <f>(AC36-AD36)/AD36</f>
        <v/>
      </c>
      <c r="AF36" s="537" t="n"/>
      <c r="AG36" s="537" t="n"/>
      <c r="AH36">
        <f>(AF36-AG36)/AG36</f>
        <v/>
      </c>
      <c r="AI36" s="537" t="n"/>
      <c r="AJ36" s="537" t="n"/>
      <c r="AK36" s="282">
        <f>(AI36-AJ36)/AJ36</f>
        <v/>
      </c>
      <c r="AL36" s="286">
        <f>AF36/AI36</f>
        <v/>
      </c>
      <c r="AM36" s="286">
        <f>AG36/AJ36</f>
        <v/>
      </c>
      <c r="AN36" s="282">
        <f>(AL36-AM36)/AM36</f>
        <v/>
      </c>
    </row>
    <row customHeight="1" ht="15.75" r="37" s="452" spans="1:41">
      <c r="A37" s="279" t="n"/>
      <c r="B37" s="279" t="n"/>
      <c r="C37" s="280" t="n"/>
      <c r="D37" s="297" t="s">
        <v>177</v>
      </c>
      <c r="E37" s="535" t="n">
        <v>68</v>
      </c>
      <c r="F37" s="535" t="n">
        <v>225</v>
      </c>
      <c r="G37" s="282">
        <f>(E37-F37)/F37</f>
        <v/>
      </c>
      <c r="H37" s="535" t="n">
        <v>0</v>
      </c>
      <c r="I37" s="536" t="n">
        <v>5000</v>
      </c>
      <c r="J37" s="282">
        <f>(H37-I37)/I37</f>
        <v/>
      </c>
      <c r="K37" s="535">
        <f>H37*1.085</f>
        <v/>
      </c>
      <c r="L37" s="535">
        <f>I37*1.085</f>
        <v/>
      </c>
      <c r="M37" s="282">
        <f>(K37-L37)/L37</f>
        <v/>
      </c>
      <c r="N37" s="536">
        <f>E37/H37</f>
        <v/>
      </c>
      <c r="O37" s="536">
        <f>F37/I37</f>
        <v/>
      </c>
      <c r="P37" s="282">
        <f>(N37-O37)/O37</f>
        <v/>
      </c>
      <c r="Q37" s="536">
        <f>E37/K37</f>
        <v/>
      </c>
      <c r="R37" s="536">
        <f>F37/L37</f>
        <v/>
      </c>
      <c r="S37" s="282">
        <f>(Q37-R37)/R37</f>
        <v/>
      </c>
      <c r="T37" s="537" t="n">
        <v>48</v>
      </c>
      <c r="U37" s="537" t="n">
        <v>961</v>
      </c>
      <c r="V37" s="282">
        <f>(T37-U37)/U37</f>
        <v/>
      </c>
      <c r="W37" s="537" t="n">
        <v>1</v>
      </c>
      <c r="X37" s="537" t="n">
        <v>2</v>
      </c>
      <c r="Y37" s="282">
        <f>(W37-X37)/X37</f>
        <v/>
      </c>
      <c r="Z37" s="537">
        <f>E37/W37</f>
        <v/>
      </c>
      <c r="AA37" s="537">
        <f>F37/X37</f>
        <v/>
      </c>
      <c r="AB37" s="282">
        <f>(Z37-AA37)/AA37</f>
        <v/>
      </c>
      <c r="AC37" s="537" t="n">
        <v>0</v>
      </c>
      <c r="AD37" s="537" t="n">
        <v>511597</v>
      </c>
      <c r="AE37" s="282">
        <f>(AC37-AD37)/AD37</f>
        <v/>
      </c>
      <c r="AF37" s="537" t="n">
        <v>0</v>
      </c>
      <c r="AG37" s="537" t="n">
        <v>2502</v>
      </c>
      <c r="AH37">
        <f>(AF37-AG37)/AG37</f>
        <v/>
      </c>
      <c r="AI37" s="537" t="n">
        <v>0</v>
      </c>
      <c r="AJ37" s="537" t="n">
        <v>673115</v>
      </c>
      <c r="AK37" s="282">
        <f>(AI37-AJ37)/AJ37</f>
        <v/>
      </c>
      <c r="AL37" s="286">
        <f>AF37/AI37</f>
        <v/>
      </c>
      <c r="AM37" s="286">
        <f>AG37/AJ37</f>
        <v/>
      </c>
      <c r="AN37" s="282">
        <f>(AL37-AM37)/AM37</f>
        <v/>
      </c>
    </row>
    <row customHeight="1" ht="15.75" r="38" s="452" spans="1:41">
      <c r="A38" s="49" t="s">
        <v>41</v>
      </c>
      <c r="B38" s="49" t="s">
        <v>77</v>
      </c>
      <c r="C38" s="50">
        <f>C32+7</f>
        <v/>
      </c>
      <c r="D38" s="50" t="s">
        <v>60</v>
      </c>
      <c r="E38" s="566">
        <f>SUM(E39:E43)</f>
        <v/>
      </c>
      <c r="F38" s="566">
        <f>SUM(F39:F43)</f>
        <v/>
      </c>
      <c r="G38" s="52">
        <f>(E38-F38)/F38</f>
        <v/>
      </c>
      <c r="H38" s="566">
        <f>SUM(H39:H43)</f>
        <v/>
      </c>
      <c r="I38" s="566">
        <f>SUM(I39:I43)</f>
        <v/>
      </c>
      <c r="J38" s="52">
        <f>(H38-I38)/I38</f>
        <v/>
      </c>
      <c r="K38" s="566">
        <f>H38*1.085</f>
        <v/>
      </c>
      <c r="L38" s="566">
        <f>I38*1.085</f>
        <v/>
      </c>
      <c r="M38" s="52">
        <f>(K38-L38)/L38</f>
        <v/>
      </c>
      <c r="N38" s="567">
        <f>E38/H38</f>
        <v/>
      </c>
      <c r="O38" s="567">
        <f>F38/I38</f>
        <v/>
      </c>
      <c r="P38" s="52">
        <f>(N38-O38)/O38</f>
        <v/>
      </c>
      <c r="Q38" s="567">
        <f>E38/K38</f>
        <v/>
      </c>
      <c r="R38" s="567">
        <f>F38/L38</f>
        <v/>
      </c>
      <c r="S38" s="52">
        <f>(Q38-R38)/R38</f>
        <v/>
      </c>
      <c r="T38" s="568">
        <f>SUM(T39:T43)</f>
        <v/>
      </c>
      <c r="U38" s="568">
        <f>SUM(U39:U43)</f>
        <v/>
      </c>
      <c r="V38" s="52">
        <f>(T38-U38)/U38</f>
        <v/>
      </c>
      <c r="W38" s="568">
        <f>SUM(W39:W43)</f>
        <v/>
      </c>
      <c r="X38" s="568">
        <f>SUM(X39:X43)</f>
        <v/>
      </c>
      <c r="Y38" s="52">
        <f>(W38-X38)/X38</f>
        <v/>
      </c>
      <c r="Z38" s="566">
        <f>E38/W38</f>
        <v/>
      </c>
      <c r="AA38" s="568">
        <f>F38/X38</f>
        <v/>
      </c>
      <c r="AB38" s="52">
        <f>(Z38-AA38)/AA38</f>
        <v/>
      </c>
      <c r="AC38" s="568">
        <f>SUM(AC39:AC43)</f>
        <v/>
      </c>
      <c r="AD38" s="568">
        <f>SUM(AD39:AD43)</f>
        <v/>
      </c>
      <c r="AE38" s="52">
        <f>(AC38-AD38)/AD38</f>
        <v/>
      </c>
      <c r="AF38" s="568">
        <f>SUM(AF39:AF43)</f>
        <v/>
      </c>
      <c r="AG38" s="568">
        <f>SUM(AG39:AG43)</f>
        <v/>
      </c>
      <c r="AH38" s="67">
        <f>(AF38-AG38)/AG38</f>
        <v/>
      </c>
      <c r="AI38" s="568">
        <f>SUM(AI39:AI43)</f>
        <v/>
      </c>
      <c r="AJ38" s="568">
        <f>SUM(AJ39:AJ43)</f>
        <v/>
      </c>
      <c r="AK38" s="52">
        <f>(AI38-AJ38)/AJ38</f>
        <v/>
      </c>
      <c r="AL38" s="82">
        <f>AF38/AI38</f>
        <v/>
      </c>
      <c r="AM38" s="82">
        <f>AG38/AJ38</f>
        <v/>
      </c>
      <c r="AN38" s="52">
        <f>(AL38-AM38)/AM38</f>
        <v/>
      </c>
    </row>
    <row customHeight="1" ht="15.75" r="39" s="452" spans="1:41">
      <c r="A39" s="279" t="n"/>
      <c r="B39" s="279" t="n"/>
      <c r="C39" s="280" t="n"/>
      <c r="D39" s="280" t="n"/>
      <c r="E39" s="535" t="n"/>
      <c r="F39" s="535" t="n"/>
      <c r="G39" s="282">
        <f>(E39-F39)/F39</f>
        <v/>
      </c>
      <c r="H39" s="535" t="n"/>
      <c r="I39" s="536" t="n"/>
      <c r="J39" s="282">
        <f>(H39-I39)/I39</f>
        <v/>
      </c>
      <c r="K39" s="535">
        <f>H39*1.085</f>
        <v/>
      </c>
      <c r="L39" s="535">
        <f>I39*1.085</f>
        <v/>
      </c>
      <c r="M39" s="282">
        <f>(K39-L39)/L39</f>
        <v/>
      </c>
      <c r="N39" s="536">
        <f>E39/H39</f>
        <v/>
      </c>
      <c r="O39" s="536">
        <f>F39/I39</f>
        <v/>
      </c>
      <c r="P39" s="282">
        <f>(N39-O39)/O39</f>
        <v/>
      </c>
      <c r="Q39" s="536">
        <f>E39/K39</f>
        <v/>
      </c>
      <c r="R39" s="536">
        <f>F39/L39</f>
        <v/>
      </c>
      <c r="S39" s="282">
        <f>(Q39-R39)/R39</f>
        <v/>
      </c>
      <c r="T39" s="537" t="n"/>
      <c r="U39" s="537" t="n"/>
      <c r="V39" s="282">
        <f>(T39-U39)/U39</f>
        <v/>
      </c>
      <c r="W39" s="537" t="n"/>
      <c r="X39" s="537" t="n"/>
      <c r="Y39" s="282">
        <f>(W39-X39)/X39</f>
        <v/>
      </c>
      <c r="Z39" s="537">
        <f>E39/W39</f>
        <v/>
      </c>
      <c r="AA39" s="537">
        <f>F39/X39</f>
        <v/>
      </c>
      <c r="AB39" s="282">
        <f>(Z39-AA39)/AA39</f>
        <v/>
      </c>
      <c r="AC39" s="537" t="n"/>
      <c r="AD39" s="537" t="n"/>
      <c r="AE39" s="282">
        <f>(AC39-AD39)/AD39</f>
        <v/>
      </c>
      <c r="AF39" s="537" t="n"/>
      <c r="AG39" s="537" t="n"/>
      <c r="AH39">
        <f>(AF39-AG39)/AG39</f>
        <v/>
      </c>
      <c r="AI39" s="537" t="n"/>
      <c r="AJ39" s="537" t="n"/>
      <c r="AK39" s="282">
        <f>(AI39-AJ39)/AJ39</f>
        <v/>
      </c>
      <c r="AL39" s="286">
        <f>AF39/AI39</f>
        <v/>
      </c>
      <c r="AM39" s="286">
        <f>AG39/AJ39</f>
        <v/>
      </c>
      <c r="AN39" s="282">
        <f>(AL39-AM39)/AM39</f>
        <v/>
      </c>
    </row>
    <row customHeight="1" ht="15.75" r="40" s="452" spans="1:41">
      <c r="A40" s="279" t="n"/>
      <c r="B40" s="279" t="n"/>
      <c r="C40" s="280" t="n"/>
      <c r="D40" s="280" t="n"/>
      <c r="E40" s="535" t="n"/>
      <c r="F40" s="535" t="n"/>
      <c r="G40" s="282">
        <f>(E40-F40)/F40</f>
        <v/>
      </c>
      <c r="H40" s="535" t="n"/>
      <c r="I40" s="536" t="n"/>
      <c r="J40" s="282">
        <f>(H40-I40)/I40</f>
        <v/>
      </c>
      <c r="K40" s="535">
        <f>H40*1.085</f>
        <v/>
      </c>
      <c r="L40" s="535">
        <f>I40*1.085</f>
        <v/>
      </c>
      <c r="M40" s="282">
        <f>(K40-L40)/L40</f>
        <v/>
      </c>
      <c r="N40" s="536">
        <f>E40/H40</f>
        <v/>
      </c>
      <c r="O40" s="536">
        <f>F40/I40</f>
        <v/>
      </c>
      <c r="P40" s="282">
        <f>(N40-O40)/O40</f>
        <v/>
      </c>
      <c r="Q40" s="536">
        <f>E40/K40</f>
        <v/>
      </c>
      <c r="R40" s="536">
        <f>F40/L40</f>
        <v/>
      </c>
      <c r="S40" s="282">
        <f>(Q40-R40)/R40</f>
        <v/>
      </c>
      <c r="T40" s="537" t="n"/>
      <c r="U40" s="537" t="n"/>
      <c r="V40" s="282">
        <f>(T40-U40)/U40</f>
        <v/>
      </c>
      <c r="W40" s="537" t="n"/>
      <c r="X40" s="537" t="n"/>
      <c r="Y40" s="282">
        <f>(W40-X40)/X40</f>
        <v/>
      </c>
      <c r="Z40" s="537">
        <f>E40/W40</f>
        <v/>
      </c>
      <c r="AA40" s="537">
        <f>F40/X40</f>
        <v/>
      </c>
      <c r="AB40" s="282">
        <f>(Z40-AA40)/AA40</f>
        <v/>
      </c>
      <c r="AC40" s="537" t="n"/>
      <c r="AD40" s="537" t="n"/>
      <c r="AE40" s="282">
        <f>(AC40-AD40)/AD40</f>
        <v/>
      </c>
      <c r="AF40" s="537" t="n"/>
      <c r="AG40" s="537" t="n"/>
      <c r="AH40">
        <f>(AF40-AG40)/AG40</f>
        <v/>
      </c>
      <c r="AI40" s="537" t="n"/>
      <c r="AJ40" s="537" t="n"/>
      <c r="AK40" s="282">
        <f>(AI40-AJ40)/AJ40</f>
        <v/>
      </c>
      <c r="AL40" s="286">
        <f>AF40/AI40</f>
        <v/>
      </c>
      <c r="AM40" s="286">
        <f>AG40/AJ40</f>
        <v/>
      </c>
      <c r="AN40" s="282">
        <f>(AL40-AM40)/AM40</f>
        <v/>
      </c>
    </row>
    <row customHeight="1" ht="15.75" r="41" s="452" spans="1:41">
      <c r="A41" s="279" t="n"/>
      <c r="B41" s="279" t="n"/>
      <c r="C41" s="280" t="n"/>
      <c r="D41" s="280" t="n"/>
      <c r="E41" s="535" t="n"/>
      <c r="F41" s="535" t="n"/>
      <c r="G41" s="282">
        <f>(E41-F41)/F41</f>
        <v/>
      </c>
      <c r="H41" s="535" t="n"/>
      <c r="I41" s="536" t="n"/>
      <c r="J41" s="282">
        <f>(H41-I41)/I41</f>
        <v/>
      </c>
      <c r="K41" s="535">
        <f>H41*1.085</f>
        <v/>
      </c>
      <c r="L41" s="535">
        <f>I41*1.085</f>
        <v/>
      </c>
      <c r="M41" s="282">
        <f>(K41-L41)/L41</f>
        <v/>
      </c>
      <c r="N41" s="536">
        <f>E41/H41</f>
        <v/>
      </c>
      <c r="O41" s="536">
        <f>F41/I41</f>
        <v/>
      </c>
      <c r="P41" s="282">
        <f>(N41-O41)/O41</f>
        <v/>
      </c>
      <c r="Q41" s="536">
        <f>E41/K41</f>
        <v/>
      </c>
      <c r="R41" s="536">
        <f>F41/L41</f>
        <v/>
      </c>
      <c r="S41" s="282">
        <f>(Q41-R41)/R41</f>
        <v/>
      </c>
      <c r="T41" s="537" t="n"/>
      <c r="U41" s="537" t="n"/>
      <c r="V41" s="282">
        <f>(T41-U41)/U41</f>
        <v/>
      </c>
      <c r="W41" s="537" t="n"/>
      <c r="X41" s="537" t="n"/>
      <c r="Y41" s="282">
        <f>(W41-X41)/X41</f>
        <v/>
      </c>
      <c r="Z41" s="537">
        <f>E41/W41</f>
        <v/>
      </c>
      <c r="AA41" s="537">
        <f>F41/X41</f>
        <v/>
      </c>
      <c r="AB41" s="282">
        <f>(Z41-AA41)/AA41</f>
        <v/>
      </c>
      <c r="AC41" s="537" t="n"/>
      <c r="AD41" s="537" t="n"/>
      <c r="AE41" s="282">
        <f>(AC41-AD41)/AD41</f>
        <v/>
      </c>
      <c r="AF41" s="537" t="n"/>
      <c r="AG41" s="537" t="n"/>
      <c r="AH41">
        <f>(AF41-AG41)/AG41</f>
        <v/>
      </c>
      <c r="AI41" s="537" t="n"/>
      <c r="AJ41" s="537" t="n"/>
      <c r="AK41" s="282">
        <f>(AI41-AJ41)/AJ41</f>
        <v/>
      </c>
      <c r="AL41" s="286">
        <f>AF41/AI41</f>
        <v/>
      </c>
      <c r="AM41" s="286">
        <f>AG41/AJ41</f>
        <v/>
      </c>
      <c r="AN41" s="282">
        <f>(AL41-AM41)/AM41</f>
        <v/>
      </c>
    </row>
    <row customHeight="1" ht="15.75" r="42" s="452" spans="1:41">
      <c r="A42" s="279" t="n"/>
      <c r="B42" s="279" t="n"/>
      <c r="C42" s="280" t="n"/>
      <c r="D42" s="280" t="n"/>
      <c r="E42" s="535" t="n"/>
      <c r="F42" s="535" t="n"/>
      <c r="G42" s="282">
        <f>(E42-F42)/F42</f>
        <v/>
      </c>
      <c r="H42" s="535" t="n"/>
      <c r="I42" s="536" t="n"/>
      <c r="J42" s="282">
        <f>(H42-I42)/I42</f>
        <v/>
      </c>
      <c r="K42" s="535">
        <f>H42*1.085</f>
        <v/>
      </c>
      <c r="L42" s="535">
        <f>I42*1.085</f>
        <v/>
      </c>
      <c r="M42" s="282">
        <f>(K42-L42)/L42</f>
        <v/>
      </c>
      <c r="N42" s="536">
        <f>E42/H42</f>
        <v/>
      </c>
      <c r="O42" s="536">
        <f>F42/I42</f>
        <v/>
      </c>
      <c r="P42" s="282">
        <f>(N42-O42)/O42</f>
        <v/>
      </c>
      <c r="Q42" s="536">
        <f>E42/K42</f>
        <v/>
      </c>
      <c r="R42" s="536">
        <f>F42/L42</f>
        <v/>
      </c>
      <c r="S42" s="282">
        <f>(Q42-R42)/R42</f>
        <v/>
      </c>
      <c r="T42" s="537" t="n"/>
      <c r="U42" s="537" t="n"/>
      <c r="V42" s="282">
        <f>(T42-U42)/U42</f>
        <v/>
      </c>
      <c r="W42" s="537" t="n"/>
      <c r="X42" s="537" t="n"/>
      <c r="Y42" s="282">
        <f>(W42-X42)/X42</f>
        <v/>
      </c>
      <c r="Z42" s="537">
        <f>E42/W42</f>
        <v/>
      </c>
      <c r="AA42" s="537">
        <f>F42/X42</f>
        <v/>
      </c>
      <c r="AB42" s="282">
        <f>(Z42-AA42)/AA42</f>
        <v/>
      </c>
      <c r="AC42" s="537" t="n"/>
      <c r="AD42" s="537" t="n"/>
      <c r="AE42" s="282">
        <f>(AC42-AD42)/AD42</f>
        <v/>
      </c>
      <c r="AF42" s="537" t="n"/>
      <c r="AG42" s="537" t="n"/>
      <c r="AH42">
        <f>(AF42-AG42)/AG42</f>
        <v/>
      </c>
      <c r="AI42" s="537" t="n"/>
      <c r="AJ42" s="537" t="n"/>
      <c r="AK42" s="282">
        <f>(AI42-AJ42)/AJ42</f>
        <v/>
      </c>
      <c r="AL42" s="286">
        <f>AF42/AI42</f>
        <v/>
      </c>
      <c r="AM42" s="286">
        <f>AG42/AJ42</f>
        <v/>
      </c>
      <c r="AN42" s="282">
        <f>(AL42-AM42)/AM42</f>
        <v/>
      </c>
    </row>
    <row customHeight="1" ht="15.75" r="43" s="452" spans="1:41">
      <c r="A43" s="279" t="n"/>
      <c r="B43" s="279" t="n"/>
      <c r="C43" s="280" t="n"/>
      <c r="D43" s="297" t="s">
        <v>177</v>
      </c>
      <c r="E43" s="535" t="n">
        <v>354</v>
      </c>
      <c r="F43" s="535" t="n">
        <v>0</v>
      </c>
      <c r="G43" s="282">
        <f>(E43-F43)/F43</f>
        <v/>
      </c>
      <c r="H43" s="535" t="n">
        <v>0</v>
      </c>
      <c r="I43" s="536" t="n">
        <v>0</v>
      </c>
      <c r="J43" s="282">
        <f>(H43-I43)/I43</f>
        <v/>
      </c>
      <c r="K43" s="535">
        <f>H43*1.085</f>
        <v/>
      </c>
      <c r="L43" s="535">
        <f>I43*1.085</f>
        <v/>
      </c>
      <c r="M43" s="282">
        <f>(K43-L43)/L43</f>
        <v/>
      </c>
      <c r="N43" s="536">
        <f>E43/H43</f>
        <v/>
      </c>
      <c r="O43" s="536">
        <f>F43/I43</f>
        <v/>
      </c>
      <c r="P43" s="282">
        <f>(N43-O43)/O43</f>
        <v/>
      </c>
      <c r="Q43" s="536">
        <f>E43/K43</f>
        <v/>
      </c>
      <c r="R43" s="536">
        <f>F43/L43</f>
        <v/>
      </c>
      <c r="S43" s="282">
        <f>(Q43-R43)/R43</f>
        <v/>
      </c>
      <c r="T43" s="537" t="n">
        <v>43</v>
      </c>
      <c r="U43" s="537" t="n">
        <v>31</v>
      </c>
      <c r="V43" s="282">
        <f>(T43-U43)/U43</f>
        <v/>
      </c>
      <c r="W43" s="537" t="n">
        <v>2</v>
      </c>
      <c r="X43" s="537" t="n">
        <v>0</v>
      </c>
      <c r="Y43" s="282">
        <f>(W43-X43)/X43</f>
        <v/>
      </c>
      <c r="Z43" s="537">
        <f>E43/W43</f>
        <v/>
      </c>
      <c r="AA43" s="537">
        <f>F43/X43</f>
        <v/>
      </c>
      <c r="AB43" s="282">
        <f>(Z43-AA43)/AA43</f>
        <v/>
      </c>
      <c r="AC43" s="537" t="n">
        <v>0</v>
      </c>
      <c r="AD43" s="537" t="n">
        <v>0</v>
      </c>
      <c r="AE43" s="282">
        <f>(AC43-AD43)/AD43</f>
        <v/>
      </c>
      <c r="AF43" s="537" t="n">
        <v>0</v>
      </c>
      <c r="AG43" s="537" t="n">
        <v>0</v>
      </c>
      <c r="AH43">
        <f>(AF43-AG43)/AG43</f>
        <v/>
      </c>
      <c r="AI43" s="537" t="n">
        <v>0</v>
      </c>
      <c r="AJ43" s="537" t="n">
        <v>0</v>
      </c>
      <c r="AK43" s="282">
        <f>(AI43-AJ43)/AJ43</f>
        <v/>
      </c>
      <c r="AL43" s="286">
        <f>AF43/AI43</f>
        <v/>
      </c>
      <c r="AM43" s="286">
        <f>AG43/AJ43</f>
        <v/>
      </c>
      <c r="AN43" s="282">
        <f>(AL43-AM43)/AM43</f>
        <v/>
      </c>
    </row>
    <row customHeight="1" ht="15.75" r="44" s="452" spans="1:41">
      <c r="A44" s="49" t="s">
        <v>41</v>
      </c>
      <c r="B44" s="49" t="s">
        <v>79</v>
      </c>
      <c r="C44" s="50">
        <f>C38+7</f>
        <v/>
      </c>
      <c r="D44" s="50" t="s">
        <v>60</v>
      </c>
      <c r="E44" s="566">
        <f>SUM(E45:E49)</f>
        <v/>
      </c>
      <c r="F44" s="566">
        <f>SUM(F45:F49)</f>
        <v/>
      </c>
      <c r="G44" s="52">
        <f>(E44-F44)/F44</f>
        <v/>
      </c>
      <c r="H44" s="566">
        <f>SUM(H45:H49)</f>
        <v/>
      </c>
      <c r="I44" s="566">
        <f>SUM(I45:I49)</f>
        <v/>
      </c>
      <c r="J44" s="52">
        <f>(H44-I44)/I44</f>
        <v/>
      </c>
      <c r="K44" s="566">
        <f>H44*1.085</f>
        <v/>
      </c>
      <c r="L44" s="566">
        <f>I44*1.085</f>
        <v/>
      </c>
      <c r="M44" s="52">
        <f>(K44-L44)/L44</f>
        <v/>
      </c>
      <c r="N44" s="567">
        <f>E44/H44</f>
        <v/>
      </c>
      <c r="O44" s="567">
        <f>F44/I44</f>
        <v/>
      </c>
      <c r="P44" s="52">
        <f>(N44-O44)/O44</f>
        <v/>
      </c>
      <c r="Q44" s="567">
        <f>E44/K44</f>
        <v/>
      </c>
      <c r="R44" s="567">
        <f>F44/L44</f>
        <v/>
      </c>
      <c r="S44" s="52">
        <f>(Q44-R44)/R44</f>
        <v/>
      </c>
      <c r="T44" s="568">
        <f>SUM(T45:T49)</f>
        <v/>
      </c>
      <c r="U44" s="568">
        <f>SUM(U45:U49)</f>
        <v/>
      </c>
      <c r="V44" s="52">
        <f>(T44-U44)/U44</f>
        <v/>
      </c>
      <c r="W44" s="568">
        <f>SUM(W45:W49)</f>
        <v/>
      </c>
      <c r="X44" s="568">
        <f>SUM(X45:X49)</f>
        <v/>
      </c>
      <c r="Y44" s="52">
        <f>(W44-X44)/X44</f>
        <v/>
      </c>
      <c r="Z44" s="566">
        <f>E44/W44</f>
        <v/>
      </c>
      <c r="AA44" s="568">
        <f>F44/X44</f>
        <v/>
      </c>
      <c r="AB44" s="52">
        <f>(Z44-AA44)/AA44</f>
        <v/>
      </c>
      <c r="AC44" s="568">
        <f>SUM(AC45:AC49)</f>
        <v/>
      </c>
      <c r="AD44" s="568">
        <f>SUM(AD45:AD49)</f>
        <v/>
      </c>
      <c r="AE44" s="52">
        <f>(AC44-AD44)/AD44</f>
        <v/>
      </c>
      <c r="AF44" s="568">
        <f>SUM(AF45:AF49)</f>
        <v/>
      </c>
      <c r="AG44" s="568">
        <f>SUM(AG45:AG49)</f>
        <v/>
      </c>
      <c r="AH44" s="67">
        <f>(AF44-AG44)/AG44</f>
        <v/>
      </c>
      <c r="AI44" s="568">
        <f>SUM(AI45:AI49)</f>
        <v/>
      </c>
      <c r="AJ44" s="568">
        <f>SUM(AJ45:AJ49)</f>
        <v/>
      </c>
      <c r="AK44" s="52">
        <f>(AI44-AJ44)/AJ44</f>
        <v/>
      </c>
      <c r="AL44" s="82">
        <f>AF44/AI44</f>
        <v/>
      </c>
      <c r="AM44" s="82">
        <f>AG44/AJ44</f>
        <v/>
      </c>
      <c r="AN44" s="52">
        <f>(AL44-AM44)/AM44</f>
        <v/>
      </c>
    </row>
    <row customHeight="1" ht="15.75" r="45" s="452" spans="1:41">
      <c r="A45" s="279" t="n"/>
      <c r="B45" s="279" t="n"/>
      <c r="C45" s="280" t="n"/>
      <c r="D45" s="280" t="n"/>
      <c r="E45" s="535" t="n"/>
      <c r="F45" s="535" t="n"/>
      <c r="G45" s="282">
        <f>(E45-F45)/F45</f>
        <v/>
      </c>
      <c r="H45" s="535" t="n"/>
      <c r="I45" s="536" t="n"/>
      <c r="J45" s="282">
        <f>(H45-I45)/I45</f>
        <v/>
      </c>
      <c r="K45" s="535">
        <f>H45*1.085</f>
        <v/>
      </c>
      <c r="L45" s="535">
        <f>I45*1.085</f>
        <v/>
      </c>
      <c r="M45" s="282">
        <f>(K45-L45)/L45</f>
        <v/>
      </c>
      <c r="N45" s="536">
        <f>E45/H45</f>
        <v/>
      </c>
      <c r="O45" s="536">
        <f>F45/I45</f>
        <v/>
      </c>
      <c r="P45" s="282">
        <f>(N45-O45)/O45</f>
        <v/>
      </c>
      <c r="Q45" s="536">
        <f>E45/K45</f>
        <v/>
      </c>
      <c r="R45" s="536">
        <f>F45/L45</f>
        <v/>
      </c>
      <c r="S45" s="282">
        <f>(Q45-R45)/R45</f>
        <v/>
      </c>
      <c r="T45" s="537" t="n"/>
      <c r="U45" s="537" t="n"/>
      <c r="V45" s="282">
        <f>(T45-U45)/U45</f>
        <v/>
      </c>
      <c r="W45" s="537" t="n"/>
      <c r="X45" s="537" t="n"/>
      <c r="Y45" s="282">
        <f>(W45-X45)/X45</f>
        <v/>
      </c>
      <c r="Z45" s="537">
        <f>E45/W45</f>
        <v/>
      </c>
      <c r="AA45" s="537">
        <f>F45/X45</f>
        <v/>
      </c>
      <c r="AB45" s="282">
        <f>(Z45-AA45)/AA45</f>
        <v/>
      </c>
      <c r="AC45" s="537" t="n"/>
      <c r="AD45" s="537" t="n"/>
      <c r="AE45" s="282">
        <f>(AC45-AD45)/AD45</f>
        <v/>
      </c>
      <c r="AF45" s="537" t="n"/>
      <c r="AG45" s="537" t="n"/>
      <c r="AH45">
        <f>(AF45-AG45)/AG45</f>
        <v/>
      </c>
      <c r="AI45" s="537" t="n"/>
      <c r="AJ45" s="537" t="n"/>
      <c r="AK45" s="282">
        <f>(AI45-AJ45)/AJ45</f>
        <v/>
      </c>
      <c r="AL45" s="286">
        <f>AF45/AI45</f>
        <v/>
      </c>
      <c r="AM45" s="286">
        <f>AG45/AJ45</f>
        <v/>
      </c>
      <c r="AN45" s="282">
        <f>(AL45-AM45)/AM45</f>
        <v/>
      </c>
    </row>
    <row customHeight="1" ht="15.75" r="46" s="452" spans="1:41">
      <c r="A46" s="279" t="n"/>
      <c r="B46" s="279" t="n"/>
      <c r="C46" s="280" t="n"/>
      <c r="D46" s="280" t="n"/>
      <c r="E46" s="535" t="n"/>
      <c r="F46" s="535" t="n"/>
      <c r="G46" s="282">
        <f>(E46-F46)/F46</f>
        <v/>
      </c>
      <c r="H46" s="535" t="n"/>
      <c r="I46" s="536" t="n"/>
      <c r="J46" s="282">
        <f>(H46-I46)/I46</f>
        <v/>
      </c>
      <c r="K46" s="535">
        <f>H46*1.085</f>
        <v/>
      </c>
      <c r="L46" s="535">
        <f>I46*1.085</f>
        <v/>
      </c>
      <c r="M46" s="282">
        <f>(K46-L46)/L46</f>
        <v/>
      </c>
      <c r="N46" s="536">
        <f>E46/H46</f>
        <v/>
      </c>
      <c r="O46" s="536">
        <f>F46/I46</f>
        <v/>
      </c>
      <c r="P46" s="282">
        <f>(N46-O46)/O46</f>
        <v/>
      </c>
      <c r="Q46" s="536">
        <f>E46/K46</f>
        <v/>
      </c>
      <c r="R46" s="536">
        <f>F46/L46</f>
        <v/>
      </c>
      <c r="S46" s="282">
        <f>(Q46-R46)/R46</f>
        <v/>
      </c>
      <c r="T46" s="537" t="n"/>
      <c r="U46" s="537" t="n"/>
      <c r="V46" s="282">
        <f>(T46-U46)/U46</f>
        <v/>
      </c>
      <c r="W46" s="537" t="n"/>
      <c r="X46" s="537" t="n"/>
      <c r="Y46" s="282">
        <f>(W46-X46)/X46</f>
        <v/>
      </c>
      <c r="Z46" s="537">
        <f>E46/W46</f>
        <v/>
      </c>
      <c r="AA46" s="537">
        <f>F46/X46</f>
        <v/>
      </c>
      <c r="AB46" s="282">
        <f>(Z46-AA46)/AA46</f>
        <v/>
      </c>
      <c r="AC46" s="537" t="n"/>
      <c r="AD46" s="537" t="n"/>
      <c r="AE46" s="282">
        <f>(AC46-AD46)/AD46</f>
        <v/>
      </c>
      <c r="AF46" s="537" t="n"/>
      <c r="AG46" s="537" t="n"/>
      <c r="AH46">
        <f>(AF46-AG46)/AG46</f>
        <v/>
      </c>
      <c r="AI46" s="537" t="n"/>
      <c r="AJ46" s="537" t="n"/>
      <c r="AK46" s="282">
        <f>(AI46-AJ46)/AJ46</f>
        <v/>
      </c>
      <c r="AL46" s="286">
        <f>AF46/AI46</f>
        <v/>
      </c>
      <c r="AM46" s="286">
        <f>AG46/AJ46</f>
        <v/>
      </c>
      <c r="AN46" s="282">
        <f>(AL46-AM46)/AM46</f>
        <v/>
      </c>
    </row>
    <row customHeight="1" ht="15.75" r="47" s="452" spans="1:41">
      <c r="A47" s="279" t="n"/>
      <c r="B47" s="279" t="n"/>
      <c r="C47" s="280" t="n"/>
      <c r="D47" s="280" t="n"/>
      <c r="E47" s="535" t="n"/>
      <c r="F47" s="535" t="n"/>
      <c r="G47" s="282">
        <f>(E47-F47)/F47</f>
        <v/>
      </c>
      <c r="H47" s="535" t="n"/>
      <c r="I47" s="536" t="n"/>
      <c r="J47" s="282">
        <f>(H47-I47)/I47</f>
        <v/>
      </c>
      <c r="K47" s="535">
        <f>H47*1.085</f>
        <v/>
      </c>
      <c r="L47" s="535">
        <f>I47*1.085</f>
        <v/>
      </c>
      <c r="M47" s="282">
        <f>(K47-L47)/L47</f>
        <v/>
      </c>
      <c r="N47" s="536">
        <f>E47/H47</f>
        <v/>
      </c>
      <c r="O47" s="536">
        <f>F47/I47</f>
        <v/>
      </c>
      <c r="P47" s="282">
        <f>(N47-O47)/O47</f>
        <v/>
      </c>
      <c r="Q47" s="536">
        <f>E47/K47</f>
        <v/>
      </c>
      <c r="R47" s="536">
        <f>F47/L47</f>
        <v/>
      </c>
      <c r="S47" s="282">
        <f>(Q47-R47)/R47</f>
        <v/>
      </c>
      <c r="T47" s="537" t="n"/>
      <c r="U47" s="537" t="n"/>
      <c r="V47" s="282">
        <f>(T47-U47)/U47</f>
        <v/>
      </c>
      <c r="W47" s="537" t="n"/>
      <c r="X47" s="537" t="n"/>
      <c r="Y47" s="282">
        <f>(W47-X47)/X47</f>
        <v/>
      </c>
      <c r="Z47" s="537">
        <f>E47/W47</f>
        <v/>
      </c>
      <c r="AA47" s="537">
        <f>F47/X47</f>
        <v/>
      </c>
      <c r="AB47" s="282">
        <f>(Z47-AA47)/AA47</f>
        <v/>
      </c>
      <c r="AC47" s="537" t="n"/>
      <c r="AD47" s="537" t="n"/>
      <c r="AE47" s="282">
        <f>(AC47-AD47)/AD47</f>
        <v/>
      </c>
      <c r="AF47" s="537" t="n"/>
      <c r="AG47" s="537" t="n"/>
      <c r="AH47">
        <f>(AF47-AG47)/AG47</f>
        <v/>
      </c>
      <c r="AI47" s="537" t="n"/>
      <c r="AJ47" s="537" t="n"/>
      <c r="AK47" s="282">
        <f>(AI47-AJ47)/AJ47</f>
        <v/>
      </c>
      <c r="AL47" s="286">
        <f>AF47/AI47</f>
        <v/>
      </c>
      <c r="AM47" s="286">
        <f>AG47/AJ47</f>
        <v/>
      </c>
      <c r="AN47" s="282">
        <f>(AL47-AM47)/AM47</f>
        <v/>
      </c>
    </row>
    <row customHeight="1" ht="15.75" r="48" s="452" spans="1:41">
      <c r="A48" s="279" t="n"/>
      <c r="B48" s="279" t="n"/>
      <c r="C48" s="280" t="n"/>
      <c r="D48" s="280" t="n"/>
      <c r="E48" s="535" t="n"/>
      <c r="F48" s="535" t="n"/>
      <c r="G48" s="282">
        <f>(E48-F48)/F48</f>
        <v/>
      </c>
      <c r="H48" s="535" t="n"/>
      <c r="I48" s="536" t="n"/>
      <c r="J48" s="282">
        <f>(H48-I48)/I48</f>
        <v/>
      </c>
      <c r="K48" s="535">
        <f>H48*1.085</f>
        <v/>
      </c>
      <c r="L48" s="535">
        <f>I48*1.085</f>
        <v/>
      </c>
      <c r="M48" s="282">
        <f>(K48-L48)/L48</f>
        <v/>
      </c>
      <c r="N48" s="536">
        <f>E48/H48</f>
        <v/>
      </c>
      <c r="O48" s="536">
        <f>F48/I48</f>
        <v/>
      </c>
      <c r="P48" s="282">
        <f>(N48-O48)/O48</f>
        <v/>
      </c>
      <c r="Q48" s="536">
        <f>E48/K48</f>
        <v/>
      </c>
      <c r="R48" s="536">
        <f>F48/L48</f>
        <v/>
      </c>
      <c r="S48" s="282">
        <f>(Q48-R48)/R48</f>
        <v/>
      </c>
      <c r="T48" s="537" t="n"/>
      <c r="U48" s="537" t="n"/>
      <c r="V48" s="282">
        <f>(T48-U48)/U48</f>
        <v/>
      </c>
      <c r="W48" s="537" t="n"/>
      <c r="X48" s="537" t="n"/>
      <c r="Y48" s="282">
        <f>(W48-X48)/X48</f>
        <v/>
      </c>
      <c r="Z48" s="537">
        <f>E48/W48</f>
        <v/>
      </c>
      <c r="AA48" s="537">
        <f>F48/X48</f>
        <v/>
      </c>
      <c r="AB48" s="282">
        <f>(Z48-AA48)/AA48</f>
        <v/>
      </c>
      <c r="AC48" s="537" t="n"/>
      <c r="AD48" s="537" t="n"/>
      <c r="AE48" s="282">
        <f>(AC48-AD48)/AD48</f>
        <v/>
      </c>
      <c r="AF48" s="537" t="n"/>
      <c r="AG48" s="537" t="n"/>
      <c r="AH48">
        <f>(AF48-AG48)/AG48</f>
        <v/>
      </c>
      <c r="AI48" s="537" t="n"/>
      <c r="AJ48" s="537" t="n"/>
      <c r="AK48" s="282">
        <f>(AI48-AJ48)/AJ48</f>
        <v/>
      </c>
      <c r="AL48" s="286">
        <f>AF48/AI48</f>
        <v/>
      </c>
      <c r="AM48" s="286">
        <f>AG48/AJ48</f>
        <v/>
      </c>
      <c r="AN48" s="282">
        <f>(AL48-AM48)/AM48</f>
        <v/>
      </c>
    </row>
    <row customFormat="1" customHeight="1" ht="15.75" r="49" s="357" spans="1:41">
      <c r="A49" s="347" t="n"/>
      <c r="B49" s="347" t="n"/>
      <c r="C49" s="348" t="n"/>
      <c r="D49" s="349" t="s">
        <v>177</v>
      </c>
      <c r="E49" s="612" t="n">
        <v>0</v>
      </c>
      <c r="F49" s="612" t="n"/>
      <c r="G49" s="351">
        <f>(E49-F49)/F49</f>
        <v/>
      </c>
      <c r="H49" s="612" t="n">
        <v>0</v>
      </c>
      <c r="I49" s="613" t="n"/>
      <c r="J49" s="351">
        <f>(H49-I49)/I49</f>
        <v/>
      </c>
      <c r="K49" s="612">
        <f>H49*1.085</f>
        <v/>
      </c>
      <c r="L49" s="612">
        <f>I49*1.085</f>
        <v/>
      </c>
      <c r="M49" s="351">
        <f>(K49-L49)/L49</f>
        <v/>
      </c>
      <c r="N49" s="613">
        <f>E49/H49</f>
        <v/>
      </c>
      <c r="O49" s="613">
        <f>F49/I49</f>
        <v/>
      </c>
      <c r="P49" s="351">
        <f>(N49-O49)/O49</f>
        <v/>
      </c>
      <c r="Q49" s="613">
        <f>E49/K49</f>
        <v/>
      </c>
      <c r="R49" s="613">
        <f>F49/L49</f>
        <v/>
      </c>
      <c r="S49" s="351">
        <f>(Q49-R49)/R49</f>
        <v/>
      </c>
      <c r="T49" s="614" t="n">
        <v>14</v>
      </c>
      <c r="U49" s="614" t="n">
        <v>5</v>
      </c>
      <c r="V49" s="351">
        <f>(T49-U49)/U49</f>
        <v/>
      </c>
      <c r="W49" s="614" t="n">
        <v>0</v>
      </c>
      <c r="X49" s="614" t="n"/>
      <c r="Y49" s="351">
        <f>(W49-X49)/X49</f>
        <v/>
      </c>
      <c r="Z49" s="614">
        <f>E49/W49</f>
        <v/>
      </c>
      <c r="AA49" s="614">
        <f>F49/X49</f>
        <v/>
      </c>
      <c r="AB49" s="351">
        <f>(Z49-AA49)/AA49</f>
        <v/>
      </c>
      <c r="AC49" s="614" t="n">
        <v>0</v>
      </c>
      <c r="AD49" s="614" t="n"/>
      <c r="AE49" s="351">
        <f>(AC49-AD49)/AD49</f>
        <v/>
      </c>
      <c r="AF49" s="614" t="n">
        <v>0</v>
      </c>
      <c r="AG49" s="614" t="n"/>
      <c r="AH49" s="357">
        <f>(AF49-AG49)/AG49</f>
        <v/>
      </c>
      <c r="AI49" s="614" t="n">
        <v>0</v>
      </c>
      <c r="AJ49" s="614" t="n"/>
      <c r="AK49" s="351">
        <f>(AI49-AJ49)/AJ49</f>
        <v/>
      </c>
      <c r="AL49" s="356">
        <f>AF49/AI49</f>
        <v/>
      </c>
      <c r="AM49" s="356">
        <f>AG49/AJ49</f>
        <v/>
      </c>
      <c r="AN49" s="351">
        <f>(AL49-AM49)/AM49</f>
        <v/>
      </c>
      <c r="AO49" s="357" t="n"/>
    </row>
    <row customHeight="1" ht="15.75" r="50" s="452" spans="1:41">
      <c r="A50" s="49" t="s">
        <v>42</v>
      </c>
      <c r="B50" s="49" t="s">
        <v>80</v>
      </c>
      <c r="C50" s="50">
        <f>C44+7</f>
        <v/>
      </c>
      <c r="D50" s="50" t="s">
        <v>60</v>
      </c>
      <c r="E50" s="566">
        <f>SUM(E51:E55)</f>
        <v/>
      </c>
      <c r="F50" s="566">
        <f>SUM(F51:F55)</f>
        <v/>
      </c>
      <c r="G50" s="52">
        <f>(E50-F50)/F50</f>
        <v/>
      </c>
      <c r="H50" s="566">
        <f>SUM(H51:H55)</f>
        <v/>
      </c>
      <c r="I50" s="566">
        <f>SUM(I51:I55)</f>
        <v/>
      </c>
      <c r="J50" s="52">
        <f>(H50-I50)/I50</f>
        <v/>
      </c>
      <c r="K50" s="566">
        <f>H50*1.085</f>
        <v/>
      </c>
      <c r="L50" s="566">
        <f>I50*1.085</f>
        <v/>
      </c>
      <c r="M50" s="52">
        <f>(K50-L50)/L50</f>
        <v/>
      </c>
      <c r="N50" s="567">
        <f>E50/H50</f>
        <v/>
      </c>
      <c r="O50" s="567">
        <f>F50/I50</f>
        <v/>
      </c>
      <c r="P50" s="52">
        <f>(N50-O50)/O50</f>
        <v/>
      </c>
      <c r="Q50" s="567">
        <f>E50/K50</f>
        <v/>
      </c>
      <c r="R50" s="567">
        <f>F50/L50</f>
        <v/>
      </c>
      <c r="S50" s="52">
        <f>(Q50-R50)/R50</f>
        <v/>
      </c>
      <c r="T50" s="568">
        <f>SUM(T51:T55)</f>
        <v/>
      </c>
      <c r="U50" s="568">
        <f>SUM(U51:U55)</f>
        <v/>
      </c>
      <c r="V50" s="52">
        <f>(T50-U50)/U50</f>
        <v/>
      </c>
      <c r="W50" s="568">
        <f>SUM(W51:W55)</f>
        <v/>
      </c>
      <c r="X50" s="568">
        <f>SUM(X51:X55)</f>
        <v/>
      </c>
      <c r="Y50" s="52">
        <f>(W50-X50)/X50</f>
        <v/>
      </c>
      <c r="Z50" s="566">
        <f>E50/W50</f>
        <v/>
      </c>
      <c r="AA50" s="568">
        <f>F50/X50</f>
        <v/>
      </c>
      <c r="AB50" s="52">
        <f>(Z50-AA50)/AA50</f>
        <v/>
      </c>
      <c r="AC50" s="568">
        <f>SUM(AC51:AC55)</f>
        <v/>
      </c>
      <c r="AD50" s="568">
        <f>SUM(AD51:AD55)</f>
        <v/>
      </c>
      <c r="AE50" s="52">
        <f>(AC50-AD50)/AD50</f>
        <v/>
      </c>
      <c r="AF50" s="568">
        <f>SUM(AF51:AF55)</f>
        <v/>
      </c>
      <c r="AG50" s="568">
        <f>SUM(AG51:AG55)</f>
        <v/>
      </c>
      <c r="AH50" s="67">
        <f>(AF50-AG50)/AG50</f>
        <v/>
      </c>
      <c r="AI50" s="568">
        <f>SUM(AI51:AI55)</f>
        <v/>
      </c>
      <c r="AJ50" s="568">
        <f>SUM(AJ51:AJ55)</f>
        <v/>
      </c>
      <c r="AK50" s="52">
        <f>(AI50-AJ50)/AJ50</f>
        <v/>
      </c>
      <c r="AL50" s="82">
        <f>AF50/AI50</f>
        <v/>
      </c>
      <c r="AM50" s="82">
        <f>AG50/AJ50</f>
        <v/>
      </c>
      <c r="AN50" s="52">
        <f>(AL50-AM50)/AM50</f>
        <v/>
      </c>
      <c r="AO50" t="s">
        <v>180</v>
      </c>
    </row>
    <row customHeight="1" ht="15.75" r="51" s="452" spans="1:41">
      <c r="A51" s="279" t="n"/>
      <c r="B51" s="279" t="n"/>
      <c r="C51" s="280" t="n"/>
      <c r="D51" s="297" t="s">
        <v>181</v>
      </c>
      <c r="E51" s="535" t="n">
        <v>0</v>
      </c>
      <c r="F51" s="535" t="n"/>
      <c r="G51" s="282">
        <f>(E51-F51)/F51</f>
        <v/>
      </c>
      <c r="H51" s="535" t="n">
        <v>10782</v>
      </c>
      <c r="I51" s="536" t="n"/>
      <c r="J51" s="282">
        <f>(H51-I51)/I51</f>
        <v/>
      </c>
      <c r="K51" s="535">
        <f>H51*1.085</f>
        <v/>
      </c>
      <c r="L51" s="535">
        <f>I51*1.085</f>
        <v/>
      </c>
      <c r="M51" s="282">
        <f>(K51-L51)/L51</f>
        <v/>
      </c>
      <c r="N51" s="536">
        <f>E51/H51</f>
        <v/>
      </c>
      <c r="O51" s="536">
        <f>F51/I51</f>
        <v/>
      </c>
      <c r="P51" s="282">
        <f>(N51-O51)/O51</f>
        <v/>
      </c>
      <c r="Q51" s="536">
        <f>E51/K51</f>
        <v/>
      </c>
      <c r="R51" s="536">
        <f>F51/L51</f>
        <v/>
      </c>
      <c r="S51" s="282">
        <f>(Q51-R51)/R51</f>
        <v/>
      </c>
      <c r="T51" s="537" t="n">
        <v>3887</v>
      </c>
      <c r="U51" s="537" t="n">
        <v>0</v>
      </c>
      <c r="V51" s="282">
        <f>(T51-U51)/U51</f>
        <v/>
      </c>
      <c r="W51" s="537" t="n">
        <v>0</v>
      </c>
      <c r="X51" s="537" t="n">
        <v>0</v>
      </c>
      <c r="Y51" s="282">
        <f>(W51-X51)/X51</f>
        <v/>
      </c>
      <c r="Z51" s="537">
        <f>E51/W51</f>
        <v/>
      </c>
      <c r="AA51" s="537">
        <f>F51/X51</f>
        <v/>
      </c>
      <c r="AB51" s="282">
        <f>(Z51-AA51)/AA51</f>
        <v/>
      </c>
      <c r="AC51" s="537" t="n">
        <v>1190702</v>
      </c>
      <c r="AD51" s="537" t="n"/>
      <c r="AE51" s="282">
        <f>(AC51-AD51)/AD51</f>
        <v/>
      </c>
      <c r="AF51" s="537" t="n">
        <v>13265</v>
      </c>
      <c r="AG51" s="537" t="n"/>
      <c r="AH51">
        <f>(AF51-AG51)/AG51</f>
        <v/>
      </c>
      <c r="AI51" s="537" t="n">
        <v>3264767</v>
      </c>
      <c r="AJ51" s="537" t="n"/>
      <c r="AK51" s="282">
        <f>(AI51-AJ51)/AJ51</f>
        <v/>
      </c>
      <c r="AL51" s="286">
        <f>AF51/AI51</f>
        <v/>
      </c>
      <c r="AM51" s="286">
        <f>AG51/AJ51</f>
        <v/>
      </c>
      <c r="AN51" s="282">
        <f>(AL51-AM51)/AM51</f>
        <v/>
      </c>
    </row>
    <row customHeight="1" ht="15.75" r="52" s="452" spans="1:41">
      <c r="A52" s="279" t="n"/>
      <c r="B52" s="279" t="n"/>
      <c r="C52" s="280" t="n"/>
      <c r="D52" s="280" t="n"/>
      <c r="E52" s="535" t="n"/>
      <c r="F52" s="535" t="n"/>
      <c r="G52" s="282">
        <f>(E52-F52)/F52</f>
        <v/>
      </c>
      <c r="H52" s="535" t="n"/>
      <c r="I52" s="536" t="n"/>
      <c r="J52" s="282">
        <f>(H52-I52)/I52</f>
        <v/>
      </c>
      <c r="K52" s="535">
        <f>H52*1.085</f>
        <v/>
      </c>
      <c r="L52" s="535">
        <f>I52*1.085</f>
        <v/>
      </c>
      <c r="M52" s="282">
        <f>(K52-L52)/L52</f>
        <v/>
      </c>
      <c r="N52" s="536">
        <f>E52/H52</f>
        <v/>
      </c>
      <c r="O52" s="536">
        <f>F52/I52</f>
        <v/>
      </c>
      <c r="P52" s="282">
        <f>(N52-O52)/O52</f>
        <v/>
      </c>
      <c r="Q52" s="536">
        <f>E52/K52</f>
        <v/>
      </c>
      <c r="R52" s="536">
        <f>F52/L52</f>
        <v/>
      </c>
      <c r="S52" s="282">
        <f>(Q52-R52)/R52</f>
        <v/>
      </c>
      <c r="T52" s="537" t="n"/>
      <c r="U52" s="537" t="n"/>
      <c r="V52" s="282">
        <f>(T52-U52)/U52</f>
        <v/>
      </c>
      <c r="W52" s="537" t="n"/>
      <c r="X52" s="537" t="n"/>
      <c r="Y52" s="282">
        <f>(W52-X52)/X52</f>
        <v/>
      </c>
      <c r="Z52" s="537">
        <f>E52/W52</f>
        <v/>
      </c>
      <c r="AA52" s="537">
        <f>F52/X52</f>
        <v/>
      </c>
      <c r="AB52" s="282">
        <f>(Z52-AA52)/AA52</f>
        <v/>
      </c>
      <c r="AC52" s="537" t="n"/>
      <c r="AD52" s="537" t="n"/>
      <c r="AE52" s="282">
        <f>(AC52-AD52)/AD52</f>
        <v/>
      </c>
      <c r="AF52" s="537" t="n"/>
      <c r="AG52" s="537" t="n"/>
      <c r="AH52">
        <f>(AF52-AG52)/AG52</f>
        <v/>
      </c>
      <c r="AI52" s="537" t="n"/>
      <c r="AJ52" s="537" t="n"/>
      <c r="AK52" s="282">
        <f>(AI52-AJ52)/AJ52</f>
        <v/>
      </c>
      <c r="AL52" s="286">
        <f>AF52/AI52</f>
        <v/>
      </c>
      <c r="AM52" s="286">
        <f>AG52/AJ52</f>
        <v/>
      </c>
      <c r="AN52" s="282">
        <f>(AL52-AM52)/AM52</f>
        <v/>
      </c>
    </row>
    <row customHeight="1" ht="15.75" r="53" s="452" spans="1:41">
      <c r="A53" s="279" t="n"/>
      <c r="B53" s="279" t="n"/>
      <c r="C53" s="280" t="n"/>
      <c r="D53" s="280" t="n"/>
      <c r="E53" s="535" t="n"/>
      <c r="F53" s="535" t="n"/>
      <c r="G53" s="282">
        <f>(E53-F53)/F53</f>
        <v/>
      </c>
      <c r="H53" s="535" t="n"/>
      <c r="I53" s="536" t="n"/>
      <c r="J53" s="282">
        <f>(H53-I53)/I53</f>
        <v/>
      </c>
      <c r="K53" s="535">
        <f>H53*1.085</f>
        <v/>
      </c>
      <c r="L53" s="535">
        <f>I53*1.085</f>
        <v/>
      </c>
      <c r="M53" s="282">
        <f>(K53-L53)/L53</f>
        <v/>
      </c>
      <c r="N53" s="536">
        <f>E53/H53</f>
        <v/>
      </c>
      <c r="O53" s="536">
        <f>F53/I53</f>
        <v/>
      </c>
      <c r="P53" s="282">
        <f>(N53-O53)/O53</f>
        <v/>
      </c>
      <c r="Q53" s="536">
        <f>E53/K53</f>
        <v/>
      </c>
      <c r="R53" s="536">
        <f>F53/L53</f>
        <v/>
      </c>
      <c r="S53" s="282">
        <f>(Q53-R53)/R53</f>
        <v/>
      </c>
      <c r="T53" s="537" t="n"/>
      <c r="U53" s="537" t="n"/>
      <c r="V53" s="282">
        <f>(T53-U53)/U53</f>
        <v/>
      </c>
      <c r="W53" s="537" t="n"/>
      <c r="X53" s="537" t="n"/>
      <c r="Y53" s="282">
        <f>(W53-X53)/X53</f>
        <v/>
      </c>
      <c r="Z53" s="537">
        <f>E53/W53</f>
        <v/>
      </c>
      <c r="AA53" s="537">
        <f>F53/X53</f>
        <v/>
      </c>
      <c r="AB53" s="282">
        <f>(Z53-AA53)/AA53</f>
        <v/>
      </c>
      <c r="AC53" s="537" t="n"/>
      <c r="AD53" s="537" t="n"/>
      <c r="AE53" s="282">
        <f>(AC53-AD53)/AD53</f>
        <v/>
      </c>
      <c r="AF53" s="537" t="n"/>
      <c r="AG53" s="537" t="n"/>
      <c r="AH53">
        <f>(AF53-AG53)/AG53</f>
        <v/>
      </c>
      <c r="AI53" s="537" t="n"/>
      <c r="AJ53" s="537" t="n"/>
      <c r="AK53" s="282">
        <f>(AI53-AJ53)/AJ53</f>
        <v/>
      </c>
      <c r="AL53" s="286">
        <f>AF53/AI53</f>
        <v/>
      </c>
      <c r="AM53" s="286">
        <f>AG53/AJ53</f>
        <v/>
      </c>
      <c r="AN53" s="282">
        <f>(AL53-AM53)/AM53</f>
        <v/>
      </c>
    </row>
    <row customHeight="1" ht="15.75" r="54" s="452" spans="1:41">
      <c r="A54" s="279" t="n"/>
      <c r="B54" s="279" t="n"/>
      <c r="C54" s="280" t="n"/>
      <c r="D54" s="280" t="n"/>
      <c r="E54" s="535" t="n"/>
      <c r="F54" s="535" t="n"/>
      <c r="G54" s="282">
        <f>(E54-F54)/F54</f>
        <v/>
      </c>
      <c r="H54" s="535" t="n"/>
      <c r="I54" s="536" t="n"/>
      <c r="J54" s="282">
        <f>(H54-I54)/I54</f>
        <v/>
      </c>
      <c r="K54" s="535">
        <f>H54*1.085</f>
        <v/>
      </c>
      <c r="L54" s="535">
        <f>I54*1.085</f>
        <v/>
      </c>
      <c r="M54" s="282">
        <f>(K54-L54)/L54</f>
        <v/>
      </c>
      <c r="N54" s="536">
        <f>E54/H54</f>
        <v/>
      </c>
      <c r="O54" s="536">
        <f>F54/I54</f>
        <v/>
      </c>
      <c r="P54" s="282">
        <f>(N54-O54)/O54</f>
        <v/>
      </c>
      <c r="Q54" s="536">
        <f>E54/K54</f>
        <v/>
      </c>
      <c r="R54" s="536">
        <f>F54/L54</f>
        <v/>
      </c>
      <c r="S54" s="282">
        <f>(Q54-R54)/R54</f>
        <v/>
      </c>
      <c r="T54" s="537" t="n"/>
      <c r="U54" s="537" t="n"/>
      <c r="V54" s="282">
        <f>(T54-U54)/U54</f>
        <v/>
      </c>
      <c r="W54" s="537" t="n"/>
      <c r="X54" s="537" t="n"/>
      <c r="Y54" s="282">
        <f>(W54-X54)/X54</f>
        <v/>
      </c>
      <c r="Z54" s="537">
        <f>E54/W54</f>
        <v/>
      </c>
      <c r="AA54" s="537">
        <f>F54/X54</f>
        <v/>
      </c>
      <c r="AB54" s="282">
        <f>(Z54-AA54)/AA54</f>
        <v/>
      </c>
      <c r="AC54" s="537" t="n"/>
      <c r="AD54" s="537" t="n"/>
      <c r="AE54" s="282">
        <f>(AC54-AD54)/AD54</f>
        <v/>
      </c>
      <c r="AF54" s="537" t="n"/>
      <c r="AG54" s="537" t="n"/>
      <c r="AH54">
        <f>(AF54-AG54)/AG54</f>
        <v/>
      </c>
      <c r="AI54" s="537" t="n"/>
      <c r="AJ54" s="537" t="n"/>
      <c r="AK54" s="282">
        <f>(AI54-AJ54)/AJ54</f>
        <v/>
      </c>
      <c r="AL54" s="286">
        <f>AF54/AI54</f>
        <v/>
      </c>
      <c r="AM54" s="286">
        <f>AG54/AJ54</f>
        <v/>
      </c>
      <c r="AN54" s="282">
        <f>(AL54-AM54)/AM54</f>
        <v/>
      </c>
    </row>
    <row customHeight="1" ht="15.75" r="55" s="452" spans="1:41">
      <c r="A55" s="279" t="n"/>
      <c r="B55" s="279" t="n"/>
      <c r="C55" s="280" t="n"/>
      <c r="D55" s="297" t="s">
        <v>177</v>
      </c>
      <c r="E55" s="535" t="n">
        <v>58</v>
      </c>
      <c r="F55" s="535" t="n"/>
      <c r="G55" s="282">
        <f>(E55-F55)/F55</f>
        <v/>
      </c>
      <c r="H55" s="535" t="n">
        <v>0</v>
      </c>
      <c r="I55" s="536" t="n"/>
      <c r="J55" s="282">
        <f>(H55-I55)/I55</f>
        <v/>
      </c>
      <c r="K55" s="535">
        <f>H55*1.085</f>
        <v/>
      </c>
      <c r="L55" s="535">
        <f>I55*1.085</f>
        <v/>
      </c>
      <c r="M55" s="282">
        <f>(K55-L55)/L55</f>
        <v/>
      </c>
      <c r="N55" s="536">
        <f>E55/H55</f>
        <v/>
      </c>
      <c r="O55" s="536">
        <f>F55/I55</f>
        <v/>
      </c>
      <c r="P55" s="282">
        <f>(N55-O55)/O55</f>
        <v/>
      </c>
      <c r="Q55" s="536">
        <f>E55/K55</f>
        <v/>
      </c>
      <c r="R55" s="536">
        <f>F55/L55</f>
        <v/>
      </c>
      <c r="S55" s="282">
        <f>(Q55-R55)/R55</f>
        <v/>
      </c>
      <c r="T55" s="537" t="n">
        <v>23</v>
      </c>
      <c r="U55" s="537" t="n">
        <v>5</v>
      </c>
      <c r="V55" s="282">
        <f>(T55-U55)/U55</f>
        <v/>
      </c>
      <c r="W55" s="537" t="n">
        <v>2</v>
      </c>
      <c r="X55" s="537" t="n">
        <v>0</v>
      </c>
      <c r="Y55" s="282">
        <f>(W55-X55)/X55</f>
        <v/>
      </c>
      <c r="Z55" s="537">
        <f>E55/W55</f>
        <v/>
      </c>
      <c r="AA55" s="537">
        <f>F55/X55</f>
        <v/>
      </c>
      <c r="AB55" s="282">
        <f>(Z55-AA55)/AA55</f>
        <v/>
      </c>
      <c r="AC55" s="537" t="n">
        <v>0</v>
      </c>
      <c r="AD55" s="537" t="n"/>
      <c r="AE55" s="282">
        <f>(AC55-AD55)/AD55</f>
        <v/>
      </c>
      <c r="AF55" s="537" t="n">
        <v>0</v>
      </c>
      <c r="AG55" s="537" t="n"/>
      <c r="AH55">
        <f>(AF55-AG55)/AG55</f>
        <v/>
      </c>
      <c r="AI55" s="537" t="n">
        <v>0</v>
      </c>
      <c r="AJ55" s="537" t="n"/>
      <c r="AK55" s="282">
        <f>(AI55-AJ55)/AJ55</f>
        <v/>
      </c>
      <c r="AL55" s="286">
        <f>AF55/AI55</f>
        <v/>
      </c>
      <c r="AM55" s="286">
        <f>AG55/AJ55</f>
        <v/>
      </c>
      <c r="AN55" s="282">
        <f>(AL55-AM55)/AM55</f>
        <v/>
      </c>
    </row>
    <row customHeight="1" ht="15.75" r="56" s="452" spans="1:41">
      <c r="A56" s="49" t="s">
        <v>42</v>
      </c>
      <c r="B56" s="49" t="s">
        <v>82</v>
      </c>
      <c r="C56" s="50" t="n">
        <v>42797</v>
      </c>
      <c r="D56" s="50" t="s">
        <v>60</v>
      </c>
      <c r="E56" s="566">
        <f>SUM(E57:E61)</f>
        <v/>
      </c>
      <c r="F56" s="566">
        <f>SUM(F57:F61)</f>
        <v/>
      </c>
      <c r="G56" s="52">
        <f>(E56-F56)/F56</f>
        <v/>
      </c>
      <c r="H56" s="566">
        <f>SUM(H57:H61)</f>
        <v/>
      </c>
      <c r="I56" s="566">
        <f>SUM(I57:I61)</f>
        <v/>
      </c>
      <c r="J56" s="52">
        <f>(H56-I56)/I56</f>
        <v/>
      </c>
      <c r="K56" s="566">
        <f>H56*1.085</f>
        <v/>
      </c>
      <c r="L56" s="566">
        <f>I56*1.085</f>
        <v/>
      </c>
      <c r="M56" s="52">
        <f>(K56-L56)/L56</f>
        <v/>
      </c>
      <c r="N56" s="567">
        <f>E56/H56</f>
        <v/>
      </c>
      <c r="O56" s="567">
        <f>F56/I56</f>
        <v/>
      </c>
      <c r="P56" s="52">
        <f>(N56-O56)/O56</f>
        <v/>
      </c>
      <c r="Q56" s="567">
        <f>E56/K56</f>
        <v/>
      </c>
      <c r="R56" s="567">
        <f>F56/L56</f>
        <v/>
      </c>
      <c r="S56" s="52">
        <f>(Q56-R56)/R56</f>
        <v/>
      </c>
      <c r="T56" s="568">
        <f>SUM(T57:T61)</f>
        <v/>
      </c>
      <c r="U56" s="568">
        <f>SUM(U57:U61)</f>
        <v/>
      </c>
      <c r="V56" s="52">
        <f>(T56-U56)/U56</f>
        <v/>
      </c>
      <c r="W56" s="568">
        <f>SUM(W57:W61)</f>
        <v/>
      </c>
      <c r="X56" s="568">
        <f>SUM(X57:X61)</f>
        <v/>
      </c>
      <c r="Y56" s="52">
        <f>(W56-X56)/X56</f>
        <v/>
      </c>
      <c r="Z56" s="566">
        <f>E56/W56</f>
        <v/>
      </c>
      <c r="AA56" s="568">
        <f>F56/X56</f>
        <v/>
      </c>
      <c r="AB56" s="52">
        <f>(Z56-AA56)/AA56</f>
        <v/>
      </c>
      <c r="AC56" s="568">
        <f>SUM(AC57:AC61)</f>
        <v/>
      </c>
      <c r="AD56" s="568">
        <f>SUM(AD57:AD61)</f>
        <v/>
      </c>
      <c r="AE56" s="52">
        <f>(AC56-AD56)/AD56</f>
        <v/>
      </c>
      <c r="AF56" s="568">
        <f>SUM(AF57:AF61)</f>
        <v/>
      </c>
      <c r="AG56" s="568">
        <f>SUM(AG57:AG61)</f>
        <v/>
      </c>
      <c r="AH56" s="67">
        <f>(AF56-AG56)/AG56</f>
        <v/>
      </c>
      <c r="AI56" s="568">
        <f>SUM(AI57:AI61)</f>
        <v/>
      </c>
      <c r="AJ56" s="568">
        <f>SUM(AJ57:AJ61)</f>
        <v/>
      </c>
      <c r="AK56" s="52">
        <f>(AI56-AJ56)/AJ56</f>
        <v/>
      </c>
      <c r="AL56" s="82">
        <f>AF56/AI56</f>
        <v/>
      </c>
      <c r="AM56" s="82">
        <f>AG56/AJ56</f>
        <v/>
      </c>
      <c r="AN56" s="52">
        <f>(AL56-AM56)/AM56</f>
        <v/>
      </c>
      <c r="AO56" t="s">
        <v>180</v>
      </c>
    </row>
    <row customHeight="1" ht="15.75" r="57" s="452" spans="1:41">
      <c r="A57" s="279" t="n"/>
      <c r="B57" s="279" t="n"/>
      <c r="C57" s="280" t="n"/>
      <c r="D57" s="297" t="s">
        <v>181</v>
      </c>
      <c r="E57" s="535" t="n">
        <v>265</v>
      </c>
      <c r="F57" s="535" t="n">
        <v>0</v>
      </c>
      <c r="G57" s="282">
        <f>(E57-F57)/F57</f>
        <v/>
      </c>
      <c r="H57" s="535" t="n">
        <v>10684</v>
      </c>
      <c r="I57" s="536" t="n"/>
      <c r="J57" s="282">
        <f>(H57-I57)/I57</f>
        <v/>
      </c>
      <c r="K57" s="535">
        <f>H57*1.085</f>
        <v/>
      </c>
      <c r="L57" s="535">
        <f>I57*1.085</f>
        <v/>
      </c>
      <c r="M57" s="282">
        <f>(K57-L57)/L57</f>
        <v/>
      </c>
      <c r="N57" s="536">
        <f>E57/H57</f>
        <v/>
      </c>
      <c r="O57" s="536">
        <f>F57/I57</f>
        <v/>
      </c>
      <c r="P57" s="282">
        <f>(N57-O57)/O57</f>
        <v/>
      </c>
      <c r="Q57" s="536">
        <f>E57/K57</f>
        <v/>
      </c>
      <c r="R57" s="536">
        <f>F57/L57</f>
        <v/>
      </c>
      <c r="S57" s="282">
        <f>(Q57-R57)/R57</f>
        <v/>
      </c>
      <c r="T57" s="537" t="n">
        <v>5815</v>
      </c>
      <c r="U57" s="537" t="n"/>
      <c r="V57" s="282">
        <f>(T57-U57)/U57</f>
        <v/>
      </c>
      <c r="W57" s="537" t="n">
        <v>3</v>
      </c>
      <c r="X57" s="537" t="n"/>
      <c r="Y57" s="282">
        <f>(W57-X57)/X57</f>
        <v/>
      </c>
      <c r="Z57" s="537">
        <f>E57/W57</f>
        <v/>
      </c>
      <c r="AA57" s="537">
        <f>F57/X57</f>
        <v/>
      </c>
      <c r="AB57" s="282">
        <f>(Z57-AA57)/AA57</f>
        <v/>
      </c>
      <c r="AC57" s="537" t="n">
        <v>1195477</v>
      </c>
      <c r="AD57" s="537" t="n"/>
      <c r="AE57" s="282">
        <f>(AC57-AD57)/AD57</f>
        <v/>
      </c>
      <c r="AF57" s="537" t="n">
        <v>12395</v>
      </c>
      <c r="AG57" s="537" t="n"/>
      <c r="AH57">
        <f>(AF57-AG57)/AG57</f>
        <v/>
      </c>
      <c r="AI57" s="537" t="n">
        <v>3377293</v>
      </c>
      <c r="AJ57" s="537" t="n"/>
      <c r="AK57" s="282">
        <f>(AI57-AJ57)/AJ57</f>
        <v/>
      </c>
      <c r="AL57" s="286">
        <f>AF57/AI57</f>
        <v/>
      </c>
      <c r="AM57" s="286">
        <f>AG57/AJ57</f>
        <v/>
      </c>
      <c r="AN57" s="282">
        <f>(AL57-AM57)/AM57</f>
        <v/>
      </c>
    </row>
    <row customHeight="1" ht="15.75" r="58" s="452" spans="1:41">
      <c r="A58" s="279" t="n"/>
      <c r="B58" s="279" t="n"/>
      <c r="C58" s="280" t="n"/>
      <c r="D58" s="280" t="n"/>
      <c r="E58" s="535" t="n"/>
      <c r="F58" s="535" t="n"/>
      <c r="G58" s="282">
        <f>(E58-F58)/F58</f>
        <v/>
      </c>
      <c r="H58" s="535" t="n"/>
      <c r="I58" s="536" t="n"/>
      <c r="J58" s="282">
        <f>(H58-I58)/I58</f>
        <v/>
      </c>
      <c r="K58" s="535">
        <f>H58*1.085</f>
        <v/>
      </c>
      <c r="L58" s="535">
        <f>I58*1.085</f>
        <v/>
      </c>
      <c r="M58" s="282">
        <f>(K58-L58)/L58</f>
        <v/>
      </c>
      <c r="N58" s="536">
        <f>E58/H58</f>
        <v/>
      </c>
      <c r="O58" s="536">
        <f>F58/I58</f>
        <v/>
      </c>
      <c r="P58" s="282">
        <f>(N58-O58)/O58</f>
        <v/>
      </c>
      <c r="Q58" s="536">
        <f>E58/K58</f>
        <v/>
      </c>
      <c r="R58" s="536">
        <f>F58/L58</f>
        <v/>
      </c>
      <c r="S58" s="282">
        <f>(Q58-R58)/R58</f>
        <v/>
      </c>
      <c r="T58" s="537" t="n"/>
      <c r="U58" s="537" t="n"/>
      <c r="V58" s="282">
        <f>(T58-U58)/U58</f>
        <v/>
      </c>
      <c r="W58" s="537" t="n"/>
      <c r="X58" s="537" t="n"/>
      <c r="Y58" s="282">
        <f>(W58-X58)/X58</f>
        <v/>
      </c>
      <c r="Z58" s="537">
        <f>E58/W58</f>
        <v/>
      </c>
      <c r="AA58" s="537">
        <f>F58/X58</f>
        <v/>
      </c>
      <c r="AB58" s="282">
        <f>(Z58-AA58)/AA58</f>
        <v/>
      </c>
      <c r="AC58" s="537" t="n"/>
      <c r="AD58" s="537" t="n"/>
      <c r="AE58" s="282">
        <f>(AC58-AD58)/AD58</f>
        <v/>
      </c>
      <c r="AF58" s="537" t="n"/>
      <c r="AG58" s="537" t="n"/>
      <c r="AH58">
        <f>(AF58-AG58)/AG58</f>
        <v/>
      </c>
      <c r="AI58" s="537" t="n"/>
      <c r="AJ58" s="537" t="n"/>
      <c r="AK58" s="282">
        <f>(AI58-AJ58)/AJ58</f>
        <v/>
      </c>
      <c r="AL58" s="286">
        <f>AF58/AI58</f>
        <v/>
      </c>
      <c r="AM58" s="286">
        <f>AG58/AJ58</f>
        <v/>
      </c>
      <c r="AN58" s="282">
        <f>(AL58-AM58)/AM58</f>
        <v/>
      </c>
    </row>
    <row customHeight="1" ht="15.75" r="59" s="452" spans="1:41">
      <c r="A59" s="279" t="n"/>
      <c r="B59" s="279" t="n"/>
      <c r="C59" s="280" t="n"/>
      <c r="D59" s="280" t="n"/>
      <c r="E59" s="535" t="n"/>
      <c r="F59" s="535" t="n"/>
      <c r="G59" s="282">
        <f>(E59-F59)/F59</f>
        <v/>
      </c>
      <c r="H59" s="535" t="n"/>
      <c r="I59" s="536" t="n"/>
      <c r="J59" s="282">
        <f>(H59-I59)/I59</f>
        <v/>
      </c>
      <c r="K59" s="535">
        <f>H59*1.085</f>
        <v/>
      </c>
      <c r="L59" s="535">
        <f>I59*1.085</f>
        <v/>
      </c>
      <c r="M59" s="282">
        <f>(K59-L59)/L59</f>
        <v/>
      </c>
      <c r="N59" s="536">
        <f>E59/H59</f>
        <v/>
      </c>
      <c r="O59" s="536">
        <f>F59/I59</f>
        <v/>
      </c>
      <c r="P59" s="282">
        <f>(N59-O59)/O59</f>
        <v/>
      </c>
      <c r="Q59" s="536">
        <f>E59/K59</f>
        <v/>
      </c>
      <c r="R59" s="536">
        <f>F59/L59</f>
        <v/>
      </c>
      <c r="S59" s="282">
        <f>(Q59-R59)/R59</f>
        <v/>
      </c>
      <c r="T59" s="537" t="n"/>
      <c r="U59" s="537" t="n"/>
      <c r="V59" s="282">
        <f>(T59-U59)/U59</f>
        <v/>
      </c>
      <c r="W59" s="537" t="n"/>
      <c r="X59" s="537" t="n"/>
      <c r="Y59" s="282">
        <f>(W59-X59)/X59</f>
        <v/>
      </c>
      <c r="Z59" s="537">
        <f>E59/W59</f>
        <v/>
      </c>
      <c r="AA59" s="537">
        <f>F59/X59</f>
        <v/>
      </c>
      <c r="AB59" s="282">
        <f>(Z59-AA59)/AA59</f>
        <v/>
      </c>
      <c r="AC59" s="537" t="n"/>
      <c r="AD59" s="537" t="n"/>
      <c r="AE59" s="282">
        <f>(AC59-AD59)/AD59</f>
        <v/>
      </c>
      <c r="AF59" s="537" t="n"/>
      <c r="AG59" s="537" t="n"/>
      <c r="AH59">
        <f>(AF59-AG59)/AG59</f>
        <v/>
      </c>
      <c r="AI59" s="537" t="n"/>
      <c r="AJ59" s="537" t="n"/>
      <c r="AK59" s="282">
        <f>(AI59-AJ59)/AJ59</f>
        <v/>
      </c>
      <c r="AL59" s="286">
        <f>AF59/AI59</f>
        <v/>
      </c>
      <c r="AM59" s="286">
        <f>AG59/AJ59</f>
        <v/>
      </c>
      <c r="AN59" s="282">
        <f>(AL59-AM59)/AM59</f>
        <v/>
      </c>
    </row>
    <row customHeight="1" ht="15.75" r="60" s="452" spans="1:41">
      <c r="A60" s="279" t="n"/>
      <c r="B60" s="279" t="n"/>
      <c r="C60" s="280" t="n"/>
      <c r="D60" s="280" t="n"/>
      <c r="E60" s="535" t="n"/>
      <c r="F60" s="535" t="n"/>
      <c r="G60" s="282">
        <f>(E60-F60)/F60</f>
        <v/>
      </c>
      <c r="H60" s="535" t="n"/>
      <c r="I60" s="536" t="n"/>
      <c r="J60" s="282">
        <f>(H60-I60)/I60</f>
        <v/>
      </c>
      <c r="K60" s="535">
        <f>H60*1.085</f>
        <v/>
      </c>
      <c r="L60" s="535">
        <f>I60*1.085</f>
        <v/>
      </c>
      <c r="M60" s="282">
        <f>(K60-L60)/L60</f>
        <v/>
      </c>
      <c r="N60" s="536">
        <f>E60/H60</f>
        <v/>
      </c>
      <c r="O60" s="536">
        <f>F60/I60</f>
        <v/>
      </c>
      <c r="P60" s="282">
        <f>(N60-O60)/O60</f>
        <v/>
      </c>
      <c r="Q60" s="536">
        <f>E60/K60</f>
        <v/>
      </c>
      <c r="R60" s="536">
        <f>F60/L60</f>
        <v/>
      </c>
      <c r="S60" s="282">
        <f>(Q60-R60)/R60</f>
        <v/>
      </c>
      <c r="T60" s="537" t="n"/>
      <c r="U60" s="537" t="n"/>
      <c r="V60" s="282">
        <f>(T60-U60)/U60</f>
        <v/>
      </c>
      <c r="W60" s="537" t="n"/>
      <c r="X60" s="537" t="n"/>
      <c r="Y60" s="282">
        <f>(W60-X60)/X60</f>
        <v/>
      </c>
      <c r="Z60" s="537">
        <f>E60/W60</f>
        <v/>
      </c>
      <c r="AA60" s="537">
        <f>F60/X60</f>
        <v/>
      </c>
      <c r="AB60" s="282">
        <f>(Z60-AA60)/AA60</f>
        <v/>
      </c>
      <c r="AC60" s="537" t="n"/>
      <c r="AD60" s="537" t="n"/>
      <c r="AE60" s="282">
        <f>(AC60-AD60)/AD60</f>
        <v/>
      </c>
      <c r="AF60" s="537" t="n"/>
      <c r="AG60" s="537" t="n"/>
      <c r="AH60">
        <f>(AF60-AG60)/AG60</f>
        <v/>
      </c>
      <c r="AI60" s="537" t="n"/>
      <c r="AJ60" s="537" t="n"/>
      <c r="AK60" s="282">
        <f>(AI60-AJ60)/AJ60</f>
        <v/>
      </c>
      <c r="AL60" s="286">
        <f>AF60/AI60</f>
        <v/>
      </c>
      <c r="AM60" s="286">
        <f>AG60/AJ60</f>
        <v/>
      </c>
      <c r="AN60" s="282">
        <f>(AL60-AM60)/AM60</f>
        <v/>
      </c>
    </row>
    <row customHeight="1" ht="15.75" r="61" s="452" spans="1:41">
      <c r="A61" s="279" t="n"/>
      <c r="B61" s="279" t="n"/>
      <c r="C61" s="280" t="n"/>
      <c r="D61" s="297" t="s">
        <v>177</v>
      </c>
      <c r="E61" s="535" t="n">
        <v>0</v>
      </c>
      <c r="F61" s="535" t="n"/>
      <c r="G61" s="282">
        <f>(E61-F61)/F61</f>
        <v/>
      </c>
      <c r="H61" s="535" t="n">
        <v>0</v>
      </c>
      <c r="I61" s="536" t="n"/>
      <c r="J61" s="282">
        <f>(H61-I61)/I61</f>
        <v/>
      </c>
      <c r="K61" s="535">
        <f>H61*1.085</f>
        <v/>
      </c>
      <c r="L61" s="535">
        <f>I61*1.085</f>
        <v/>
      </c>
      <c r="M61" s="282">
        <f>(K61-L61)/L61</f>
        <v/>
      </c>
      <c r="N61" s="536">
        <f>E61/H61</f>
        <v/>
      </c>
      <c r="O61" s="536">
        <f>F61/I61</f>
        <v/>
      </c>
      <c r="P61" s="282">
        <f>(N61-O61)/O61</f>
        <v/>
      </c>
      <c r="Q61" s="536">
        <f>E61/K61</f>
        <v/>
      </c>
      <c r="R61" s="536">
        <f>F61/L61</f>
        <v/>
      </c>
      <c r="S61" s="282">
        <f>(Q61-R61)/R61</f>
        <v/>
      </c>
      <c r="T61" s="537" t="n">
        <v>62</v>
      </c>
      <c r="U61" s="537" t="n">
        <v>1</v>
      </c>
      <c r="V61" s="282">
        <f>(T61-U61)/U61</f>
        <v/>
      </c>
      <c r="W61" s="537" t="n">
        <v>0</v>
      </c>
      <c r="X61" s="537" t="n"/>
      <c r="Y61" s="282">
        <f>(W61-X61)/X61</f>
        <v/>
      </c>
      <c r="Z61" s="537">
        <f>E61/W61</f>
        <v/>
      </c>
      <c r="AA61" s="537">
        <f>F61/X61</f>
        <v/>
      </c>
      <c r="AB61" s="282">
        <f>(Z61-AA61)/AA61</f>
        <v/>
      </c>
      <c r="AC61" s="537" t="n">
        <v>0</v>
      </c>
      <c r="AD61" s="537" t="n"/>
      <c r="AE61" s="282">
        <f>(AC61-AD61)/AD61</f>
        <v/>
      </c>
      <c r="AF61" s="537" t="n">
        <v>0</v>
      </c>
      <c r="AG61" s="537" t="n"/>
      <c r="AH61">
        <f>(AF61-AG61)/AG61</f>
        <v/>
      </c>
      <c r="AI61" s="537" t="n">
        <v>0</v>
      </c>
      <c r="AJ61" s="537" t="n"/>
      <c r="AK61" s="282">
        <f>(AI61-AJ61)/AJ61</f>
        <v/>
      </c>
      <c r="AL61" s="286">
        <f>AF61/AI61</f>
        <v/>
      </c>
      <c r="AM61" s="286">
        <f>AG61/AJ61</f>
        <v/>
      </c>
      <c r="AN61" s="282">
        <f>(AL61-AM61)/AM61</f>
        <v/>
      </c>
    </row>
    <row customHeight="1" ht="15.75" r="62" s="452" spans="1:41">
      <c r="A62" s="49" t="s">
        <v>42</v>
      </c>
      <c r="B62" s="49" t="s">
        <v>84</v>
      </c>
      <c r="C62" s="50">
        <f>C56+7</f>
        <v/>
      </c>
      <c r="D62" s="50" t="s">
        <v>60</v>
      </c>
      <c r="E62" s="566">
        <f>SUM(E63:E67)</f>
        <v/>
      </c>
      <c r="F62" s="566">
        <f>SUM(F63:F67)</f>
        <v/>
      </c>
      <c r="G62" s="52">
        <f>(E62-F62)/F62</f>
        <v/>
      </c>
      <c r="H62" s="566">
        <f>SUM(H63:H67)</f>
        <v/>
      </c>
      <c r="I62" s="566">
        <f>SUM(I63:I67)</f>
        <v/>
      </c>
      <c r="J62" s="52">
        <f>(H62-I62)/I62</f>
        <v/>
      </c>
      <c r="K62" s="566">
        <f>H62*1.085</f>
        <v/>
      </c>
      <c r="L62" s="566">
        <f>I62*1.085</f>
        <v/>
      </c>
      <c r="M62" s="52">
        <f>(K62-L62)/L62</f>
        <v/>
      </c>
      <c r="N62" s="567">
        <f>E62/H62</f>
        <v/>
      </c>
      <c r="O62" s="567">
        <f>F62/I62</f>
        <v/>
      </c>
      <c r="P62" s="52">
        <f>(N62-O62)/O62</f>
        <v/>
      </c>
      <c r="Q62" s="567">
        <f>E62/K62</f>
        <v/>
      </c>
      <c r="R62" s="567">
        <f>F62/L62</f>
        <v/>
      </c>
      <c r="S62" s="52">
        <f>(Q62-R62)/R62</f>
        <v/>
      </c>
      <c r="T62" s="568">
        <f>SUM(T63:T67)</f>
        <v/>
      </c>
      <c r="U62" s="568">
        <f>SUM(U63:U67)</f>
        <v/>
      </c>
      <c r="V62" s="52">
        <f>(T62-U62)/U62</f>
        <v/>
      </c>
      <c r="W62" s="568">
        <f>SUM(W63:W67)</f>
        <v/>
      </c>
      <c r="X62" s="568">
        <f>SUM(X63:X67)</f>
        <v/>
      </c>
      <c r="Y62" s="52">
        <f>(W62-X62)/X62</f>
        <v/>
      </c>
      <c r="Z62" s="566">
        <f>E62/W62</f>
        <v/>
      </c>
      <c r="AA62" s="568">
        <f>F62/X62</f>
        <v/>
      </c>
      <c r="AB62" s="52">
        <f>(Z62-AA62)/AA62</f>
        <v/>
      </c>
      <c r="AC62" s="568">
        <f>SUM(AC63:AC67)</f>
        <v/>
      </c>
      <c r="AD62" s="568">
        <f>SUM(AD63:AD67)</f>
        <v/>
      </c>
      <c r="AE62" s="52">
        <f>(AC62-AD62)/AD62</f>
        <v/>
      </c>
      <c r="AF62" s="568">
        <f>SUM(AF63:AF67)</f>
        <v/>
      </c>
      <c r="AG62" s="568">
        <f>SUM(AG63:AG67)</f>
        <v/>
      </c>
      <c r="AH62" s="67">
        <f>(AF62-AG62)/AG62</f>
        <v/>
      </c>
      <c r="AI62" s="568">
        <f>SUM(AI63:AI67)</f>
        <v/>
      </c>
      <c r="AJ62" s="568">
        <f>SUM(AJ63:AJ67)</f>
        <v/>
      </c>
      <c r="AK62" s="52">
        <f>(AI62-AJ62)/AJ62</f>
        <v/>
      </c>
      <c r="AL62" s="82">
        <f>AF62/AI62</f>
        <v/>
      </c>
      <c r="AM62" s="82">
        <f>AG62/AJ62</f>
        <v/>
      </c>
      <c r="AN62" s="52">
        <f>(AL62-AM62)/AM62</f>
        <v/>
      </c>
      <c r="AO62" t="s">
        <v>180</v>
      </c>
    </row>
    <row customHeight="1" ht="15.75" r="63" s="452" spans="1:41">
      <c r="A63" s="279" t="n"/>
      <c r="B63" s="279" t="n"/>
      <c r="C63" s="280" t="n"/>
      <c r="D63" s="297" t="s">
        <v>181</v>
      </c>
      <c r="E63" s="535" t="n">
        <v>314</v>
      </c>
      <c r="F63" s="535" t="n"/>
      <c r="G63" s="282">
        <f>(E63-F63)/F63</f>
        <v/>
      </c>
      <c r="H63" s="535" t="n">
        <v>1407</v>
      </c>
      <c r="I63" s="536" t="n"/>
      <c r="J63" s="282">
        <f>(H63-I63)/I63</f>
        <v/>
      </c>
      <c r="K63" s="535">
        <f>H63*1.085</f>
        <v/>
      </c>
      <c r="L63" s="535">
        <f>I63*1.085</f>
        <v/>
      </c>
      <c r="M63" s="282">
        <f>(K63-L63)/L63</f>
        <v/>
      </c>
      <c r="N63" s="536">
        <f>E63/H63</f>
        <v/>
      </c>
      <c r="O63" s="536">
        <f>F63/I63</f>
        <v/>
      </c>
      <c r="P63" s="282">
        <f>(N63-O63)/O63</f>
        <v/>
      </c>
      <c r="Q63" s="536">
        <f>E63/K63</f>
        <v/>
      </c>
      <c r="R63" s="536">
        <f>F63/L63</f>
        <v/>
      </c>
      <c r="S63" s="282">
        <f>(Q63-R63)/R63</f>
        <v/>
      </c>
      <c r="T63" s="537" t="n">
        <v>839</v>
      </c>
      <c r="U63" s="537" t="n"/>
      <c r="V63" s="282">
        <f>(T63-U63)/U63</f>
        <v/>
      </c>
      <c r="W63" s="537" t="n">
        <v>3</v>
      </c>
      <c r="X63" s="537" t="n"/>
      <c r="Y63" s="282">
        <f>(W63-X63)/X63</f>
        <v/>
      </c>
      <c r="Z63" s="537">
        <f>E63/W63</f>
        <v/>
      </c>
      <c r="AA63" s="537">
        <f>F63/X63</f>
        <v/>
      </c>
      <c r="AB63" s="282">
        <f>(Z63-AA63)/AA63</f>
        <v/>
      </c>
      <c r="AC63" s="537" t="n">
        <v>378253</v>
      </c>
      <c r="AD63" s="537" t="n"/>
      <c r="AE63" s="282">
        <f>(AC63-AD63)/AD63</f>
        <v/>
      </c>
      <c r="AF63" s="537" t="n">
        <v>1417</v>
      </c>
      <c r="AG63" s="537" t="n"/>
      <c r="AH63">
        <f>(AF63-AG63)/AG63</f>
        <v/>
      </c>
      <c r="AI63" s="537" t="n">
        <v>430819</v>
      </c>
      <c r="AJ63" s="537" t="n"/>
      <c r="AK63" s="282">
        <f>(AI63-AJ63)/AJ63</f>
        <v/>
      </c>
      <c r="AL63" s="286">
        <f>AF63/AI63</f>
        <v/>
      </c>
      <c r="AM63" s="286">
        <f>AG63/AJ63</f>
        <v/>
      </c>
      <c r="AN63" s="282">
        <f>(AL63-AM63)/AM63</f>
        <v/>
      </c>
    </row>
    <row customHeight="1" ht="15.75" r="64" s="452" spans="1:41">
      <c r="A64" s="279" t="n"/>
      <c r="B64" s="279" t="n"/>
      <c r="C64" s="280" t="n"/>
      <c r="D64" s="280" t="n"/>
      <c r="E64" s="535" t="n"/>
      <c r="F64" s="535" t="n"/>
      <c r="G64" s="282">
        <f>(E64-F64)/F64</f>
        <v/>
      </c>
      <c r="H64" s="535" t="n"/>
      <c r="I64" s="536" t="n"/>
      <c r="J64" s="282">
        <f>(H64-I64)/I64</f>
        <v/>
      </c>
      <c r="K64" s="535">
        <f>H64*1.085</f>
        <v/>
      </c>
      <c r="L64" s="535">
        <f>I64*1.085</f>
        <v/>
      </c>
      <c r="M64" s="282">
        <f>(K64-L64)/L64</f>
        <v/>
      </c>
      <c r="N64" s="536">
        <f>E64/H64</f>
        <v/>
      </c>
      <c r="O64" s="536">
        <f>F64/I64</f>
        <v/>
      </c>
      <c r="P64" s="282">
        <f>(N64-O64)/O64</f>
        <v/>
      </c>
      <c r="Q64" s="536">
        <f>E64/K64</f>
        <v/>
      </c>
      <c r="R64" s="536">
        <f>F64/L64</f>
        <v/>
      </c>
      <c r="S64" s="282">
        <f>(Q64-R64)/R64</f>
        <v/>
      </c>
      <c r="T64" s="537" t="n"/>
      <c r="U64" s="537" t="n"/>
      <c r="V64" s="282">
        <f>(T64-U64)/U64</f>
        <v/>
      </c>
      <c r="W64" s="537" t="n"/>
      <c r="X64" s="537" t="n"/>
      <c r="Y64" s="282">
        <f>(W64-X64)/X64</f>
        <v/>
      </c>
      <c r="Z64" s="537">
        <f>E64/W64</f>
        <v/>
      </c>
      <c r="AA64" s="537">
        <f>F64/X64</f>
        <v/>
      </c>
      <c r="AB64" s="282">
        <f>(Z64-AA64)/AA64</f>
        <v/>
      </c>
      <c r="AC64" s="537" t="n"/>
      <c r="AD64" s="537" t="n"/>
      <c r="AE64" s="282">
        <f>(AC64-AD64)/AD64</f>
        <v/>
      </c>
      <c r="AF64" s="537" t="n"/>
      <c r="AG64" s="537" t="n"/>
      <c r="AH64">
        <f>(AF64-AG64)/AG64</f>
        <v/>
      </c>
      <c r="AI64" s="537" t="n"/>
      <c r="AJ64" s="537" t="n"/>
      <c r="AK64" s="282">
        <f>(AI64-AJ64)/AJ64</f>
        <v/>
      </c>
      <c r="AL64" s="286">
        <f>AF64/AI64</f>
        <v/>
      </c>
      <c r="AM64" s="286">
        <f>AG64/AJ64</f>
        <v/>
      </c>
      <c r="AN64" s="282">
        <f>(AL64-AM64)/AM64</f>
        <v/>
      </c>
    </row>
    <row customHeight="1" ht="15.75" r="65" s="452" spans="1:41">
      <c r="A65" s="279" t="n"/>
      <c r="B65" s="279" t="n"/>
      <c r="C65" s="280" t="n"/>
      <c r="D65" s="280" t="n"/>
      <c r="E65" s="535" t="n"/>
      <c r="F65" s="535" t="n"/>
      <c r="G65" s="282">
        <f>(E65-F65)/F65</f>
        <v/>
      </c>
      <c r="H65" s="535" t="n"/>
      <c r="I65" s="536" t="n"/>
      <c r="J65" s="282">
        <f>(H65-I65)/I65</f>
        <v/>
      </c>
      <c r="K65" s="535">
        <f>H65*1.085</f>
        <v/>
      </c>
      <c r="L65" s="535">
        <f>I65*1.085</f>
        <v/>
      </c>
      <c r="M65" s="282">
        <f>(K65-L65)/L65</f>
        <v/>
      </c>
      <c r="N65" s="536">
        <f>E65/H65</f>
        <v/>
      </c>
      <c r="O65" s="536">
        <f>F65/I65</f>
        <v/>
      </c>
      <c r="P65" s="282">
        <f>(N65-O65)/O65</f>
        <v/>
      </c>
      <c r="Q65" s="536">
        <f>E65/K65</f>
        <v/>
      </c>
      <c r="R65" s="536">
        <f>F65/L65</f>
        <v/>
      </c>
      <c r="S65" s="282">
        <f>(Q65-R65)/R65</f>
        <v/>
      </c>
      <c r="T65" s="537" t="n"/>
      <c r="U65" s="537" t="n"/>
      <c r="V65" s="282">
        <f>(T65-U65)/U65</f>
        <v/>
      </c>
      <c r="W65" s="537" t="n"/>
      <c r="X65" s="537" t="n"/>
      <c r="Y65" s="282">
        <f>(W65-X65)/X65</f>
        <v/>
      </c>
      <c r="Z65" s="537">
        <f>E65/W65</f>
        <v/>
      </c>
      <c r="AA65" s="537">
        <f>F65/X65</f>
        <v/>
      </c>
      <c r="AB65" s="282">
        <f>(Z65-AA65)/AA65</f>
        <v/>
      </c>
      <c r="AC65" s="537" t="n"/>
      <c r="AD65" s="537" t="n"/>
      <c r="AE65" s="282">
        <f>(AC65-AD65)/AD65</f>
        <v/>
      </c>
      <c r="AF65" s="537" t="n"/>
      <c r="AG65" s="537" t="n"/>
      <c r="AH65">
        <f>(AF65-AG65)/AG65</f>
        <v/>
      </c>
      <c r="AI65" s="537" t="n"/>
      <c r="AJ65" s="537" t="n"/>
      <c r="AK65" s="282">
        <f>(AI65-AJ65)/AJ65</f>
        <v/>
      </c>
      <c r="AL65" s="286">
        <f>AF65/AI65</f>
        <v/>
      </c>
      <c r="AM65" s="286">
        <f>AG65/AJ65</f>
        <v/>
      </c>
      <c r="AN65" s="282">
        <f>(AL65-AM65)/AM65</f>
        <v/>
      </c>
    </row>
    <row customHeight="1" ht="15.75" r="66" s="452" spans="1:41">
      <c r="A66" s="279" t="n"/>
      <c r="B66" s="279" t="n"/>
      <c r="C66" s="280" t="n"/>
      <c r="D66" s="280" t="n"/>
      <c r="E66" s="535" t="n"/>
      <c r="F66" s="535" t="n"/>
      <c r="G66" s="282">
        <f>(E66-F66)/F66</f>
        <v/>
      </c>
      <c r="H66" s="535" t="n"/>
      <c r="I66" s="536" t="n"/>
      <c r="J66" s="282">
        <f>(H66-I66)/I66</f>
        <v/>
      </c>
      <c r="K66" s="535">
        <f>H66*1.085</f>
        <v/>
      </c>
      <c r="L66" s="535">
        <f>I66*1.085</f>
        <v/>
      </c>
      <c r="M66" s="282">
        <f>(K66-L66)/L66</f>
        <v/>
      </c>
      <c r="N66" s="536">
        <f>E66/H66</f>
        <v/>
      </c>
      <c r="O66" s="536">
        <f>F66/I66</f>
        <v/>
      </c>
      <c r="P66" s="282">
        <f>(N66-O66)/O66</f>
        <v/>
      </c>
      <c r="Q66" s="536">
        <f>E66/K66</f>
        <v/>
      </c>
      <c r="R66" s="536">
        <f>F66/L66</f>
        <v/>
      </c>
      <c r="S66" s="282">
        <f>(Q66-R66)/R66</f>
        <v/>
      </c>
      <c r="T66" s="537" t="n"/>
      <c r="U66" s="537" t="n"/>
      <c r="V66" s="282">
        <f>(T66-U66)/U66</f>
        <v/>
      </c>
      <c r="W66" s="537" t="n"/>
      <c r="X66" s="537" t="n"/>
      <c r="Y66" s="282">
        <f>(W66-X66)/X66</f>
        <v/>
      </c>
      <c r="Z66" s="537">
        <f>E66/W66</f>
        <v/>
      </c>
      <c r="AA66" s="537">
        <f>F66/X66</f>
        <v/>
      </c>
      <c r="AB66" s="282">
        <f>(Z66-AA66)/AA66</f>
        <v/>
      </c>
      <c r="AC66" s="537" t="n"/>
      <c r="AD66" s="537" t="n"/>
      <c r="AE66" s="282">
        <f>(AC66-AD66)/AD66</f>
        <v/>
      </c>
      <c r="AF66" s="537" t="n"/>
      <c r="AG66" s="537" t="n"/>
      <c r="AH66">
        <f>(AF66-AG66)/AG66</f>
        <v/>
      </c>
      <c r="AI66" s="537" t="n"/>
      <c r="AJ66" s="537" t="n"/>
      <c r="AK66" s="282">
        <f>(AI66-AJ66)/AJ66</f>
        <v/>
      </c>
      <c r="AL66" s="286">
        <f>AF66/AI66</f>
        <v/>
      </c>
      <c r="AM66" s="286">
        <f>AG66/AJ66</f>
        <v/>
      </c>
      <c r="AN66" s="282">
        <f>(AL66-AM66)/AM66</f>
        <v/>
      </c>
    </row>
    <row customHeight="1" ht="15.75" r="67" s="452" spans="1:41">
      <c r="A67" s="279" t="n"/>
      <c r="B67" s="279" t="n"/>
      <c r="C67" s="280" t="n"/>
      <c r="D67" s="297" t="s">
        <v>177</v>
      </c>
      <c r="E67" s="535" t="n">
        <v>0</v>
      </c>
      <c r="F67" s="535" t="n"/>
      <c r="G67" s="282">
        <f>(E67-F67)/F67</f>
        <v/>
      </c>
      <c r="H67" s="535" t="n">
        <v>0</v>
      </c>
      <c r="I67" s="536" t="n"/>
      <c r="J67" s="282">
        <f>(H67-I67)/I67</f>
        <v/>
      </c>
      <c r="K67" s="535">
        <f>H67*1.085</f>
        <v/>
      </c>
      <c r="L67" s="535">
        <f>I67*1.085</f>
        <v/>
      </c>
      <c r="M67" s="282">
        <f>(K67-L67)/L67</f>
        <v/>
      </c>
      <c r="N67" s="536">
        <f>E67/H67</f>
        <v/>
      </c>
      <c r="O67" s="536">
        <f>F67/I67</f>
        <v/>
      </c>
      <c r="P67" s="282">
        <f>(N67-O67)/O67</f>
        <v/>
      </c>
      <c r="Q67" s="536">
        <f>E67/K67</f>
        <v/>
      </c>
      <c r="R67" s="536">
        <f>F67/L67</f>
        <v/>
      </c>
      <c r="S67" s="282">
        <f>(Q67-R67)/R67</f>
        <v/>
      </c>
      <c r="T67" s="537" t="n">
        <v>181</v>
      </c>
      <c r="U67" s="537" t="n">
        <v>3</v>
      </c>
      <c r="V67" s="282">
        <f>(T67-U67)/U67</f>
        <v/>
      </c>
      <c r="W67" s="537" t="n">
        <v>0</v>
      </c>
      <c r="X67" s="537" t="n"/>
      <c r="Y67" s="282">
        <f>(W67-X67)/X67</f>
        <v/>
      </c>
      <c r="Z67" s="537">
        <f>E67/W67</f>
        <v/>
      </c>
      <c r="AA67" s="537">
        <f>F67/X67</f>
        <v/>
      </c>
      <c r="AB67" s="282">
        <f>(Z67-AA67)/AA67</f>
        <v/>
      </c>
      <c r="AC67" s="537" t="n"/>
      <c r="AD67" s="537" t="n"/>
      <c r="AE67" s="282">
        <f>(AC67-AD67)/AD67</f>
        <v/>
      </c>
      <c r="AF67" s="537" t="n"/>
      <c r="AG67" s="537" t="n"/>
      <c r="AH67">
        <f>(AF67-AG67)/AG67</f>
        <v/>
      </c>
      <c r="AI67" s="537" t="n"/>
      <c r="AJ67" s="537" t="n"/>
      <c r="AK67" s="282">
        <f>(AI67-AJ67)/AJ67</f>
        <v/>
      </c>
      <c r="AL67" s="286">
        <f>AF67/AI67</f>
        <v/>
      </c>
      <c r="AM67" s="286">
        <f>AG67/AJ67</f>
        <v/>
      </c>
      <c r="AN67" s="282">
        <f>(AL67-AM67)/AM67</f>
        <v/>
      </c>
    </row>
    <row customHeight="1" ht="15.75" r="68" s="452" spans="1:41">
      <c r="A68" s="49" t="s">
        <v>42</v>
      </c>
      <c r="B68" s="49" t="s">
        <v>86</v>
      </c>
      <c r="C68" s="50">
        <f>C62+7</f>
        <v/>
      </c>
      <c r="D68" s="50" t="s">
        <v>60</v>
      </c>
      <c r="E68" s="566">
        <f>SUM(E69:E73)</f>
        <v/>
      </c>
      <c r="F68" s="566">
        <f>SUM(F69:F73)</f>
        <v/>
      </c>
      <c r="G68" s="52">
        <f>(E68-F68)/F68</f>
        <v/>
      </c>
      <c r="H68" s="566">
        <f>SUM(H69:H73)</f>
        <v/>
      </c>
      <c r="I68" s="566">
        <f>SUM(I69:I73)</f>
        <v/>
      </c>
      <c r="J68" s="52">
        <f>(H68-I68)/I68</f>
        <v/>
      </c>
      <c r="K68" s="566">
        <f>H68*1.085</f>
        <v/>
      </c>
      <c r="L68" s="566">
        <f>I68*1.085</f>
        <v/>
      </c>
      <c r="M68" s="52">
        <f>(K68-L68)/L68</f>
        <v/>
      </c>
      <c r="N68" s="567">
        <f>E68/H68</f>
        <v/>
      </c>
      <c r="O68" s="567">
        <f>F68/I68</f>
        <v/>
      </c>
      <c r="P68" s="52">
        <f>(N68-O68)/O68</f>
        <v/>
      </c>
      <c r="Q68" s="567">
        <f>E68/K68</f>
        <v/>
      </c>
      <c r="R68" s="567">
        <f>F68/L68</f>
        <v/>
      </c>
      <c r="S68" s="52">
        <f>(Q68-R68)/R68</f>
        <v/>
      </c>
      <c r="T68" s="568">
        <f>SUM(T69:T73)</f>
        <v/>
      </c>
      <c r="U68" s="568">
        <f>SUM(U69:U73)</f>
        <v/>
      </c>
      <c r="V68" s="52">
        <f>(T68-U68)/U68</f>
        <v/>
      </c>
      <c r="W68" s="568">
        <f>SUM(W69:W73)</f>
        <v/>
      </c>
      <c r="X68" s="568">
        <f>SUM(X69:X73)</f>
        <v/>
      </c>
      <c r="Y68" s="52">
        <f>(W68-X68)/X68</f>
        <v/>
      </c>
      <c r="Z68" s="566">
        <f>E68/W68</f>
        <v/>
      </c>
      <c r="AA68" s="568">
        <f>F68/X68</f>
        <v/>
      </c>
      <c r="AB68" s="52">
        <f>(Z68-AA68)/AA68</f>
        <v/>
      </c>
      <c r="AC68" s="568">
        <f>SUM(AC69:AC73)</f>
        <v/>
      </c>
      <c r="AD68" s="568">
        <f>SUM(AD69:AD73)</f>
        <v/>
      </c>
      <c r="AE68" s="52">
        <f>(AC68-AD68)/AD68</f>
        <v/>
      </c>
      <c r="AF68" s="568">
        <f>SUM(AF69:AF73)</f>
        <v/>
      </c>
      <c r="AG68" s="568">
        <f>SUM(AG69:AG73)</f>
        <v/>
      </c>
      <c r="AH68" s="67">
        <f>(AF68-AG68)/AG68</f>
        <v/>
      </c>
      <c r="AI68" s="568">
        <f>SUM(AI69:AI73)</f>
        <v/>
      </c>
      <c r="AJ68" s="568">
        <f>SUM(AJ69:AJ73)</f>
        <v/>
      </c>
      <c r="AK68" s="52">
        <f>(AI68-AJ68)/AJ68</f>
        <v/>
      </c>
      <c r="AL68" s="82">
        <f>AF68/AI68</f>
        <v/>
      </c>
      <c r="AM68" s="82">
        <f>AG68/AJ68</f>
        <v/>
      </c>
      <c r="AN68" s="52">
        <f>(AL68-AM68)/AM68</f>
        <v/>
      </c>
    </row>
    <row customHeight="1" ht="15.75" r="69" s="452" spans="1:41">
      <c r="A69" s="279" t="n"/>
      <c r="B69" s="279" t="n"/>
      <c r="C69" s="280" t="n"/>
      <c r="D69" s="280" t="n"/>
      <c r="E69" s="535" t="n"/>
      <c r="F69" s="535" t="n"/>
      <c r="G69" s="282">
        <f>(E69-F69)/F69</f>
        <v/>
      </c>
      <c r="H69" s="535" t="n"/>
      <c r="I69" s="536" t="n"/>
      <c r="J69" s="282">
        <f>(H69-I69)/I69</f>
        <v/>
      </c>
      <c r="K69" s="535">
        <f>H69*1.085</f>
        <v/>
      </c>
      <c r="L69" s="535">
        <f>I69*1.085</f>
        <v/>
      </c>
      <c r="M69" s="282">
        <f>(K69-L69)/L69</f>
        <v/>
      </c>
      <c r="N69" s="536">
        <f>E69/H69</f>
        <v/>
      </c>
      <c r="O69" s="536">
        <f>F69/I69</f>
        <v/>
      </c>
      <c r="P69" s="282">
        <f>(N69-O69)/O69</f>
        <v/>
      </c>
      <c r="Q69" s="536">
        <f>E69/K69</f>
        <v/>
      </c>
      <c r="R69" s="536">
        <f>F69/L69</f>
        <v/>
      </c>
      <c r="S69" s="282">
        <f>(Q69-R69)/R69</f>
        <v/>
      </c>
      <c r="T69" s="537" t="n"/>
      <c r="U69" s="537" t="n"/>
      <c r="V69" s="282">
        <f>(T69-U69)/U69</f>
        <v/>
      </c>
      <c r="W69" s="537" t="n"/>
      <c r="X69" s="537" t="n"/>
      <c r="Y69" s="282">
        <f>(W69-X69)/X69</f>
        <v/>
      </c>
      <c r="Z69" s="537">
        <f>E69/W69</f>
        <v/>
      </c>
      <c r="AA69" s="537">
        <f>F69/X69</f>
        <v/>
      </c>
      <c r="AB69" s="282">
        <f>(Z69-AA69)/AA69</f>
        <v/>
      </c>
      <c r="AC69" s="537" t="n"/>
      <c r="AD69" s="537" t="n"/>
      <c r="AE69" s="282">
        <f>(AC69-AD69)/AD69</f>
        <v/>
      </c>
      <c r="AF69" s="537" t="n"/>
      <c r="AG69" s="537" t="n"/>
      <c r="AH69">
        <f>(AF69-AG69)/AG69</f>
        <v/>
      </c>
      <c r="AI69" s="537" t="n"/>
      <c r="AJ69" s="537" t="n"/>
      <c r="AK69" s="282">
        <f>(AI69-AJ69)/AJ69</f>
        <v/>
      </c>
      <c r="AL69" s="286">
        <f>AF69/AI69</f>
        <v/>
      </c>
      <c r="AM69" s="286">
        <f>AG69/AJ69</f>
        <v/>
      </c>
      <c r="AN69" s="282">
        <f>(AL69-AM69)/AM69</f>
        <v/>
      </c>
    </row>
    <row customHeight="1" ht="15.75" r="70" s="452" spans="1:41">
      <c r="A70" s="279" t="n"/>
      <c r="B70" s="279" t="n"/>
      <c r="C70" s="280" t="n"/>
      <c r="D70" s="280" t="n"/>
      <c r="E70" s="535" t="n"/>
      <c r="F70" s="535" t="n"/>
      <c r="G70" s="282">
        <f>(E70-F70)/F70</f>
        <v/>
      </c>
      <c r="H70" s="535" t="n"/>
      <c r="I70" s="536" t="n"/>
      <c r="J70" s="282">
        <f>(H70-I70)/I70</f>
        <v/>
      </c>
      <c r="K70" s="535">
        <f>H70*1.085</f>
        <v/>
      </c>
      <c r="L70" s="535">
        <f>I70*1.085</f>
        <v/>
      </c>
      <c r="M70" s="282">
        <f>(K70-L70)/L70</f>
        <v/>
      </c>
      <c r="N70" s="536">
        <f>E70/H70</f>
        <v/>
      </c>
      <c r="O70" s="536">
        <f>F70/I70</f>
        <v/>
      </c>
      <c r="P70" s="282">
        <f>(N70-O70)/O70</f>
        <v/>
      </c>
      <c r="Q70" s="536">
        <f>E70/K70</f>
        <v/>
      </c>
      <c r="R70" s="536">
        <f>F70/L70</f>
        <v/>
      </c>
      <c r="S70" s="282">
        <f>(Q70-R70)/R70</f>
        <v/>
      </c>
      <c r="T70" s="537" t="n"/>
      <c r="U70" s="537" t="n"/>
      <c r="V70" s="282">
        <f>(T70-U70)/U70</f>
        <v/>
      </c>
      <c r="W70" s="537" t="n"/>
      <c r="X70" s="537" t="n"/>
      <c r="Y70" s="282">
        <f>(W70-X70)/X70</f>
        <v/>
      </c>
      <c r="Z70" s="537">
        <f>E70/W70</f>
        <v/>
      </c>
      <c r="AA70" s="537">
        <f>F70/X70</f>
        <v/>
      </c>
      <c r="AB70" s="282">
        <f>(Z70-AA70)/AA70</f>
        <v/>
      </c>
      <c r="AC70" s="537" t="n"/>
      <c r="AD70" s="537" t="n"/>
      <c r="AE70" s="282">
        <f>(AC70-AD70)/AD70</f>
        <v/>
      </c>
      <c r="AF70" s="537" t="n"/>
      <c r="AG70" s="537" t="n"/>
      <c r="AH70">
        <f>(AF70-AG70)/AG70</f>
        <v/>
      </c>
      <c r="AI70" s="537" t="n"/>
      <c r="AJ70" s="537" t="n"/>
      <c r="AK70" s="282">
        <f>(AI70-AJ70)/AJ70</f>
        <v/>
      </c>
      <c r="AL70" s="286">
        <f>AF70/AI70</f>
        <v/>
      </c>
      <c r="AM70" s="286">
        <f>AG70/AJ70</f>
        <v/>
      </c>
      <c r="AN70" s="282">
        <f>(AL70-AM70)/AM70</f>
        <v/>
      </c>
    </row>
    <row customHeight="1" ht="15.75" r="71" s="452" spans="1:41">
      <c r="A71" s="279" t="n"/>
      <c r="B71" s="279" t="n"/>
      <c r="C71" s="280" t="n"/>
      <c r="D71" s="280" t="n"/>
      <c r="E71" s="535" t="n"/>
      <c r="F71" s="535" t="n"/>
      <c r="G71" s="282">
        <f>(E71-F71)/F71</f>
        <v/>
      </c>
      <c r="H71" s="535" t="n"/>
      <c r="I71" s="536" t="n"/>
      <c r="J71" s="282">
        <f>(H71-I71)/I71</f>
        <v/>
      </c>
      <c r="K71" s="535">
        <f>H71*1.085</f>
        <v/>
      </c>
      <c r="L71" s="535">
        <f>I71*1.085</f>
        <v/>
      </c>
      <c r="M71" s="282">
        <f>(K71-L71)/L71</f>
        <v/>
      </c>
      <c r="N71" s="536">
        <f>E71/H71</f>
        <v/>
      </c>
      <c r="O71" s="536">
        <f>F71/I71</f>
        <v/>
      </c>
      <c r="P71" s="282">
        <f>(N71-O71)/O71</f>
        <v/>
      </c>
      <c r="Q71" s="536">
        <f>E71/K71</f>
        <v/>
      </c>
      <c r="R71" s="536">
        <f>F71/L71</f>
        <v/>
      </c>
      <c r="S71" s="282">
        <f>(Q71-R71)/R71</f>
        <v/>
      </c>
      <c r="T71" s="537" t="n"/>
      <c r="U71" s="537" t="n"/>
      <c r="V71" s="282">
        <f>(T71-U71)/U71</f>
        <v/>
      </c>
      <c r="W71" s="537" t="n"/>
      <c r="X71" s="537" t="n"/>
      <c r="Y71" s="282">
        <f>(W71-X71)/X71</f>
        <v/>
      </c>
      <c r="Z71" s="537">
        <f>E71/W71</f>
        <v/>
      </c>
      <c r="AA71" s="537">
        <f>F71/X71</f>
        <v/>
      </c>
      <c r="AB71" s="282">
        <f>(Z71-AA71)/AA71</f>
        <v/>
      </c>
      <c r="AC71" s="537" t="n"/>
      <c r="AD71" s="537" t="n"/>
      <c r="AE71" s="282">
        <f>(AC71-AD71)/AD71</f>
        <v/>
      </c>
      <c r="AF71" s="537" t="n"/>
      <c r="AG71" s="537" t="n"/>
      <c r="AH71">
        <f>(AF71-AG71)/AG71</f>
        <v/>
      </c>
      <c r="AI71" s="537" t="n"/>
      <c r="AJ71" s="537" t="n"/>
      <c r="AK71" s="282">
        <f>(AI71-AJ71)/AJ71</f>
        <v/>
      </c>
      <c r="AL71" s="286">
        <f>AF71/AI71</f>
        <v/>
      </c>
      <c r="AM71" s="286">
        <f>AG71/AJ71</f>
        <v/>
      </c>
      <c r="AN71" s="282">
        <f>(AL71-AM71)/AM71</f>
        <v/>
      </c>
    </row>
    <row customHeight="1" ht="15.75" r="72" s="452" spans="1:41">
      <c r="A72" s="279" t="n"/>
      <c r="B72" s="279" t="n"/>
      <c r="C72" s="280" t="n"/>
      <c r="D72" s="280" t="n"/>
      <c r="E72" s="535" t="n"/>
      <c r="F72" s="535" t="n"/>
      <c r="G72" s="282">
        <f>(E72-F72)/F72</f>
        <v/>
      </c>
      <c r="H72" s="535" t="n"/>
      <c r="I72" s="536" t="n"/>
      <c r="J72" s="282">
        <f>(H72-I72)/I72</f>
        <v/>
      </c>
      <c r="K72" s="535">
        <f>H72*1.085</f>
        <v/>
      </c>
      <c r="L72" s="535">
        <f>I72*1.085</f>
        <v/>
      </c>
      <c r="M72" s="282">
        <f>(K72-L72)/L72</f>
        <v/>
      </c>
      <c r="N72" s="536">
        <f>E72/H72</f>
        <v/>
      </c>
      <c r="O72" s="536">
        <f>F72/I72</f>
        <v/>
      </c>
      <c r="P72" s="282">
        <f>(N72-O72)/O72</f>
        <v/>
      </c>
      <c r="Q72" s="536">
        <f>E72/K72</f>
        <v/>
      </c>
      <c r="R72" s="536">
        <f>F72/L72</f>
        <v/>
      </c>
      <c r="S72" s="282">
        <f>(Q72-R72)/R72</f>
        <v/>
      </c>
      <c r="T72" s="537" t="n"/>
      <c r="U72" s="537" t="n"/>
      <c r="V72" s="282">
        <f>(T72-U72)/U72</f>
        <v/>
      </c>
      <c r="W72" s="537" t="n"/>
      <c r="X72" s="537" t="n"/>
      <c r="Y72" s="282">
        <f>(W72-X72)/X72</f>
        <v/>
      </c>
      <c r="Z72" s="537">
        <f>E72/W72</f>
        <v/>
      </c>
      <c r="AA72" s="537">
        <f>F72/X72</f>
        <v/>
      </c>
      <c r="AB72" s="282">
        <f>(Z72-AA72)/AA72</f>
        <v/>
      </c>
      <c r="AC72" s="537" t="n"/>
      <c r="AD72" s="537" t="n"/>
      <c r="AE72" s="282">
        <f>(AC72-AD72)/AD72</f>
        <v/>
      </c>
      <c r="AF72" s="537" t="n"/>
      <c r="AG72" s="537" t="n"/>
      <c r="AH72">
        <f>(AF72-AG72)/AG72</f>
        <v/>
      </c>
      <c r="AI72" s="537" t="n"/>
      <c r="AJ72" s="537" t="n"/>
      <c r="AK72" s="282">
        <f>(AI72-AJ72)/AJ72</f>
        <v/>
      </c>
      <c r="AL72" s="286">
        <f>AF72/AI72</f>
        <v/>
      </c>
      <c r="AM72" s="286">
        <f>AG72/AJ72</f>
        <v/>
      </c>
      <c r="AN72" s="282">
        <f>(AL72-AM72)/AM72</f>
        <v/>
      </c>
    </row>
    <row customFormat="1" customHeight="1" ht="15.75" r="73" s="357" spans="1:41">
      <c r="A73" s="347" t="n"/>
      <c r="B73" s="347" t="n"/>
      <c r="C73" s="348" t="n"/>
      <c r="D73" s="349" t="s">
        <v>177</v>
      </c>
      <c r="E73" s="612" t="n">
        <v>24</v>
      </c>
      <c r="F73" s="612" t="n"/>
      <c r="G73" s="351">
        <f>(E73-F73)/F73</f>
        <v/>
      </c>
      <c r="H73" s="612" t="n">
        <v>0</v>
      </c>
      <c r="I73" s="613" t="n"/>
      <c r="J73" s="351">
        <f>(H73-I73)/I73</f>
        <v/>
      </c>
      <c r="K73" s="612">
        <f>H73*1.085</f>
        <v/>
      </c>
      <c r="L73" s="612">
        <f>I73*1.085</f>
        <v/>
      </c>
      <c r="M73" s="351">
        <f>(K73-L73)/L73</f>
        <v/>
      </c>
      <c r="N73" s="613">
        <f>E73/H73</f>
        <v/>
      </c>
      <c r="O73" s="613">
        <f>F73/I73</f>
        <v/>
      </c>
      <c r="P73" s="351">
        <f>(N73-O73)/O73</f>
        <v/>
      </c>
      <c r="Q73" s="613">
        <f>E73/K73</f>
        <v/>
      </c>
      <c r="R73" s="613">
        <f>F73/L73</f>
        <v/>
      </c>
      <c r="S73" s="351">
        <f>(Q73-R73)/R73</f>
        <v/>
      </c>
      <c r="T73" s="614" t="n">
        <v>269</v>
      </c>
      <c r="U73" s="614" t="n">
        <v>62</v>
      </c>
      <c r="V73" s="351">
        <f>(T73-U73)/U73</f>
        <v/>
      </c>
      <c r="W73" s="614" t="n">
        <v>1</v>
      </c>
      <c r="X73" s="614" t="n"/>
      <c r="Y73" s="351">
        <f>(W73-X73)/X73</f>
        <v/>
      </c>
      <c r="Z73" s="614">
        <f>E73/W73</f>
        <v/>
      </c>
      <c r="AA73" s="614">
        <f>F73/X73</f>
        <v/>
      </c>
      <c r="AB73" s="351">
        <f>(Z73-AA73)/AA73</f>
        <v/>
      </c>
      <c r="AC73" s="614" t="n"/>
      <c r="AD73" s="614" t="n"/>
      <c r="AE73" s="351">
        <f>(AC73-AD73)/AD73</f>
        <v/>
      </c>
      <c r="AF73" s="614" t="n"/>
      <c r="AG73" s="614" t="n"/>
      <c r="AH73" s="357">
        <f>(AF73-AG73)/AG73</f>
        <v/>
      </c>
      <c r="AI73" s="614" t="n"/>
      <c r="AJ73" s="614" t="n"/>
      <c r="AK73" s="351">
        <f>(AI73-AJ73)/AJ73</f>
        <v/>
      </c>
      <c r="AL73" s="356">
        <f>AF73/AI73</f>
        <v/>
      </c>
      <c r="AM73" s="356">
        <f>AG73/AJ73</f>
        <v/>
      </c>
      <c r="AN73" s="351">
        <f>(AL73-AM73)/AM73</f>
        <v/>
      </c>
      <c r="AO73" s="357" t="n"/>
    </row>
    <row customHeight="1" ht="15.75" r="74" s="452" spans="1:41">
      <c r="A74" s="49" t="s">
        <v>43</v>
      </c>
      <c r="B74" s="49" t="s">
        <v>88</v>
      </c>
      <c r="C74" s="50">
        <f>C68+7</f>
        <v/>
      </c>
      <c r="D74" s="50" t="s">
        <v>60</v>
      </c>
      <c r="E74" s="566">
        <f>SUM(E75:E79)</f>
        <v/>
      </c>
      <c r="F74" s="566">
        <f>SUM(F75:F79)</f>
        <v/>
      </c>
      <c r="G74" s="52">
        <f>(E74-F74)/F74</f>
        <v/>
      </c>
      <c r="H74" s="566">
        <f>SUM(H75:H79)</f>
        <v/>
      </c>
      <c r="I74" s="566">
        <f>SUM(I75:I79)</f>
        <v/>
      </c>
      <c r="J74" s="52">
        <f>(H74-I74)/I74</f>
        <v/>
      </c>
      <c r="K74" s="566">
        <f>H74*1.085</f>
        <v/>
      </c>
      <c r="L74" s="566">
        <f>I74*1.085</f>
        <v/>
      </c>
      <c r="M74" s="52">
        <f>(K74-L74)/L74</f>
        <v/>
      </c>
      <c r="N74" s="567">
        <f>E74/H74</f>
        <v/>
      </c>
      <c r="O74" s="567">
        <f>F74/I74</f>
        <v/>
      </c>
      <c r="P74" s="52">
        <f>(N74-O74)/O74</f>
        <v/>
      </c>
      <c r="Q74" s="567">
        <f>E74/K74</f>
        <v/>
      </c>
      <c r="R74" s="567">
        <f>F74/L74</f>
        <v/>
      </c>
      <c r="S74" s="52">
        <f>(Q74-R74)/R74</f>
        <v/>
      </c>
      <c r="T74" s="568">
        <f>SUM(T75:T79)</f>
        <v/>
      </c>
      <c r="U74" s="568">
        <f>SUM(U75:U79)</f>
        <v/>
      </c>
      <c r="V74" s="52">
        <f>(T74-U74)/U74</f>
        <v/>
      </c>
      <c r="W74" s="568">
        <f>SUM(W75:W79)</f>
        <v/>
      </c>
      <c r="X74" s="568">
        <f>SUM(X75:X79)</f>
        <v/>
      </c>
      <c r="Y74" s="52">
        <f>(W74-X74)/X74</f>
        <v/>
      </c>
      <c r="Z74" s="566">
        <f>E74/W74</f>
        <v/>
      </c>
      <c r="AA74" s="568">
        <f>F74/X74</f>
        <v/>
      </c>
      <c r="AB74" s="52">
        <f>(Z74-AA74)/AA74</f>
        <v/>
      </c>
      <c r="AC74" s="568">
        <f>SUM(AC75:AC79)</f>
        <v/>
      </c>
      <c r="AD74" s="568">
        <f>SUM(AD75:AD79)</f>
        <v/>
      </c>
      <c r="AE74" s="52">
        <f>(AC74-AD74)/AD74</f>
        <v/>
      </c>
      <c r="AF74" s="568">
        <f>SUM(AF75:AF79)</f>
        <v/>
      </c>
      <c r="AG74" s="568">
        <f>SUM(AG75:AG79)</f>
        <v/>
      </c>
      <c r="AH74" s="67">
        <f>(AF74-AG74)/AG74</f>
        <v/>
      </c>
      <c r="AI74" s="568">
        <f>SUM(AI75:AI79)</f>
        <v/>
      </c>
      <c r="AJ74" s="568">
        <f>SUM(AJ75:AJ79)</f>
        <v/>
      </c>
      <c r="AK74" s="52">
        <f>(AI74-AJ74)/AJ74</f>
        <v/>
      </c>
      <c r="AL74" s="82">
        <f>AF74/AI74</f>
        <v/>
      </c>
      <c r="AM74" s="82">
        <f>AG74/AJ74</f>
        <v/>
      </c>
      <c r="AN74" s="52">
        <f>(AL74-AM74)/AM74</f>
        <v/>
      </c>
    </row>
    <row customHeight="1" ht="15.75" r="75" s="452" spans="1:41">
      <c r="A75" s="279" t="n"/>
      <c r="B75" s="279" t="n"/>
      <c r="C75" s="280" t="n"/>
      <c r="D75" s="280" t="n"/>
      <c r="E75" s="535" t="n"/>
      <c r="F75" s="535" t="n"/>
      <c r="G75" s="282">
        <f>(E75-F75)/F75</f>
        <v/>
      </c>
      <c r="H75" s="535" t="n"/>
      <c r="I75" s="536" t="n"/>
      <c r="J75" s="282">
        <f>(H75-I75)/I75</f>
        <v/>
      </c>
      <c r="K75" s="535">
        <f>H75*1.085</f>
        <v/>
      </c>
      <c r="L75" s="535">
        <f>I75*1.085</f>
        <v/>
      </c>
      <c r="M75" s="282">
        <f>(K75-L75)/L75</f>
        <v/>
      </c>
      <c r="N75" s="536">
        <f>E75/H75</f>
        <v/>
      </c>
      <c r="O75" s="536">
        <f>F75/I75</f>
        <v/>
      </c>
      <c r="P75" s="282">
        <f>(N75-O75)/O75</f>
        <v/>
      </c>
      <c r="Q75" s="536">
        <f>E75/K75</f>
        <v/>
      </c>
      <c r="R75" s="536">
        <f>F75/L75</f>
        <v/>
      </c>
      <c r="S75" s="282">
        <f>(Q75-R75)/R75</f>
        <v/>
      </c>
      <c r="T75" s="537" t="n"/>
      <c r="U75" s="537" t="n"/>
      <c r="V75" s="282">
        <f>(T75-U75)/U75</f>
        <v/>
      </c>
      <c r="W75" s="537" t="n"/>
      <c r="X75" s="537" t="n"/>
      <c r="Y75" s="282">
        <f>(W75-X75)/X75</f>
        <v/>
      </c>
      <c r="Z75" s="537">
        <f>E75/W75</f>
        <v/>
      </c>
      <c r="AA75" s="537">
        <f>F75/X75</f>
        <v/>
      </c>
      <c r="AB75" s="282">
        <f>(Z75-AA75)/AA75</f>
        <v/>
      </c>
      <c r="AC75" s="537" t="n"/>
      <c r="AD75" s="537" t="n"/>
      <c r="AE75" s="282">
        <f>(AC75-AD75)/AD75</f>
        <v/>
      </c>
      <c r="AF75" s="537" t="n"/>
      <c r="AG75" s="537" t="n"/>
      <c r="AH75">
        <f>(AF75-AG75)/AG75</f>
        <v/>
      </c>
      <c r="AI75" s="537" t="n"/>
      <c r="AJ75" s="537" t="n"/>
      <c r="AK75" s="282">
        <f>(AI75-AJ75)/AJ75</f>
        <v/>
      </c>
      <c r="AL75" s="286">
        <f>AF75/AI75</f>
        <v/>
      </c>
      <c r="AM75" s="286">
        <f>AG75/AJ75</f>
        <v/>
      </c>
      <c r="AN75" s="282">
        <f>(AL75-AM75)/AM75</f>
        <v/>
      </c>
    </row>
    <row customHeight="1" ht="15.75" r="76" s="452" spans="1:41">
      <c r="A76" s="279" t="n"/>
      <c r="B76" s="279" t="n"/>
      <c r="C76" s="280" t="n"/>
      <c r="D76" s="280" t="n"/>
      <c r="E76" s="535" t="n"/>
      <c r="F76" s="535" t="n"/>
      <c r="G76" s="282">
        <f>(E76-F76)/F76</f>
        <v/>
      </c>
      <c r="H76" s="535" t="n"/>
      <c r="I76" s="536" t="n"/>
      <c r="J76" s="282">
        <f>(H76-I76)/I76</f>
        <v/>
      </c>
      <c r="K76" s="535">
        <f>H76*1.085</f>
        <v/>
      </c>
      <c r="L76" s="535">
        <f>I76*1.085</f>
        <v/>
      </c>
      <c r="M76" s="282">
        <f>(K76-L76)/L76</f>
        <v/>
      </c>
      <c r="N76" s="536">
        <f>E76/H76</f>
        <v/>
      </c>
      <c r="O76" s="536">
        <f>F76/I76</f>
        <v/>
      </c>
      <c r="P76" s="282">
        <f>(N76-O76)/O76</f>
        <v/>
      </c>
      <c r="Q76" s="536">
        <f>E76/K76</f>
        <v/>
      </c>
      <c r="R76" s="536">
        <f>F76/L76</f>
        <v/>
      </c>
      <c r="S76" s="282">
        <f>(Q76-R76)/R76</f>
        <v/>
      </c>
      <c r="T76" s="537" t="n"/>
      <c r="U76" s="537" t="n"/>
      <c r="V76" s="282">
        <f>(T76-U76)/U76</f>
        <v/>
      </c>
      <c r="W76" s="537" t="n"/>
      <c r="X76" s="537" t="n"/>
      <c r="Y76" s="282">
        <f>(W76-X76)/X76</f>
        <v/>
      </c>
      <c r="Z76" s="537">
        <f>E76/W76</f>
        <v/>
      </c>
      <c r="AA76" s="537">
        <f>F76/X76</f>
        <v/>
      </c>
      <c r="AB76" s="282">
        <f>(Z76-AA76)/AA76</f>
        <v/>
      </c>
      <c r="AC76" s="537" t="n"/>
      <c r="AD76" s="537" t="n"/>
      <c r="AE76" s="282">
        <f>(AC76-AD76)/AD76</f>
        <v/>
      </c>
      <c r="AF76" s="537" t="n"/>
      <c r="AG76" s="537" t="n"/>
      <c r="AH76">
        <f>(AF76-AG76)/AG76</f>
        <v/>
      </c>
      <c r="AI76" s="537" t="n"/>
      <c r="AJ76" s="537" t="n"/>
      <c r="AK76" s="282">
        <f>(AI76-AJ76)/AJ76</f>
        <v/>
      </c>
      <c r="AL76" s="286">
        <f>AF76/AI76</f>
        <v/>
      </c>
      <c r="AM76" s="286">
        <f>AG76/AJ76</f>
        <v/>
      </c>
      <c r="AN76" s="282">
        <f>(AL76-AM76)/AM76</f>
        <v/>
      </c>
    </row>
    <row customHeight="1" ht="15.75" r="77" s="452" spans="1:41">
      <c r="A77" s="279" t="n"/>
      <c r="B77" s="279" t="n"/>
      <c r="C77" s="280" t="n"/>
      <c r="D77" s="280" t="n"/>
      <c r="E77" s="535" t="n"/>
      <c r="F77" s="535" t="n"/>
      <c r="G77" s="282">
        <f>(E77-F77)/F77</f>
        <v/>
      </c>
      <c r="H77" s="535" t="n"/>
      <c r="I77" s="536" t="n"/>
      <c r="J77" s="282">
        <f>(H77-I77)/I77</f>
        <v/>
      </c>
      <c r="K77" s="535">
        <f>H77*1.085</f>
        <v/>
      </c>
      <c r="L77" s="535">
        <f>I77*1.085</f>
        <v/>
      </c>
      <c r="M77" s="282">
        <f>(K77-L77)/L77</f>
        <v/>
      </c>
      <c r="N77" s="536">
        <f>E77/H77</f>
        <v/>
      </c>
      <c r="O77" s="536">
        <f>F77/I77</f>
        <v/>
      </c>
      <c r="P77" s="282">
        <f>(N77-O77)/O77</f>
        <v/>
      </c>
      <c r="Q77" s="536">
        <f>E77/K77</f>
        <v/>
      </c>
      <c r="R77" s="536">
        <f>F77/L77</f>
        <v/>
      </c>
      <c r="S77" s="282">
        <f>(Q77-R77)/R77</f>
        <v/>
      </c>
      <c r="T77" s="537" t="n"/>
      <c r="U77" s="537" t="n"/>
      <c r="V77" s="282">
        <f>(T77-U77)/U77</f>
        <v/>
      </c>
      <c r="W77" s="537" t="n"/>
      <c r="X77" s="537" t="n"/>
      <c r="Y77" s="282">
        <f>(W77-X77)/X77</f>
        <v/>
      </c>
      <c r="Z77" s="537">
        <f>E77/W77</f>
        <v/>
      </c>
      <c r="AA77" s="537">
        <f>F77/X77</f>
        <v/>
      </c>
      <c r="AB77" s="282">
        <f>(Z77-AA77)/AA77</f>
        <v/>
      </c>
      <c r="AC77" s="537" t="n"/>
      <c r="AD77" s="537" t="n"/>
      <c r="AE77" s="282">
        <f>(AC77-AD77)/AD77</f>
        <v/>
      </c>
      <c r="AF77" s="537" t="n"/>
      <c r="AG77" s="537" t="n"/>
      <c r="AH77">
        <f>(AF77-AG77)/AG77</f>
        <v/>
      </c>
      <c r="AI77" s="537" t="n"/>
      <c r="AJ77" s="537" t="n"/>
      <c r="AK77" s="282">
        <f>(AI77-AJ77)/AJ77</f>
        <v/>
      </c>
      <c r="AL77" s="286">
        <f>AF77/AI77</f>
        <v/>
      </c>
      <c r="AM77" s="286">
        <f>AG77/AJ77</f>
        <v/>
      </c>
      <c r="AN77" s="282">
        <f>(AL77-AM77)/AM77</f>
        <v/>
      </c>
    </row>
    <row customHeight="1" ht="15.75" r="78" s="452" spans="1:41">
      <c r="A78" s="279" t="n"/>
      <c r="B78" s="279" t="n"/>
      <c r="C78" s="280" t="n"/>
      <c r="D78" s="280" t="n"/>
      <c r="E78" s="535" t="n"/>
      <c r="F78" s="535" t="n"/>
      <c r="G78" s="282">
        <f>(E78-F78)/F78</f>
        <v/>
      </c>
      <c r="H78" s="535" t="n"/>
      <c r="I78" s="536" t="n"/>
      <c r="J78" s="282">
        <f>(H78-I78)/I78</f>
        <v/>
      </c>
      <c r="K78" s="535">
        <f>H78*1.085</f>
        <v/>
      </c>
      <c r="L78" s="535">
        <f>I78*1.085</f>
        <v/>
      </c>
      <c r="M78" s="282">
        <f>(K78-L78)/L78</f>
        <v/>
      </c>
      <c r="N78" s="536">
        <f>E78/H78</f>
        <v/>
      </c>
      <c r="O78" s="536">
        <f>F78/I78</f>
        <v/>
      </c>
      <c r="P78" s="282">
        <f>(N78-O78)/O78</f>
        <v/>
      </c>
      <c r="Q78" s="536">
        <f>E78/K78</f>
        <v/>
      </c>
      <c r="R78" s="536">
        <f>F78/L78</f>
        <v/>
      </c>
      <c r="S78" s="282">
        <f>(Q78-R78)/R78</f>
        <v/>
      </c>
      <c r="T78" s="537" t="n"/>
      <c r="U78" s="537" t="n"/>
      <c r="V78" s="282">
        <f>(T78-U78)/U78</f>
        <v/>
      </c>
      <c r="W78" s="537" t="n"/>
      <c r="X78" s="537" t="n"/>
      <c r="Y78" s="282">
        <f>(W78-X78)/X78</f>
        <v/>
      </c>
      <c r="Z78" s="537">
        <f>E78/W78</f>
        <v/>
      </c>
      <c r="AA78" s="537">
        <f>F78/X78</f>
        <v/>
      </c>
      <c r="AB78" s="282">
        <f>(Z78-AA78)/AA78</f>
        <v/>
      </c>
      <c r="AC78" s="537" t="n"/>
      <c r="AD78" s="537" t="n"/>
      <c r="AE78" s="282">
        <f>(AC78-AD78)/AD78</f>
        <v/>
      </c>
      <c r="AF78" s="537" t="n"/>
      <c r="AG78" s="537" t="n"/>
      <c r="AH78">
        <f>(AF78-AG78)/AG78</f>
        <v/>
      </c>
      <c r="AI78" s="537" t="n"/>
      <c r="AJ78" s="537" t="n"/>
      <c r="AK78" s="282">
        <f>(AI78-AJ78)/AJ78</f>
        <v/>
      </c>
      <c r="AL78" s="286">
        <f>AF78/AI78</f>
        <v/>
      </c>
      <c r="AM78" s="286">
        <f>AG78/AJ78</f>
        <v/>
      </c>
      <c r="AN78" s="282">
        <f>(AL78-AM78)/AM78</f>
        <v/>
      </c>
    </row>
    <row customHeight="1" ht="15.75" r="79" s="452" spans="1:41">
      <c r="A79" s="279" t="n"/>
      <c r="B79" s="279" t="n"/>
      <c r="C79" s="280" t="n"/>
      <c r="D79" s="297" t="s">
        <v>177</v>
      </c>
      <c r="E79" s="535" t="n">
        <v>0</v>
      </c>
      <c r="F79" s="535" t="n"/>
      <c r="G79" s="282">
        <f>(E79-F79)/F79</f>
        <v/>
      </c>
      <c r="H79" s="535" t="n">
        <v>0</v>
      </c>
      <c r="I79" s="536" t="n"/>
      <c r="J79" s="282">
        <f>(H79-I79)/I79</f>
        <v/>
      </c>
      <c r="K79" s="535">
        <f>H79*1.085</f>
        <v/>
      </c>
      <c r="L79" s="535">
        <f>I79*1.085</f>
        <v/>
      </c>
      <c r="M79" s="282">
        <f>(K79-L79)/L79</f>
        <v/>
      </c>
      <c r="N79" s="536">
        <f>E79/H79</f>
        <v/>
      </c>
      <c r="O79" s="536">
        <f>F79/I79</f>
        <v/>
      </c>
      <c r="P79" s="282">
        <f>(N79-O79)/O79</f>
        <v/>
      </c>
      <c r="Q79" s="536">
        <f>E79/K79</f>
        <v/>
      </c>
      <c r="R79" s="536">
        <f>F79/L79</f>
        <v/>
      </c>
      <c r="S79" s="282">
        <f>(Q79-R79)/R79</f>
        <v/>
      </c>
      <c r="T79" s="537" t="n">
        <v>311</v>
      </c>
      <c r="U79" s="537" t="n">
        <v>89</v>
      </c>
      <c r="V79" s="282">
        <f>(T79-U79)/U79</f>
        <v/>
      </c>
      <c r="W79" s="537" t="n">
        <v>0</v>
      </c>
      <c r="X79" s="537" t="n"/>
      <c r="Y79" s="282">
        <f>(W79-X79)/X79</f>
        <v/>
      </c>
      <c r="Z79" s="537">
        <f>E79/W79</f>
        <v/>
      </c>
      <c r="AA79" s="537">
        <f>F79/X79</f>
        <v/>
      </c>
      <c r="AB79" s="282">
        <f>(Z79-AA79)/AA79</f>
        <v/>
      </c>
      <c r="AC79" s="537" t="n"/>
      <c r="AD79" s="537" t="n"/>
      <c r="AE79" s="282">
        <f>(AC79-AD79)/AD79</f>
        <v/>
      </c>
      <c r="AF79" s="537" t="n"/>
      <c r="AG79" s="537" t="n"/>
      <c r="AH79">
        <f>(AF79-AG79)/AG79</f>
        <v/>
      </c>
      <c r="AI79" s="537" t="n"/>
      <c r="AJ79" s="537" t="n"/>
      <c r="AK79" s="282">
        <f>(AI79-AJ79)/AJ79</f>
        <v/>
      </c>
      <c r="AL79" s="286">
        <f>AF79/AI79</f>
        <v/>
      </c>
      <c r="AM79" s="286">
        <f>AG79/AJ79</f>
        <v/>
      </c>
      <c r="AN79" s="282">
        <f>(AL79-AM79)/AM79</f>
        <v/>
      </c>
    </row>
    <row customHeight="1" ht="15.75" r="80" s="452" spans="1:41">
      <c r="A80" s="49" t="s">
        <v>43</v>
      </c>
      <c r="B80" s="49" t="s">
        <v>90</v>
      </c>
      <c r="C80" s="50">
        <f>C74+7</f>
        <v/>
      </c>
      <c r="D80" s="50" t="s">
        <v>60</v>
      </c>
      <c r="E80" s="566">
        <f>SUM(E81:E85)</f>
        <v/>
      </c>
      <c r="F80" s="566">
        <f>SUM(F81:F85)</f>
        <v/>
      </c>
      <c r="G80" s="52">
        <f>(E80-F80)/F80</f>
        <v/>
      </c>
      <c r="H80" s="566">
        <f>SUM(H81:H85)</f>
        <v/>
      </c>
      <c r="I80" s="566">
        <f>SUM(I81:I85)</f>
        <v/>
      </c>
      <c r="J80" s="52">
        <f>(H80-I80)/I80</f>
        <v/>
      </c>
      <c r="K80" s="566">
        <f>H80*1.085</f>
        <v/>
      </c>
      <c r="L80" s="566">
        <f>I80*1.085</f>
        <v/>
      </c>
      <c r="M80" s="52">
        <f>(K80-L80)/L80</f>
        <v/>
      </c>
      <c r="N80" s="567">
        <f>E80/H80</f>
        <v/>
      </c>
      <c r="O80" s="567">
        <f>F80/I80</f>
        <v/>
      </c>
      <c r="P80" s="52">
        <f>(N80-O80)/O80</f>
        <v/>
      </c>
      <c r="Q80" s="567">
        <f>E80/K80</f>
        <v/>
      </c>
      <c r="R80" s="567">
        <f>F80/L80</f>
        <v/>
      </c>
      <c r="S80" s="52">
        <f>(Q80-R80)/R80</f>
        <v/>
      </c>
      <c r="T80" s="568">
        <f>SUM(T81:T85)</f>
        <v/>
      </c>
      <c r="U80" s="568">
        <f>SUM(U81:U85)</f>
        <v/>
      </c>
      <c r="V80" s="52">
        <f>(T80-U80)/U80</f>
        <v/>
      </c>
      <c r="W80" s="568">
        <f>SUM(W81:W85)</f>
        <v/>
      </c>
      <c r="X80" s="568">
        <f>SUM(X81:X85)</f>
        <v/>
      </c>
      <c r="Y80" s="52">
        <f>(W80-X80)/X80</f>
        <v/>
      </c>
      <c r="Z80" s="566">
        <f>E80/W80</f>
        <v/>
      </c>
      <c r="AA80" s="568">
        <f>F80/X80</f>
        <v/>
      </c>
      <c r="AB80" s="52">
        <f>(Z80-AA80)/AA80</f>
        <v/>
      </c>
      <c r="AC80" s="568">
        <f>SUM(AC81:AC85)</f>
        <v/>
      </c>
      <c r="AD80" s="568">
        <f>SUM(AD81:AD85)</f>
        <v/>
      </c>
      <c r="AE80" s="52">
        <f>(AC80-AD80)/AD80</f>
        <v/>
      </c>
      <c r="AF80" s="568">
        <f>SUM(AF81:AF85)</f>
        <v/>
      </c>
      <c r="AG80" s="568">
        <f>SUM(AG81:AG85)</f>
        <v/>
      </c>
      <c r="AH80" s="67">
        <f>(AF80-AG80)/AG80</f>
        <v/>
      </c>
      <c r="AI80" s="568">
        <f>SUM(AI81:AI85)</f>
        <v/>
      </c>
      <c r="AJ80" s="568">
        <f>SUM(AJ81:AJ85)</f>
        <v/>
      </c>
      <c r="AK80" s="52">
        <f>(AI80-AJ80)/AJ80</f>
        <v/>
      </c>
      <c r="AL80" s="82">
        <f>AF80/AI80</f>
        <v/>
      </c>
      <c r="AM80" s="82">
        <f>AG80/AJ80</f>
        <v/>
      </c>
      <c r="AN80" s="52">
        <f>(AL80-AM80)/AM80</f>
        <v/>
      </c>
      <c r="AO80" t="s">
        <v>182</v>
      </c>
    </row>
    <row customHeight="1" ht="15.75" r="81" s="452" spans="1:41">
      <c r="A81" s="279" t="n"/>
      <c r="B81" s="279" t="n"/>
      <c r="C81" s="280" t="n"/>
      <c r="D81" s="297" t="s">
        <v>182</v>
      </c>
      <c r="E81" s="535" t="n">
        <v>0</v>
      </c>
      <c r="F81" s="535" t="n"/>
      <c r="G81" s="282">
        <f>(E81-F81)/F81</f>
        <v/>
      </c>
      <c r="H81" s="535" t="n">
        <v>4335</v>
      </c>
      <c r="I81" s="536" t="n"/>
      <c r="J81" s="282">
        <f>(H81-I81)/I81</f>
        <v/>
      </c>
      <c r="K81" s="535">
        <f>H81*1.085</f>
        <v/>
      </c>
      <c r="L81" s="535">
        <f>I81*1.085</f>
        <v/>
      </c>
      <c r="M81" s="282">
        <f>(K81-L81)/L81</f>
        <v/>
      </c>
      <c r="N81" s="536">
        <f>E81/H81</f>
        <v/>
      </c>
      <c r="O81" s="536">
        <f>F81/I81</f>
        <v/>
      </c>
      <c r="P81" s="282">
        <f>(N81-O81)/O81</f>
        <v/>
      </c>
      <c r="Q81" s="536">
        <f>E81/K81</f>
        <v/>
      </c>
      <c r="R81" s="536">
        <f>F81/L81</f>
        <v/>
      </c>
      <c r="S81" s="282">
        <f>(Q81-R81)/R81</f>
        <v/>
      </c>
      <c r="T81" s="537" t="n">
        <v>0</v>
      </c>
      <c r="U81" s="537" t="n">
        <v>0</v>
      </c>
      <c r="V81" s="282">
        <f>(T81-U81)/U81</f>
        <v/>
      </c>
      <c r="W81" s="537" t="n">
        <v>0</v>
      </c>
      <c r="X81" s="537" t="n"/>
      <c r="Y81" s="282">
        <f>(W81-X81)/X81</f>
        <v/>
      </c>
      <c r="Z81" s="537">
        <f>E81/W81</f>
        <v/>
      </c>
      <c r="AA81" s="537">
        <f>F81/X81</f>
        <v/>
      </c>
      <c r="AB81" s="282">
        <f>(Z81-AA81)/AA81</f>
        <v/>
      </c>
      <c r="AC81" s="537" t="n">
        <v>496118</v>
      </c>
      <c r="AD81" s="537" t="n"/>
      <c r="AE81" s="282">
        <f>(AC81-AD81)/AD81</f>
        <v/>
      </c>
      <c r="AF81" s="537" t="n">
        <v>6685</v>
      </c>
      <c r="AG81" s="537" t="n"/>
      <c r="AH81">
        <f>(AF81-AG81)/AG81</f>
        <v/>
      </c>
      <c r="AI81" s="537" t="n">
        <v>902048</v>
      </c>
      <c r="AJ81" s="537" t="n"/>
      <c r="AK81" s="282">
        <f>(AI81-AJ81)/AJ81</f>
        <v/>
      </c>
      <c r="AL81" s="286">
        <f>AF81/AI81</f>
        <v/>
      </c>
      <c r="AM81" s="286">
        <f>AG81/AJ81</f>
        <v/>
      </c>
      <c r="AN81" s="282">
        <f>(AL81-AM81)/AM81</f>
        <v/>
      </c>
    </row>
    <row customHeight="1" ht="15.75" r="82" s="452" spans="1:41">
      <c r="A82" s="279" t="n"/>
      <c r="B82" s="279" t="n"/>
      <c r="C82" s="280" t="n"/>
      <c r="D82" s="280" t="n"/>
      <c r="E82" s="535" t="n"/>
      <c r="F82" s="535" t="n"/>
      <c r="G82" s="282">
        <f>(E82-F82)/F82</f>
        <v/>
      </c>
      <c r="H82" s="535" t="n"/>
      <c r="I82" s="536" t="n"/>
      <c r="J82" s="282">
        <f>(H82-I82)/I82</f>
        <v/>
      </c>
      <c r="K82" s="535">
        <f>H82*1.085</f>
        <v/>
      </c>
      <c r="L82" s="535">
        <f>I82*1.085</f>
        <v/>
      </c>
      <c r="M82" s="282">
        <f>(K82-L82)/L82</f>
        <v/>
      </c>
      <c r="N82" s="536">
        <f>E82/H82</f>
        <v/>
      </c>
      <c r="O82" s="536">
        <f>F82/I82</f>
        <v/>
      </c>
      <c r="P82" s="282">
        <f>(N82-O82)/O82</f>
        <v/>
      </c>
      <c r="Q82" s="536">
        <f>E82/K82</f>
        <v/>
      </c>
      <c r="R82" s="536">
        <f>F82/L82</f>
        <v/>
      </c>
      <c r="S82" s="282">
        <f>(Q82-R82)/R82</f>
        <v/>
      </c>
      <c r="T82" s="537" t="n"/>
      <c r="U82" s="537" t="n"/>
      <c r="V82" s="282">
        <f>(T82-U82)/U82</f>
        <v/>
      </c>
      <c r="W82" s="537" t="n"/>
      <c r="X82" s="537" t="n"/>
      <c r="Y82" s="282">
        <f>(W82-X82)/X82</f>
        <v/>
      </c>
      <c r="Z82" s="537">
        <f>E82/W82</f>
        <v/>
      </c>
      <c r="AA82" s="537">
        <f>F82/X82</f>
        <v/>
      </c>
      <c r="AB82" s="282">
        <f>(Z82-AA82)/AA82</f>
        <v/>
      </c>
      <c r="AC82" s="537" t="n"/>
      <c r="AD82" s="537" t="n"/>
      <c r="AE82" s="282">
        <f>(AC82-AD82)/AD82</f>
        <v/>
      </c>
      <c r="AF82" s="537" t="n"/>
      <c r="AG82" s="537" t="n"/>
      <c r="AH82">
        <f>(AF82-AG82)/AG82</f>
        <v/>
      </c>
      <c r="AI82" s="537" t="n"/>
      <c r="AJ82" s="537" t="n"/>
      <c r="AK82" s="282">
        <f>(AI82-AJ82)/AJ82</f>
        <v/>
      </c>
      <c r="AL82" s="286">
        <f>AF82/AI82</f>
        <v/>
      </c>
      <c r="AM82" s="286">
        <f>AG82/AJ82</f>
        <v/>
      </c>
      <c r="AN82" s="282">
        <f>(AL82-AM82)/AM82</f>
        <v/>
      </c>
    </row>
    <row customHeight="1" ht="15.75" r="83" s="452" spans="1:41">
      <c r="A83" s="279" t="n"/>
      <c r="B83" s="279" t="n"/>
      <c r="C83" s="280" t="n"/>
      <c r="D83" s="280" t="n"/>
      <c r="E83" s="535" t="n"/>
      <c r="F83" s="535" t="n"/>
      <c r="G83" s="282">
        <f>(E83-F83)/F83</f>
        <v/>
      </c>
      <c r="H83" s="535" t="n"/>
      <c r="I83" s="536" t="n"/>
      <c r="J83" s="282">
        <f>(H83-I83)/I83</f>
        <v/>
      </c>
      <c r="K83" s="535">
        <f>H83*1.085</f>
        <v/>
      </c>
      <c r="L83" s="535">
        <f>I83*1.085</f>
        <v/>
      </c>
      <c r="M83" s="282">
        <f>(K83-L83)/L83</f>
        <v/>
      </c>
      <c r="N83" s="536">
        <f>E83/H83</f>
        <v/>
      </c>
      <c r="O83" s="536">
        <f>F83/I83</f>
        <v/>
      </c>
      <c r="P83" s="282">
        <f>(N83-O83)/O83</f>
        <v/>
      </c>
      <c r="Q83" s="536">
        <f>E83/K83</f>
        <v/>
      </c>
      <c r="R83" s="536">
        <f>F83/L83</f>
        <v/>
      </c>
      <c r="S83" s="282">
        <f>(Q83-R83)/R83</f>
        <v/>
      </c>
      <c r="T83" s="537" t="n"/>
      <c r="U83" s="537" t="n"/>
      <c r="V83" s="282">
        <f>(T83-U83)/U83</f>
        <v/>
      </c>
      <c r="W83" s="537" t="n"/>
      <c r="X83" s="537" t="n"/>
      <c r="Y83" s="282">
        <f>(W83-X83)/X83</f>
        <v/>
      </c>
      <c r="Z83" s="537">
        <f>E83/W83</f>
        <v/>
      </c>
      <c r="AA83" s="537">
        <f>F83/X83</f>
        <v/>
      </c>
      <c r="AB83" s="282">
        <f>(Z83-AA83)/AA83</f>
        <v/>
      </c>
      <c r="AC83" s="537" t="n"/>
      <c r="AD83" s="537" t="n"/>
      <c r="AE83" s="282">
        <f>(AC83-AD83)/AD83</f>
        <v/>
      </c>
      <c r="AF83" s="537" t="n"/>
      <c r="AG83" s="537" t="n"/>
      <c r="AH83">
        <f>(AF83-AG83)/AG83</f>
        <v/>
      </c>
      <c r="AI83" s="537" t="n"/>
      <c r="AJ83" s="537" t="n"/>
      <c r="AK83" s="282">
        <f>(AI83-AJ83)/AJ83</f>
        <v/>
      </c>
      <c r="AL83" s="286">
        <f>AF83/AI83</f>
        <v/>
      </c>
      <c r="AM83" s="286">
        <f>AG83/AJ83</f>
        <v/>
      </c>
      <c r="AN83" s="282">
        <f>(AL83-AM83)/AM83</f>
        <v/>
      </c>
    </row>
    <row customHeight="1" ht="15.75" r="84" s="452" spans="1:41">
      <c r="A84" s="279" t="n"/>
      <c r="B84" s="279" t="n"/>
      <c r="C84" s="280" t="n"/>
      <c r="D84" s="280" t="n"/>
      <c r="E84" s="535" t="n"/>
      <c r="F84" s="535" t="n"/>
      <c r="G84" s="282">
        <f>(E84-F84)/F84</f>
        <v/>
      </c>
      <c r="H84" s="535" t="n"/>
      <c r="I84" s="536" t="n"/>
      <c r="J84" s="282">
        <f>(H84-I84)/I84</f>
        <v/>
      </c>
      <c r="K84" s="535">
        <f>H84*1.085</f>
        <v/>
      </c>
      <c r="L84" s="535">
        <f>I84*1.085</f>
        <v/>
      </c>
      <c r="M84" s="282">
        <f>(K84-L84)/L84</f>
        <v/>
      </c>
      <c r="N84" s="536">
        <f>E84/H84</f>
        <v/>
      </c>
      <c r="O84" s="536">
        <f>F84/I84</f>
        <v/>
      </c>
      <c r="P84" s="282">
        <f>(N84-O84)/O84</f>
        <v/>
      </c>
      <c r="Q84" s="536">
        <f>E84/K84</f>
        <v/>
      </c>
      <c r="R84" s="536">
        <f>F84/L84</f>
        <v/>
      </c>
      <c r="S84" s="282">
        <f>(Q84-R84)/R84</f>
        <v/>
      </c>
      <c r="T84" s="537" t="n"/>
      <c r="U84" s="537" t="n"/>
      <c r="V84" s="282">
        <f>(T84-U84)/U84</f>
        <v/>
      </c>
      <c r="W84" s="537" t="n"/>
      <c r="X84" s="537" t="n"/>
      <c r="Y84" s="282">
        <f>(W84-X84)/X84</f>
        <v/>
      </c>
      <c r="Z84" s="537">
        <f>E84/W84</f>
        <v/>
      </c>
      <c r="AA84" s="537">
        <f>F84/X84</f>
        <v/>
      </c>
      <c r="AB84" s="282">
        <f>(Z84-AA84)/AA84</f>
        <v/>
      </c>
      <c r="AC84" s="537" t="n"/>
      <c r="AD84" s="537" t="n"/>
      <c r="AE84" s="282">
        <f>(AC84-AD84)/AD84</f>
        <v/>
      </c>
      <c r="AF84" s="537" t="n"/>
      <c r="AG84" s="537" t="n"/>
      <c r="AH84">
        <f>(AF84-AG84)/AG84</f>
        <v/>
      </c>
      <c r="AI84" s="537" t="n"/>
      <c r="AJ84" s="537" t="n"/>
      <c r="AK84" s="282">
        <f>(AI84-AJ84)/AJ84</f>
        <v/>
      </c>
      <c r="AL84" s="286">
        <f>AF84/AI84</f>
        <v/>
      </c>
      <c r="AM84" s="286">
        <f>AG84/AJ84</f>
        <v/>
      </c>
      <c r="AN84" s="282">
        <f>(AL84-AM84)/AM84</f>
        <v/>
      </c>
    </row>
    <row customHeight="1" ht="15.75" r="85" s="452" spans="1:41">
      <c r="A85" s="279" t="n"/>
      <c r="B85" s="279" t="n"/>
      <c r="C85" s="280" t="n"/>
      <c r="D85" s="297" t="s">
        <v>177</v>
      </c>
      <c r="E85" s="535" t="n">
        <v>0</v>
      </c>
      <c r="F85" s="535" t="n"/>
      <c r="G85" s="282">
        <f>(E85-F85)/F85</f>
        <v/>
      </c>
      <c r="H85" s="535" t="n">
        <v>0</v>
      </c>
      <c r="I85" s="536" t="n">
        <v>1021.31</v>
      </c>
      <c r="J85" s="282">
        <f>(H85-I85)/I85</f>
        <v/>
      </c>
      <c r="K85" s="535">
        <f>H85*1.085</f>
        <v/>
      </c>
      <c r="L85" s="535">
        <f>I85*1.085</f>
        <v/>
      </c>
      <c r="M85" s="282">
        <f>(K85-L85)/L85</f>
        <v/>
      </c>
      <c r="N85" s="536">
        <f>E85/H85</f>
        <v/>
      </c>
      <c r="O85" s="536">
        <f>F85/I85</f>
        <v/>
      </c>
      <c r="P85" s="282">
        <f>(N85-O85)/O85</f>
        <v/>
      </c>
      <c r="Q85" s="536">
        <f>E85/K85</f>
        <v/>
      </c>
      <c r="R85" s="536">
        <f>F85/L85</f>
        <v/>
      </c>
      <c r="S85" s="282">
        <f>(Q85-R85)/R85</f>
        <v/>
      </c>
      <c r="T85" s="537" t="n">
        <v>825</v>
      </c>
      <c r="U85" s="537" t="n">
        <v>440</v>
      </c>
      <c r="V85" s="282">
        <f>(T85-U85)/U85</f>
        <v/>
      </c>
      <c r="W85" s="537" t="n">
        <v>0</v>
      </c>
      <c r="X85" s="537" t="n"/>
      <c r="Y85" s="282">
        <f>(W85-X85)/X85</f>
        <v/>
      </c>
      <c r="Z85" s="537">
        <f>E85/W85</f>
        <v/>
      </c>
      <c r="AA85" s="537">
        <f>F85/X85</f>
        <v/>
      </c>
      <c r="AB85" s="282">
        <f>(Z85-AA85)/AA85</f>
        <v/>
      </c>
      <c r="AC85" s="537" t="n">
        <v>0</v>
      </c>
      <c r="AD85" s="537" t="n">
        <v>115409</v>
      </c>
      <c r="AE85" s="282">
        <f>(AC85-AD85)/AD85</f>
        <v/>
      </c>
      <c r="AF85" s="537" t="n">
        <v>0</v>
      </c>
      <c r="AG85" s="537" t="n">
        <v>1261</v>
      </c>
      <c r="AH85">
        <f>(AF85-AG85)/AG85</f>
        <v/>
      </c>
      <c r="AI85" s="537" t="n">
        <v>0</v>
      </c>
      <c r="AJ85" s="537" t="n">
        <v>155175</v>
      </c>
      <c r="AK85" s="282">
        <f>(AI85-AJ85)/AJ85</f>
        <v/>
      </c>
      <c r="AL85" s="286">
        <f>AF85/AI85</f>
        <v/>
      </c>
      <c r="AM85" s="286">
        <f>AG85/AJ85</f>
        <v/>
      </c>
      <c r="AN85" s="282">
        <f>(AL85-AM85)/AM85</f>
        <v/>
      </c>
    </row>
    <row customHeight="1" ht="15.75" r="86" s="452" spans="1:41">
      <c r="A86" s="49" t="s">
        <v>43</v>
      </c>
      <c r="B86" s="49" t="s">
        <v>92</v>
      </c>
      <c r="C86" s="50">
        <f>C80+7</f>
        <v/>
      </c>
      <c r="D86" s="50" t="s">
        <v>60</v>
      </c>
      <c r="E86" s="566">
        <f>SUM(E87:E91)</f>
        <v/>
      </c>
      <c r="F86" s="566">
        <f>SUM(F87:F91)</f>
        <v/>
      </c>
      <c r="G86" s="52">
        <f>(E86-F86)/F86</f>
        <v/>
      </c>
      <c r="H86" s="566">
        <f>SUM(H87:H91)</f>
        <v/>
      </c>
      <c r="I86" s="566">
        <f>SUM(I87:I91)</f>
        <v/>
      </c>
      <c r="J86" s="52">
        <f>(H86-I86)/I86</f>
        <v/>
      </c>
      <c r="K86" s="566">
        <f>H86*1.085</f>
        <v/>
      </c>
      <c r="L86" s="566">
        <f>I86*1.085</f>
        <v/>
      </c>
      <c r="M86" s="52">
        <f>(K86-L86)/L86</f>
        <v/>
      </c>
      <c r="N86" s="567">
        <f>E86/H86</f>
        <v/>
      </c>
      <c r="O86" s="567">
        <f>F86/I86</f>
        <v/>
      </c>
      <c r="P86" s="52">
        <f>(N86-O86)/O86</f>
        <v/>
      </c>
      <c r="Q86" s="567">
        <f>E86/K86</f>
        <v/>
      </c>
      <c r="R86" s="567">
        <f>F86/L86</f>
        <v/>
      </c>
      <c r="S86" s="52">
        <f>(Q86-R86)/R86</f>
        <v/>
      </c>
      <c r="T86" s="568">
        <f>SUM(T87:T91)</f>
        <v/>
      </c>
      <c r="U86" s="568">
        <f>SUM(U87:U91)</f>
        <v/>
      </c>
      <c r="V86" s="52">
        <f>(T86-U86)/U86</f>
        <v/>
      </c>
      <c r="W86" s="568">
        <f>SUM(W87:W91)</f>
        <v/>
      </c>
      <c r="X86" s="568">
        <f>SUM(X87:X91)</f>
        <v/>
      </c>
      <c r="Y86" s="52">
        <f>(W86-X86)/X86</f>
        <v/>
      </c>
      <c r="Z86" s="566">
        <f>E86/W86</f>
        <v/>
      </c>
      <c r="AA86" s="568">
        <f>F86/X86</f>
        <v/>
      </c>
      <c r="AB86" s="52">
        <f>(Z86-AA86)/AA86</f>
        <v/>
      </c>
      <c r="AC86" s="568">
        <f>SUM(AC87:AC91)</f>
        <v/>
      </c>
      <c r="AD86" s="568">
        <f>SUM(AD87:AD91)</f>
        <v/>
      </c>
      <c r="AE86" s="52">
        <f>(AC86-AD86)/AD86</f>
        <v/>
      </c>
      <c r="AF86" s="568">
        <f>SUM(AF87:AF91)</f>
        <v/>
      </c>
      <c r="AG86" s="568">
        <f>SUM(AG87:AG91)</f>
        <v/>
      </c>
      <c r="AH86" s="67">
        <f>(AF86-AG86)/AG86</f>
        <v/>
      </c>
      <c r="AI86" s="568">
        <f>SUM(AI87:AI91)</f>
        <v/>
      </c>
      <c r="AJ86" s="568">
        <f>SUM(AJ87:AJ91)</f>
        <v/>
      </c>
      <c r="AK86" s="52">
        <f>(AI86-AJ86)/AJ86</f>
        <v/>
      </c>
      <c r="AL86" s="82">
        <f>AF86/AI86</f>
        <v/>
      </c>
      <c r="AM86" s="82">
        <f>AG86/AJ86</f>
        <v/>
      </c>
      <c r="AN86" s="52">
        <f>(AL86-AM86)/AM86</f>
        <v/>
      </c>
    </row>
    <row customHeight="1" ht="15.75" r="87" s="452" spans="1:41">
      <c r="A87" s="279" t="n"/>
      <c r="B87" s="279" t="n"/>
      <c r="C87" s="280" t="n"/>
      <c r="D87" s="280" t="n"/>
      <c r="E87" s="535" t="n"/>
      <c r="F87" s="535" t="n"/>
      <c r="G87" s="282">
        <f>(E87-F87)/F87</f>
        <v/>
      </c>
      <c r="H87" s="535" t="n"/>
      <c r="I87" s="536" t="n"/>
      <c r="J87" s="282">
        <f>(H87-I87)/I87</f>
        <v/>
      </c>
      <c r="K87" s="535">
        <f>H87*1.085</f>
        <v/>
      </c>
      <c r="L87" s="535">
        <f>I87*1.085</f>
        <v/>
      </c>
      <c r="M87" s="282">
        <f>(K87-L87)/L87</f>
        <v/>
      </c>
      <c r="N87" s="536">
        <f>E87/H87</f>
        <v/>
      </c>
      <c r="O87" s="536">
        <f>F87/I87</f>
        <v/>
      </c>
      <c r="P87" s="282">
        <f>(N87-O87)/O87</f>
        <v/>
      </c>
      <c r="Q87" s="536">
        <f>E87/K87</f>
        <v/>
      </c>
      <c r="R87" s="536">
        <f>F87/L87</f>
        <v/>
      </c>
      <c r="S87" s="282">
        <f>(Q87-R87)/R87</f>
        <v/>
      </c>
      <c r="T87" s="537" t="n"/>
      <c r="U87" s="537" t="n"/>
      <c r="V87" s="282">
        <f>(T87-U87)/U87</f>
        <v/>
      </c>
      <c r="W87" s="537" t="n"/>
      <c r="X87" s="537" t="n"/>
      <c r="Y87" s="282">
        <f>(W87-X87)/X87</f>
        <v/>
      </c>
      <c r="Z87" s="537">
        <f>E87/W87</f>
        <v/>
      </c>
      <c r="AA87" s="537">
        <f>F87/X87</f>
        <v/>
      </c>
      <c r="AB87" s="282">
        <f>(Z87-AA87)/AA87</f>
        <v/>
      </c>
      <c r="AC87" s="537" t="n"/>
      <c r="AD87" s="537" t="n"/>
      <c r="AE87" s="282">
        <f>(AC87-AD87)/AD87</f>
        <v/>
      </c>
      <c r="AF87" s="537" t="n"/>
      <c r="AG87" s="537" t="n"/>
      <c r="AH87">
        <f>(AF87-AG87)/AG87</f>
        <v/>
      </c>
      <c r="AI87" s="537" t="n"/>
      <c r="AJ87" s="537" t="n"/>
      <c r="AK87" s="282">
        <f>(AI87-AJ87)/AJ87</f>
        <v/>
      </c>
      <c r="AL87" s="286">
        <f>AF87/AI87</f>
        <v/>
      </c>
      <c r="AM87" s="286">
        <f>AG87/AJ87</f>
        <v/>
      </c>
      <c r="AN87" s="282">
        <f>(AL87-AM87)/AM87</f>
        <v/>
      </c>
    </row>
    <row customHeight="1" ht="15.75" r="88" s="452" spans="1:41">
      <c r="A88" s="279" t="n"/>
      <c r="B88" s="279" t="n"/>
      <c r="C88" s="280" t="n"/>
      <c r="D88" s="280" t="n"/>
      <c r="E88" s="535" t="n"/>
      <c r="F88" s="535" t="n"/>
      <c r="G88" s="282">
        <f>(E88-F88)/F88</f>
        <v/>
      </c>
      <c r="H88" s="535" t="n"/>
      <c r="I88" s="536" t="n"/>
      <c r="J88" s="282">
        <f>(H88-I88)/I88</f>
        <v/>
      </c>
      <c r="K88" s="535">
        <f>H88*1.085</f>
        <v/>
      </c>
      <c r="L88" s="535">
        <f>I88*1.085</f>
        <v/>
      </c>
      <c r="M88" s="282">
        <f>(K88-L88)/L88</f>
        <v/>
      </c>
      <c r="N88" s="536">
        <f>E88/H88</f>
        <v/>
      </c>
      <c r="O88" s="536">
        <f>F88/I88</f>
        <v/>
      </c>
      <c r="P88" s="282">
        <f>(N88-O88)/O88</f>
        <v/>
      </c>
      <c r="Q88" s="536">
        <f>E88/K88</f>
        <v/>
      </c>
      <c r="R88" s="536">
        <f>F88/L88</f>
        <v/>
      </c>
      <c r="S88" s="282">
        <f>(Q88-R88)/R88</f>
        <v/>
      </c>
      <c r="T88" s="537" t="n"/>
      <c r="U88" s="537" t="n"/>
      <c r="V88" s="282">
        <f>(T88-U88)/U88</f>
        <v/>
      </c>
      <c r="W88" s="537" t="n"/>
      <c r="X88" s="537" t="n"/>
      <c r="Y88" s="282">
        <f>(W88-X88)/X88</f>
        <v/>
      </c>
      <c r="Z88" s="537">
        <f>E88/W88</f>
        <v/>
      </c>
      <c r="AA88" s="537">
        <f>F88/X88</f>
        <v/>
      </c>
      <c r="AB88" s="282">
        <f>(Z88-AA88)/AA88</f>
        <v/>
      </c>
      <c r="AC88" s="537" t="n"/>
      <c r="AD88" s="537" t="n"/>
      <c r="AE88" s="282">
        <f>(AC88-AD88)/AD88</f>
        <v/>
      </c>
      <c r="AF88" s="537" t="n"/>
      <c r="AG88" s="537" t="n"/>
      <c r="AH88">
        <f>(AF88-AG88)/AG88</f>
        <v/>
      </c>
      <c r="AI88" s="537" t="n"/>
      <c r="AJ88" s="537" t="n"/>
      <c r="AK88" s="282">
        <f>(AI88-AJ88)/AJ88</f>
        <v/>
      </c>
      <c r="AL88" s="286">
        <f>AF88/AI88</f>
        <v/>
      </c>
      <c r="AM88" s="286">
        <f>AG88/AJ88</f>
        <v/>
      </c>
      <c r="AN88" s="282">
        <f>(AL88-AM88)/AM88</f>
        <v/>
      </c>
    </row>
    <row customHeight="1" ht="15.75" r="89" s="452" spans="1:41">
      <c r="A89" s="279" t="n"/>
      <c r="B89" s="279" t="n"/>
      <c r="C89" s="280" t="n"/>
      <c r="D89" s="280" t="n"/>
      <c r="E89" s="535" t="n"/>
      <c r="F89" s="535" t="n"/>
      <c r="G89" s="282">
        <f>(E89-F89)/F89</f>
        <v/>
      </c>
      <c r="H89" s="535" t="n"/>
      <c r="I89" s="536" t="n"/>
      <c r="J89" s="282">
        <f>(H89-I89)/I89</f>
        <v/>
      </c>
      <c r="K89" s="535">
        <f>H89*1.085</f>
        <v/>
      </c>
      <c r="L89" s="535">
        <f>I89*1.085</f>
        <v/>
      </c>
      <c r="M89" s="282">
        <f>(K89-L89)/L89</f>
        <v/>
      </c>
      <c r="N89" s="536">
        <f>E89/H89</f>
        <v/>
      </c>
      <c r="O89" s="536">
        <f>F89/I89</f>
        <v/>
      </c>
      <c r="P89" s="282">
        <f>(N89-O89)/O89</f>
        <v/>
      </c>
      <c r="Q89" s="536">
        <f>E89/K89</f>
        <v/>
      </c>
      <c r="R89" s="536">
        <f>F89/L89</f>
        <v/>
      </c>
      <c r="S89" s="282">
        <f>(Q89-R89)/R89</f>
        <v/>
      </c>
      <c r="T89" s="537" t="n"/>
      <c r="U89" s="537" t="n"/>
      <c r="V89" s="282">
        <f>(T89-U89)/U89</f>
        <v/>
      </c>
      <c r="W89" s="537" t="n"/>
      <c r="X89" s="537" t="n"/>
      <c r="Y89" s="282">
        <f>(W89-X89)/X89</f>
        <v/>
      </c>
      <c r="Z89" s="537">
        <f>E89/W89</f>
        <v/>
      </c>
      <c r="AA89" s="537">
        <f>F89/X89</f>
        <v/>
      </c>
      <c r="AB89" s="282">
        <f>(Z89-AA89)/AA89</f>
        <v/>
      </c>
      <c r="AC89" s="537" t="n"/>
      <c r="AD89" s="537" t="n"/>
      <c r="AE89" s="282">
        <f>(AC89-AD89)/AD89</f>
        <v/>
      </c>
      <c r="AF89" s="537" t="n"/>
      <c r="AG89" s="537" t="n"/>
      <c r="AH89">
        <f>(AF89-AG89)/AG89</f>
        <v/>
      </c>
      <c r="AI89" s="537" t="n"/>
      <c r="AJ89" s="537" t="n"/>
      <c r="AK89" s="282">
        <f>(AI89-AJ89)/AJ89</f>
        <v/>
      </c>
      <c r="AL89" s="286">
        <f>AF89/AI89</f>
        <v/>
      </c>
      <c r="AM89" s="286">
        <f>AG89/AJ89</f>
        <v/>
      </c>
      <c r="AN89" s="282">
        <f>(AL89-AM89)/AM89</f>
        <v/>
      </c>
    </row>
    <row customHeight="1" ht="15.75" r="90" s="452" spans="1:41">
      <c r="A90" s="279" t="n"/>
      <c r="B90" s="279" t="n"/>
      <c r="C90" s="280" t="n"/>
      <c r="D90" s="280" t="n"/>
      <c r="E90" s="535" t="n"/>
      <c r="F90" s="535" t="n"/>
      <c r="G90" s="282">
        <f>(E90-F90)/F90</f>
        <v/>
      </c>
      <c r="H90" s="535" t="n"/>
      <c r="I90" s="536" t="n"/>
      <c r="J90" s="282">
        <f>(H90-I90)/I90</f>
        <v/>
      </c>
      <c r="K90" s="535">
        <f>H90*1.085</f>
        <v/>
      </c>
      <c r="L90" s="535">
        <f>I90*1.085</f>
        <v/>
      </c>
      <c r="M90" s="282">
        <f>(K90-L90)/L90</f>
        <v/>
      </c>
      <c r="N90" s="536">
        <f>E90/H90</f>
        <v/>
      </c>
      <c r="O90" s="536">
        <f>F90/I90</f>
        <v/>
      </c>
      <c r="P90" s="282">
        <f>(N90-O90)/O90</f>
        <v/>
      </c>
      <c r="Q90" s="536">
        <f>E90/K90</f>
        <v/>
      </c>
      <c r="R90" s="536">
        <f>F90/L90</f>
        <v/>
      </c>
      <c r="S90" s="282">
        <f>(Q90-R90)/R90</f>
        <v/>
      </c>
      <c r="T90" s="537" t="n"/>
      <c r="U90" s="537" t="n"/>
      <c r="V90" s="282">
        <f>(T90-U90)/U90</f>
        <v/>
      </c>
      <c r="W90" s="537" t="n"/>
      <c r="X90" s="537" t="n"/>
      <c r="Y90" s="282">
        <f>(W90-X90)/X90</f>
        <v/>
      </c>
      <c r="Z90" s="537">
        <f>E90/W90</f>
        <v/>
      </c>
      <c r="AA90" s="537">
        <f>F90/X90</f>
        <v/>
      </c>
      <c r="AB90" s="282">
        <f>(Z90-AA90)/AA90</f>
        <v/>
      </c>
      <c r="AC90" s="537" t="n"/>
      <c r="AD90" s="537" t="n"/>
      <c r="AE90" s="282">
        <f>(AC90-AD90)/AD90</f>
        <v/>
      </c>
      <c r="AF90" s="537" t="n"/>
      <c r="AG90" s="537" t="n"/>
      <c r="AH90">
        <f>(AF90-AG90)/AG90</f>
        <v/>
      </c>
      <c r="AI90" s="537" t="n"/>
      <c r="AJ90" s="537" t="n"/>
      <c r="AK90" s="282">
        <f>(AI90-AJ90)/AJ90</f>
        <v/>
      </c>
      <c r="AL90" s="286">
        <f>AF90/AI90</f>
        <v/>
      </c>
      <c r="AM90" s="286">
        <f>AG90/AJ90</f>
        <v/>
      </c>
      <c r="AN90" s="282">
        <f>(AL90-AM90)/AM90</f>
        <v/>
      </c>
    </row>
    <row customHeight="1" ht="15.75" r="91" s="452" spans="1:41">
      <c r="A91" s="279" t="n"/>
      <c r="B91" s="279" t="n"/>
      <c r="C91" s="280" t="n"/>
      <c r="D91" s="297" t="s">
        <v>177</v>
      </c>
      <c r="E91" s="535" t="n">
        <v>0</v>
      </c>
      <c r="F91" s="535" t="n"/>
      <c r="G91" s="282">
        <f>(E91-F91)/F91</f>
        <v/>
      </c>
      <c r="H91" s="535" t="n">
        <v>0</v>
      </c>
      <c r="I91" s="536" t="n">
        <v>2537.74</v>
      </c>
      <c r="J91" s="282">
        <f>(H91-I91)/I91</f>
        <v/>
      </c>
      <c r="K91" s="535">
        <f>H91*1.085</f>
        <v/>
      </c>
      <c r="L91" s="535">
        <f>I91*1.085</f>
        <v/>
      </c>
      <c r="M91" s="282">
        <f>(K91-L91)/L91</f>
        <v/>
      </c>
      <c r="N91" s="536">
        <f>E91/H91</f>
        <v/>
      </c>
      <c r="O91" s="536">
        <f>F91/I91</f>
        <v/>
      </c>
      <c r="P91" s="282">
        <f>(N91-O91)/O91</f>
        <v/>
      </c>
      <c r="Q91" s="536">
        <f>E91/K91</f>
        <v/>
      </c>
      <c r="R91" s="536">
        <f>F91/L91</f>
        <v/>
      </c>
      <c r="S91" s="282">
        <f>(Q91-R91)/R91</f>
        <v/>
      </c>
      <c r="T91" s="537" t="n">
        <v>6</v>
      </c>
      <c r="U91" s="537" t="n">
        <v>814</v>
      </c>
      <c r="V91" s="282">
        <f>(T91-U91)/U91</f>
        <v/>
      </c>
      <c r="W91" s="537" t="n">
        <v>0</v>
      </c>
      <c r="X91" s="537" t="n">
        <v>0</v>
      </c>
      <c r="Y91" s="282">
        <f>(W91-X91)/X91</f>
        <v/>
      </c>
      <c r="Z91" s="537">
        <f>E91/W91</f>
        <v/>
      </c>
      <c r="AA91" s="537">
        <f>F91/X91</f>
        <v/>
      </c>
      <c r="AB91" s="282">
        <f>(Z91-AA91)/AA91</f>
        <v/>
      </c>
      <c r="AC91" s="537" t="n">
        <v>0</v>
      </c>
      <c r="AD91" s="537" t="n">
        <v>260564</v>
      </c>
      <c r="AE91" s="282">
        <f>(AC91-AD91)/AD91</f>
        <v/>
      </c>
      <c r="AF91" s="537" t="n">
        <v>0</v>
      </c>
      <c r="AG91" s="537" t="n">
        <v>3920</v>
      </c>
      <c r="AH91">
        <f>(AF91-AG91)/AG91</f>
        <v/>
      </c>
      <c r="AI91" s="537" t="n">
        <v>0</v>
      </c>
      <c r="AJ91" s="537" t="n">
        <v>480468</v>
      </c>
      <c r="AK91" s="282">
        <f>(AI91-AJ91)/AJ91</f>
        <v/>
      </c>
      <c r="AL91" s="286">
        <f>AF91/AI91</f>
        <v/>
      </c>
      <c r="AM91" s="286">
        <f>AG91/AJ91</f>
        <v/>
      </c>
      <c r="AN91" s="282">
        <f>(AL91-AM91)/AM91</f>
        <v/>
      </c>
    </row>
    <row customHeight="1" ht="15.75" r="92" s="452" spans="1:41">
      <c r="A92" s="49" t="s">
        <v>43</v>
      </c>
      <c r="B92" s="49" t="s">
        <v>93</v>
      </c>
      <c r="C92" s="50">
        <f>C86+7</f>
        <v/>
      </c>
      <c r="D92" s="50" t="s">
        <v>60</v>
      </c>
      <c r="E92" s="566">
        <f>SUM(E93:E97)</f>
        <v/>
      </c>
      <c r="F92" s="566">
        <f>SUM(F93:F97)</f>
        <v/>
      </c>
      <c r="G92" s="52">
        <f>(E92-F92)/F92</f>
        <v/>
      </c>
      <c r="H92" s="566">
        <f>SUM(H93:H97)</f>
        <v/>
      </c>
      <c r="I92" s="566">
        <f>SUM(I93:I97)</f>
        <v/>
      </c>
      <c r="J92" s="52">
        <f>(H92-I92)/I92</f>
        <v/>
      </c>
      <c r="K92" s="566">
        <f>H92*1.085</f>
        <v/>
      </c>
      <c r="L92" s="566">
        <f>I92*1.085</f>
        <v/>
      </c>
      <c r="M92" s="52">
        <f>(K92-L92)/L92</f>
        <v/>
      </c>
      <c r="N92" s="567">
        <f>E92/H92</f>
        <v/>
      </c>
      <c r="O92" s="567">
        <f>F92/I92</f>
        <v/>
      </c>
      <c r="P92" s="52">
        <f>(N92-O92)/O92</f>
        <v/>
      </c>
      <c r="Q92" s="567">
        <f>E92/K92</f>
        <v/>
      </c>
      <c r="R92" s="567">
        <f>F92/L92</f>
        <v/>
      </c>
      <c r="S92" s="52">
        <f>(Q92-R92)/R92</f>
        <v/>
      </c>
      <c r="T92" s="568">
        <f>SUM(T93:T97)</f>
        <v/>
      </c>
      <c r="U92" s="568">
        <f>SUM(U93:U97)</f>
        <v/>
      </c>
      <c r="V92" s="52">
        <f>(T92-U92)/U92</f>
        <v/>
      </c>
      <c r="W92" s="568">
        <f>SUM(W93:W97)</f>
        <v/>
      </c>
      <c r="X92" s="568">
        <f>SUM(X93:X97)</f>
        <v/>
      </c>
      <c r="Y92" s="52">
        <f>(W92-X92)/X92</f>
        <v/>
      </c>
      <c r="Z92" s="566">
        <f>E92/W92</f>
        <v/>
      </c>
      <c r="AA92" s="568">
        <f>F92/X92</f>
        <v/>
      </c>
      <c r="AB92" s="52">
        <f>(Z92-AA92)/AA92</f>
        <v/>
      </c>
      <c r="AC92" s="568">
        <f>SUM(AC93:AC97)</f>
        <v/>
      </c>
      <c r="AD92" s="568">
        <f>SUM(AD93:AD97)</f>
        <v/>
      </c>
      <c r="AE92" s="52">
        <f>(AC92-AD92)/AD92</f>
        <v/>
      </c>
      <c r="AF92" s="568">
        <f>SUM(AF93:AF97)</f>
        <v/>
      </c>
      <c r="AG92" s="568">
        <f>SUM(AG93:AG97)</f>
        <v/>
      </c>
      <c r="AH92" s="67">
        <f>(AF92-AG92)/AG92</f>
        <v/>
      </c>
      <c r="AI92" s="568">
        <f>SUM(AI93:AI97)</f>
        <v/>
      </c>
      <c r="AJ92" s="568">
        <f>SUM(AJ93:AJ97)</f>
        <v/>
      </c>
      <c r="AK92" s="52">
        <f>(AI92-AJ92)/AJ92</f>
        <v/>
      </c>
      <c r="AL92" s="82">
        <f>AF92/AI92</f>
        <v/>
      </c>
      <c r="AM92" s="82">
        <f>AG92/AJ92</f>
        <v/>
      </c>
      <c r="AN92" s="52">
        <f>(AL92-AM92)/AM92</f>
        <v/>
      </c>
    </row>
    <row customHeight="1" ht="15.75" r="93" s="452" spans="1:41">
      <c r="A93" s="279" t="n"/>
      <c r="B93" s="279" t="n"/>
      <c r="C93" s="280" t="n"/>
      <c r="D93" s="280" t="n"/>
      <c r="E93" s="535" t="n"/>
      <c r="F93" s="535" t="n"/>
      <c r="G93" s="282">
        <f>(E93-F93)/F93</f>
        <v/>
      </c>
      <c r="H93" s="535" t="n"/>
      <c r="I93" s="536" t="n"/>
      <c r="J93" s="282">
        <f>(H93-I93)/I93</f>
        <v/>
      </c>
      <c r="K93" s="535">
        <f>H93*1.085</f>
        <v/>
      </c>
      <c r="L93" s="535">
        <f>I93*1.085</f>
        <v/>
      </c>
      <c r="M93" s="282">
        <f>(K93-L93)/L93</f>
        <v/>
      </c>
      <c r="N93" s="536">
        <f>E93/H93</f>
        <v/>
      </c>
      <c r="O93" s="536">
        <f>F93/I93</f>
        <v/>
      </c>
      <c r="P93" s="282">
        <f>(N93-O93)/O93</f>
        <v/>
      </c>
      <c r="Q93" s="536">
        <f>E93/K93</f>
        <v/>
      </c>
      <c r="R93" s="536">
        <f>F93/L93</f>
        <v/>
      </c>
      <c r="S93" s="282">
        <f>(Q93-R93)/R93</f>
        <v/>
      </c>
      <c r="T93" s="537" t="n"/>
      <c r="U93" s="537" t="n"/>
      <c r="V93" s="282">
        <f>(T93-U93)/U93</f>
        <v/>
      </c>
      <c r="W93" s="537" t="n"/>
      <c r="X93" s="537" t="n"/>
      <c r="Y93" s="282">
        <f>(W93-X93)/X93</f>
        <v/>
      </c>
      <c r="Z93" s="537">
        <f>E93/W93</f>
        <v/>
      </c>
      <c r="AA93" s="537">
        <f>F93/X93</f>
        <v/>
      </c>
      <c r="AB93" s="282">
        <f>(Z93-AA93)/AA93</f>
        <v/>
      </c>
      <c r="AC93" s="537" t="n"/>
      <c r="AD93" s="537" t="n"/>
      <c r="AE93" s="282">
        <f>(AC93-AD93)/AD93</f>
        <v/>
      </c>
      <c r="AF93" s="537" t="n"/>
      <c r="AG93" s="537" t="n"/>
      <c r="AH93">
        <f>(AF93-AG93)/AG93</f>
        <v/>
      </c>
      <c r="AI93" s="537" t="n"/>
      <c r="AJ93" s="537" t="n"/>
      <c r="AK93" s="282">
        <f>(AI93-AJ93)/AJ93</f>
        <v/>
      </c>
      <c r="AL93" s="286">
        <f>AF93/AI93</f>
        <v/>
      </c>
      <c r="AM93" s="286">
        <f>AG93/AJ93</f>
        <v/>
      </c>
      <c r="AN93" s="282">
        <f>(AL93-AM93)/AM93</f>
        <v/>
      </c>
    </row>
    <row customHeight="1" ht="15.75" r="94" s="452" spans="1:41">
      <c r="A94" s="279" t="n"/>
      <c r="B94" s="279" t="n"/>
      <c r="C94" s="280" t="n"/>
      <c r="D94" s="280" t="n"/>
      <c r="E94" s="535" t="n"/>
      <c r="F94" s="535" t="n"/>
      <c r="G94" s="282">
        <f>(E94-F94)/F94</f>
        <v/>
      </c>
      <c r="H94" s="535" t="n"/>
      <c r="I94" s="536" t="n"/>
      <c r="J94" s="282">
        <f>(H94-I94)/I94</f>
        <v/>
      </c>
      <c r="K94" s="535">
        <f>H94*1.085</f>
        <v/>
      </c>
      <c r="L94" s="535">
        <f>I94*1.085</f>
        <v/>
      </c>
      <c r="M94" s="282">
        <f>(K94-L94)/L94</f>
        <v/>
      </c>
      <c r="N94" s="536">
        <f>E94/H94</f>
        <v/>
      </c>
      <c r="O94" s="536">
        <f>F94/I94</f>
        <v/>
      </c>
      <c r="P94" s="282">
        <f>(N94-O94)/O94</f>
        <v/>
      </c>
      <c r="Q94" s="536">
        <f>E94/K94</f>
        <v/>
      </c>
      <c r="R94" s="536">
        <f>F94/L94</f>
        <v/>
      </c>
      <c r="S94" s="282">
        <f>(Q94-R94)/R94</f>
        <v/>
      </c>
      <c r="T94" s="537" t="n"/>
      <c r="U94" s="537" t="n"/>
      <c r="V94" s="282">
        <f>(T94-U94)/U94</f>
        <v/>
      </c>
      <c r="W94" s="537" t="n"/>
      <c r="X94" s="537" t="n"/>
      <c r="Y94" s="282">
        <f>(W94-X94)/X94</f>
        <v/>
      </c>
      <c r="Z94" s="537">
        <f>E94/W94</f>
        <v/>
      </c>
      <c r="AA94" s="537">
        <f>F94/X94</f>
        <v/>
      </c>
      <c r="AB94" s="282">
        <f>(Z94-AA94)/AA94</f>
        <v/>
      </c>
      <c r="AC94" s="537" t="n"/>
      <c r="AD94" s="537" t="n"/>
      <c r="AE94" s="282">
        <f>(AC94-AD94)/AD94</f>
        <v/>
      </c>
      <c r="AF94" s="537" t="n"/>
      <c r="AG94" s="537" t="n"/>
      <c r="AH94">
        <f>(AF94-AG94)/AG94</f>
        <v/>
      </c>
      <c r="AI94" s="537" t="n"/>
      <c r="AJ94" s="537" t="n"/>
      <c r="AK94" s="282">
        <f>(AI94-AJ94)/AJ94</f>
        <v/>
      </c>
      <c r="AL94" s="286">
        <f>AF94/AI94</f>
        <v/>
      </c>
      <c r="AM94" s="286">
        <f>AG94/AJ94</f>
        <v/>
      </c>
      <c r="AN94" s="282">
        <f>(AL94-AM94)/AM94</f>
        <v/>
      </c>
    </row>
    <row customHeight="1" ht="15.75" r="95" s="452" spans="1:41">
      <c r="A95" s="279" t="n"/>
      <c r="B95" s="279" t="n"/>
      <c r="C95" s="280" t="n"/>
      <c r="D95" s="280" t="n"/>
      <c r="E95" s="535" t="n"/>
      <c r="F95" s="535" t="n"/>
      <c r="G95" s="282">
        <f>(E95-F95)/F95</f>
        <v/>
      </c>
      <c r="H95" s="535" t="n"/>
      <c r="I95" s="536" t="n"/>
      <c r="J95" s="282">
        <f>(H95-I95)/I95</f>
        <v/>
      </c>
      <c r="K95" s="535">
        <f>H95*1.085</f>
        <v/>
      </c>
      <c r="L95" s="535">
        <f>I95*1.085</f>
        <v/>
      </c>
      <c r="M95" s="282">
        <f>(K95-L95)/L95</f>
        <v/>
      </c>
      <c r="N95" s="536">
        <f>E95/H95</f>
        <v/>
      </c>
      <c r="O95" s="536">
        <f>F95/I95</f>
        <v/>
      </c>
      <c r="P95" s="282">
        <f>(N95-O95)/O95</f>
        <v/>
      </c>
      <c r="Q95" s="536">
        <f>E95/K95</f>
        <v/>
      </c>
      <c r="R95" s="536">
        <f>F95/L95</f>
        <v/>
      </c>
      <c r="S95" s="282">
        <f>(Q95-R95)/R95</f>
        <v/>
      </c>
      <c r="T95" s="537" t="n"/>
      <c r="U95" s="537" t="n"/>
      <c r="V95" s="282">
        <f>(T95-U95)/U95</f>
        <v/>
      </c>
      <c r="W95" s="537" t="n"/>
      <c r="X95" s="537" t="n"/>
      <c r="Y95" s="282">
        <f>(W95-X95)/X95</f>
        <v/>
      </c>
      <c r="Z95" s="537">
        <f>E95/W95</f>
        <v/>
      </c>
      <c r="AA95" s="537">
        <f>F95/X95</f>
        <v/>
      </c>
      <c r="AB95" s="282">
        <f>(Z95-AA95)/AA95</f>
        <v/>
      </c>
      <c r="AC95" s="537" t="n"/>
      <c r="AD95" s="537" t="n"/>
      <c r="AE95" s="282">
        <f>(AC95-AD95)/AD95</f>
        <v/>
      </c>
      <c r="AF95" s="537" t="n"/>
      <c r="AG95" s="537" t="n"/>
      <c r="AH95">
        <f>(AF95-AG95)/AG95</f>
        <v/>
      </c>
      <c r="AI95" s="537" t="n"/>
      <c r="AJ95" s="537" t="n"/>
      <c r="AK95" s="282">
        <f>(AI95-AJ95)/AJ95</f>
        <v/>
      </c>
      <c r="AL95" s="286">
        <f>AF95/AI95</f>
        <v/>
      </c>
      <c r="AM95" s="286">
        <f>AG95/AJ95</f>
        <v/>
      </c>
      <c r="AN95" s="282">
        <f>(AL95-AM95)/AM95</f>
        <v/>
      </c>
    </row>
    <row customHeight="1" ht="15.75" r="96" s="452" spans="1:41">
      <c r="A96" s="279" t="n"/>
      <c r="B96" s="279" t="n"/>
      <c r="C96" s="280" t="n"/>
      <c r="D96" s="280" t="n"/>
      <c r="E96" s="535" t="n"/>
      <c r="F96" s="535" t="n"/>
      <c r="G96" s="282">
        <f>(E96-F96)/F96</f>
        <v/>
      </c>
      <c r="H96" s="535" t="n"/>
      <c r="I96" s="536" t="n"/>
      <c r="J96" s="282">
        <f>(H96-I96)/I96</f>
        <v/>
      </c>
      <c r="K96" s="535">
        <f>H96*1.085</f>
        <v/>
      </c>
      <c r="L96" s="535">
        <f>I96*1.085</f>
        <v/>
      </c>
      <c r="M96" s="282">
        <f>(K96-L96)/L96</f>
        <v/>
      </c>
      <c r="N96" s="536">
        <f>E96/H96</f>
        <v/>
      </c>
      <c r="O96" s="536">
        <f>F96/I96</f>
        <v/>
      </c>
      <c r="P96" s="282">
        <f>(N96-O96)/O96</f>
        <v/>
      </c>
      <c r="Q96" s="536">
        <f>E96/K96</f>
        <v/>
      </c>
      <c r="R96" s="536">
        <f>F96/L96</f>
        <v/>
      </c>
      <c r="S96" s="282">
        <f>(Q96-R96)/R96</f>
        <v/>
      </c>
      <c r="T96" s="537" t="n"/>
      <c r="U96" s="537" t="n"/>
      <c r="V96" s="282">
        <f>(T96-U96)/U96</f>
        <v/>
      </c>
      <c r="W96" s="537" t="n"/>
      <c r="X96" s="537" t="n"/>
      <c r="Y96" s="282">
        <f>(W96-X96)/X96</f>
        <v/>
      </c>
      <c r="Z96" s="537">
        <f>E96/W96</f>
        <v/>
      </c>
      <c r="AA96" s="537">
        <f>F96/X96</f>
        <v/>
      </c>
      <c r="AB96" s="282">
        <f>(Z96-AA96)/AA96</f>
        <v/>
      </c>
      <c r="AC96" s="537" t="n"/>
      <c r="AD96" s="537" t="n"/>
      <c r="AE96" s="282">
        <f>(AC96-AD96)/AD96</f>
        <v/>
      </c>
      <c r="AF96" s="537" t="n"/>
      <c r="AG96" s="537" t="n"/>
      <c r="AH96">
        <f>(AF96-AG96)/AG96</f>
        <v/>
      </c>
      <c r="AI96" s="537" t="n"/>
      <c r="AJ96" s="537" t="n"/>
      <c r="AK96" s="282">
        <f>(AI96-AJ96)/AJ96</f>
        <v/>
      </c>
      <c r="AL96" s="286">
        <f>AF96/AI96</f>
        <v/>
      </c>
      <c r="AM96" s="286">
        <f>AG96/AJ96</f>
        <v/>
      </c>
      <c r="AN96" s="282">
        <f>(AL96-AM96)/AM96</f>
        <v/>
      </c>
    </row>
    <row customFormat="1" customHeight="1" ht="15.75" r="97" s="357" spans="1:41">
      <c r="A97" s="347" t="n"/>
      <c r="B97" s="347" t="n"/>
      <c r="C97" s="348" t="n"/>
      <c r="D97" s="349" t="s">
        <v>177</v>
      </c>
      <c r="E97" s="612" t="n">
        <v>0</v>
      </c>
      <c r="F97" s="612" t="n"/>
      <c r="G97" s="351">
        <f>(E97-F97)/F97</f>
        <v/>
      </c>
      <c r="H97" s="612" t="n">
        <v>0</v>
      </c>
      <c r="I97" s="613" t="n">
        <v>1450.53</v>
      </c>
      <c r="J97" s="351">
        <f>(H97-I97)/I97</f>
        <v/>
      </c>
      <c r="K97" s="612">
        <f>H97*1.085</f>
        <v/>
      </c>
      <c r="L97" s="612">
        <f>I97*1.085</f>
        <v/>
      </c>
      <c r="M97" s="351">
        <f>(K97-L97)/L97</f>
        <v/>
      </c>
      <c r="N97" s="613">
        <f>E97/H97</f>
        <v/>
      </c>
      <c r="O97" s="613">
        <f>F97/I97</f>
        <v/>
      </c>
      <c r="P97" s="351">
        <f>(N97-O97)/O97</f>
        <v/>
      </c>
      <c r="Q97" s="613">
        <f>E97/K97</f>
        <v/>
      </c>
      <c r="R97" s="613">
        <f>F97/L97</f>
        <v/>
      </c>
      <c r="S97" s="351">
        <f>(Q97-R97)/R97</f>
        <v/>
      </c>
      <c r="T97" s="614" t="n">
        <v>141</v>
      </c>
      <c r="U97" s="614" t="n">
        <v>433</v>
      </c>
      <c r="V97" s="351">
        <f>(T97-U97)/U97</f>
        <v/>
      </c>
      <c r="W97" s="614" t="n">
        <v>0</v>
      </c>
      <c r="X97" s="614" t="n">
        <v>0</v>
      </c>
      <c r="Y97" s="351">
        <f>(W97-X97)/X97</f>
        <v/>
      </c>
      <c r="Z97" s="614">
        <f>E97/W97</f>
        <v/>
      </c>
      <c r="AA97" s="614">
        <f>F97/X97</f>
        <v/>
      </c>
      <c r="AB97" s="351">
        <f>(Z97-AA97)/AA97</f>
        <v/>
      </c>
      <c r="AC97" s="614" t="n">
        <v>0</v>
      </c>
      <c r="AD97" s="614" t="n">
        <v>119923</v>
      </c>
      <c r="AE97" s="351">
        <f>(AC97-AD97)/AD97</f>
        <v/>
      </c>
      <c r="AF97" s="614" t="n">
        <v>0</v>
      </c>
      <c r="AG97" s="614" t="n">
        <v>1406</v>
      </c>
      <c r="AH97" s="357">
        <f>(AF97-AG97)/AG97</f>
        <v/>
      </c>
      <c r="AI97" s="614" t="n">
        <v>0</v>
      </c>
      <c r="AJ97" s="614" t="n">
        <v>168729</v>
      </c>
      <c r="AK97" s="351">
        <f>(AI97-AJ97)/AJ97</f>
        <v/>
      </c>
      <c r="AL97" s="356">
        <f>AF97/AI97</f>
        <v/>
      </c>
      <c r="AM97" s="356">
        <f>AG97/AJ97</f>
        <v/>
      </c>
      <c r="AN97" s="351">
        <f>(AL97-AM97)/AM97</f>
        <v/>
      </c>
      <c r="AO97" s="357" t="n"/>
    </row>
    <row customHeight="1" ht="15.75" r="98" s="452" spans="1:41">
      <c r="A98" s="49" t="s">
        <v>44</v>
      </c>
      <c r="B98" s="49" t="s">
        <v>95</v>
      </c>
      <c r="C98" s="50">
        <f>C92+7</f>
        <v/>
      </c>
      <c r="D98" s="50" t="s">
        <v>60</v>
      </c>
      <c r="E98" s="566">
        <f>SUM(E99:E103)</f>
        <v/>
      </c>
      <c r="F98" s="566">
        <f>SUM(F99:F103)</f>
        <v/>
      </c>
      <c r="G98" s="52">
        <f>(E98-F98)/F98</f>
        <v/>
      </c>
      <c r="H98" s="566">
        <f>SUM(H99:H103)</f>
        <v/>
      </c>
      <c r="I98" s="566">
        <f>SUM(I99:I103)</f>
        <v/>
      </c>
      <c r="J98" s="52">
        <f>(H98-I98)/I98</f>
        <v/>
      </c>
      <c r="K98" s="566">
        <f>H98*1.085</f>
        <v/>
      </c>
      <c r="L98" s="566">
        <f>I98*1.085</f>
        <v/>
      </c>
      <c r="M98" s="52">
        <f>(K98-L98)/L98</f>
        <v/>
      </c>
      <c r="N98" s="567">
        <f>E98/H98</f>
        <v/>
      </c>
      <c r="O98" s="567">
        <f>F98/I98</f>
        <v/>
      </c>
      <c r="P98" s="52">
        <f>(N98-O98)/O98</f>
        <v/>
      </c>
      <c r="Q98" s="567">
        <f>E98/K98</f>
        <v/>
      </c>
      <c r="R98" s="567">
        <f>F98/L98</f>
        <v/>
      </c>
      <c r="S98" s="52">
        <f>(Q98-R98)/R98</f>
        <v/>
      </c>
      <c r="T98" s="568">
        <f>SUM(T99:T103)</f>
        <v/>
      </c>
      <c r="U98" s="568">
        <f>SUM(U99:U103)</f>
        <v/>
      </c>
      <c r="V98" s="52">
        <f>(T98-U98)/U98</f>
        <v/>
      </c>
      <c r="W98" s="568">
        <f>SUM(W99:W103)</f>
        <v/>
      </c>
      <c r="X98" s="568">
        <f>SUM(X99:X103)</f>
        <v/>
      </c>
      <c r="Y98" s="52">
        <f>(W98-X98)/X98</f>
        <v/>
      </c>
      <c r="Z98" s="566">
        <f>E98/W98</f>
        <v/>
      </c>
      <c r="AA98" s="568">
        <f>F98/X98</f>
        <v/>
      </c>
      <c r="AB98" s="52">
        <f>(Z98-AA98)/AA98</f>
        <v/>
      </c>
      <c r="AC98" s="568">
        <f>SUM(AC99:AC103)</f>
        <v/>
      </c>
      <c r="AD98" s="568">
        <f>SUM(AD99:AD103)</f>
        <v/>
      </c>
      <c r="AE98" s="52">
        <f>(AC98-AD98)/AD98</f>
        <v/>
      </c>
      <c r="AF98" s="568">
        <f>SUM(AF99:AF103)</f>
        <v/>
      </c>
      <c r="AG98" s="568">
        <f>SUM(AG99:AG103)</f>
        <v/>
      </c>
      <c r="AH98" s="67">
        <f>(AF98-AG98)/AG98</f>
        <v/>
      </c>
      <c r="AI98" s="568">
        <f>SUM(AI99:AI103)</f>
        <v/>
      </c>
      <c r="AJ98" s="568">
        <f>SUM(AJ99:AJ103)</f>
        <v/>
      </c>
      <c r="AK98" s="52">
        <f>(AI98-AJ98)/AJ98</f>
        <v/>
      </c>
      <c r="AL98" s="82">
        <f>AF98/AI98</f>
        <v/>
      </c>
      <c r="AM98" s="82">
        <f>AG98/AJ98</f>
        <v/>
      </c>
      <c r="AN98" s="52">
        <f>(AL98-AM98)/AM98</f>
        <v/>
      </c>
    </row>
    <row customHeight="1" ht="15.75" r="99" s="452" spans="1:41">
      <c r="A99" s="279" t="n"/>
      <c r="B99" s="279" t="n"/>
      <c r="C99" s="280" t="n"/>
      <c r="D99" s="280" t="n"/>
      <c r="E99" s="535" t="n"/>
      <c r="F99" s="535" t="n"/>
      <c r="G99" s="282">
        <f>(E99-F99)/F99</f>
        <v/>
      </c>
      <c r="H99" s="535" t="n"/>
      <c r="I99" s="536" t="n"/>
      <c r="J99" s="282">
        <f>(H99-I99)/I99</f>
        <v/>
      </c>
      <c r="K99" s="535">
        <f>H99*1.085</f>
        <v/>
      </c>
      <c r="L99" s="535">
        <f>I99*1.085</f>
        <v/>
      </c>
      <c r="M99" s="282">
        <f>(K99-L99)/L99</f>
        <v/>
      </c>
      <c r="N99" s="536">
        <f>E99/H99</f>
        <v/>
      </c>
      <c r="O99" s="536">
        <f>F99/I99</f>
        <v/>
      </c>
      <c r="P99" s="282">
        <f>(N99-O99)/O99</f>
        <v/>
      </c>
      <c r="Q99" s="536">
        <f>E99/K99</f>
        <v/>
      </c>
      <c r="R99" s="536">
        <f>F99/L99</f>
        <v/>
      </c>
      <c r="S99" s="282">
        <f>(Q99-R99)/R99</f>
        <v/>
      </c>
      <c r="T99" s="537" t="n"/>
      <c r="U99" s="537" t="n"/>
      <c r="V99" s="282">
        <f>(T99-U99)/U99</f>
        <v/>
      </c>
      <c r="W99" s="537" t="n"/>
      <c r="X99" s="537" t="n"/>
      <c r="Y99" s="282">
        <f>(W99-X99)/X99</f>
        <v/>
      </c>
      <c r="Z99" s="537">
        <f>E99/W99</f>
        <v/>
      </c>
      <c r="AA99" s="537">
        <f>F99/X99</f>
        <v/>
      </c>
      <c r="AB99" s="282">
        <f>(Z99-AA99)/AA99</f>
        <v/>
      </c>
      <c r="AC99" s="537" t="n"/>
      <c r="AD99" s="537" t="n"/>
      <c r="AE99" s="282">
        <f>(AC99-AD99)/AD99</f>
        <v/>
      </c>
      <c r="AF99" s="537" t="n"/>
      <c r="AG99" s="537" t="n"/>
      <c r="AH99">
        <f>(AF99-AG99)/AG99</f>
        <v/>
      </c>
      <c r="AI99" s="537" t="n"/>
      <c r="AJ99" s="537" t="n"/>
      <c r="AK99" s="282">
        <f>(AI99-AJ99)/AJ99</f>
        <v/>
      </c>
      <c r="AL99" s="286">
        <f>AF99/AI99</f>
        <v/>
      </c>
      <c r="AM99" s="286">
        <f>AG99/AJ99</f>
        <v/>
      </c>
      <c r="AN99" s="282">
        <f>(AL99-AM99)/AM99</f>
        <v/>
      </c>
    </row>
    <row customHeight="1" ht="15.75" r="100" s="452" spans="1:41">
      <c r="A100" s="279" t="n"/>
      <c r="B100" s="279" t="n"/>
      <c r="C100" s="280" t="n"/>
      <c r="D100" s="280" t="n"/>
      <c r="E100" s="535" t="n"/>
      <c r="F100" s="535" t="n"/>
      <c r="G100" s="282">
        <f>(E100-F100)/F100</f>
        <v/>
      </c>
      <c r="H100" s="535" t="n"/>
      <c r="I100" s="536" t="n"/>
      <c r="J100" s="282">
        <f>(H100-I100)/I100</f>
        <v/>
      </c>
      <c r="K100" s="535">
        <f>H100*1.085</f>
        <v/>
      </c>
      <c r="L100" s="535">
        <f>I100*1.085</f>
        <v/>
      </c>
      <c r="M100" s="282">
        <f>(K100-L100)/L100</f>
        <v/>
      </c>
      <c r="N100" s="536">
        <f>E100/H100</f>
        <v/>
      </c>
      <c r="O100" s="536">
        <f>F100/I100</f>
        <v/>
      </c>
      <c r="P100" s="282">
        <f>(N100-O100)/O100</f>
        <v/>
      </c>
      <c r="Q100" s="536">
        <f>E100/K100</f>
        <v/>
      </c>
      <c r="R100" s="536">
        <f>F100/L100</f>
        <v/>
      </c>
      <c r="S100" s="282">
        <f>(Q100-R100)/R100</f>
        <v/>
      </c>
      <c r="T100" s="537" t="n"/>
      <c r="U100" s="537" t="n"/>
      <c r="V100" s="282">
        <f>(T100-U100)/U100</f>
        <v/>
      </c>
      <c r="W100" s="537" t="n"/>
      <c r="X100" s="537" t="n"/>
      <c r="Y100" s="282">
        <f>(W100-X100)/X100</f>
        <v/>
      </c>
      <c r="Z100" s="537">
        <f>E100/W100</f>
        <v/>
      </c>
      <c r="AA100" s="537">
        <f>F100/X100</f>
        <v/>
      </c>
      <c r="AB100" s="282">
        <f>(Z100-AA100)/AA100</f>
        <v/>
      </c>
      <c r="AC100" s="537" t="n"/>
      <c r="AD100" s="537" t="n"/>
      <c r="AE100" s="282">
        <f>(AC100-AD100)/AD100</f>
        <v/>
      </c>
      <c r="AF100" s="537" t="n"/>
      <c r="AG100" s="537" t="n"/>
      <c r="AH100">
        <f>(AF100-AG100)/AG100</f>
        <v/>
      </c>
      <c r="AI100" s="537" t="n"/>
      <c r="AJ100" s="537" t="n"/>
      <c r="AK100" s="282">
        <f>(AI100-AJ100)/AJ100</f>
        <v/>
      </c>
      <c r="AL100" s="286">
        <f>AF100/AI100</f>
        <v/>
      </c>
      <c r="AM100" s="286">
        <f>AG100/AJ100</f>
        <v/>
      </c>
      <c r="AN100" s="282">
        <f>(AL100-AM100)/AM100</f>
        <v/>
      </c>
    </row>
    <row customHeight="1" ht="15.75" r="101" s="452" spans="1:41">
      <c r="A101" s="279" t="n"/>
      <c r="B101" s="279" t="n"/>
      <c r="C101" s="280" t="n"/>
      <c r="D101" s="280" t="n"/>
      <c r="E101" s="535" t="n"/>
      <c r="F101" s="535" t="n"/>
      <c r="G101" s="282">
        <f>(E101-F101)/F101</f>
        <v/>
      </c>
      <c r="H101" s="535" t="n"/>
      <c r="I101" s="536" t="n"/>
      <c r="J101" s="282">
        <f>(H101-I101)/I101</f>
        <v/>
      </c>
      <c r="K101" s="535">
        <f>H101*1.085</f>
        <v/>
      </c>
      <c r="L101" s="535">
        <f>I101*1.085</f>
        <v/>
      </c>
      <c r="M101" s="282">
        <f>(K101-L101)/L101</f>
        <v/>
      </c>
      <c r="N101" s="536">
        <f>E101/H101</f>
        <v/>
      </c>
      <c r="O101" s="536">
        <f>F101/I101</f>
        <v/>
      </c>
      <c r="P101" s="282">
        <f>(N101-O101)/O101</f>
        <v/>
      </c>
      <c r="Q101" s="536">
        <f>E101/K101</f>
        <v/>
      </c>
      <c r="R101" s="536">
        <f>F101/L101</f>
        <v/>
      </c>
      <c r="S101" s="282">
        <f>(Q101-R101)/R101</f>
        <v/>
      </c>
      <c r="T101" s="537" t="n"/>
      <c r="U101" s="537" t="n"/>
      <c r="V101" s="282">
        <f>(T101-U101)/U101</f>
        <v/>
      </c>
      <c r="W101" s="537" t="n"/>
      <c r="X101" s="537" t="n"/>
      <c r="Y101" s="282">
        <f>(W101-X101)/X101</f>
        <v/>
      </c>
      <c r="Z101" s="537">
        <f>E101/W101</f>
        <v/>
      </c>
      <c r="AA101" s="537">
        <f>F101/X101</f>
        <v/>
      </c>
      <c r="AB101" s="282">
        <f>(Z101-AA101)/AA101</f>
        <v/>
      </c>
      <c r="AC101" s="537" t="n"/>
      <c r="AD101" s="537" t="n"/>
      <c r="AE101" s="282">
        <f>(AC101-AD101)/AD101</f>
        <v/>
      </c>
      <c r="AF101" s="537" t="n"/>
      <c r="AG101" s="537" t="n"/>
      <c r="AH101">
        <f>(AF101-AG101)/AG101</f>
        <v/>
      </c>
      <c r="AI101" s="537" t="n"/>
      <c r="AJ101" s="537" t="n"/>
      <c r="AK101" s="282">
        <f>(AI101-AJ101)/AJ101</f>
        <v/>
      </c>
      <c r="AL101" s="286">
        <f>AF101/AI101</f>
        <v/>
      </c>
      <c r="AM101" s="286">
        <f>AG101/AJ101</f>
        <v/>
      </c>
      <c r="AN101" s="282">
        <f>(AL101-AM101)/AM101</f>
        <v/>
      </c>
    </row>
    <row customHeight="1" ht="15.75" r="102" s="452" spans="1:41">
      <c r="A102" s="279" t="n"/>
      <c r="B102" s="279" t="n"/>
      <c r="C102" s="280" t="n"/>
      <c r="D102" s="280" t="n"/>
      <c r="E102" s="535" t="n"/>
      <c r="F102" s="535" t="n"/>
      <c r="G102" s="282">
        <f>(E102-F102)/F102</f>
        <v/>
      </c>
      <c r="H102" s="535" t="n"/>
      <c r="I102" s="536" t="n"/>
      <c r="J102" s="282">
        <f>(H102-I102)/I102</f>
        <v/>
      </c>
      <c r="K102" s="535">
        <f>H102*1.085</f>
        <v/>
      </c>
      <c r="L102" s="535">
        <f>I102*1.085</f>
        <v/>
      </c>
      <c r="M102" s="282">
        <f>(K102-L102)/L102</f>
        <v/>
      </c>
      <c r="N102" s="536">
        <f>E102/H102</f>
        <v/>
      </c>
      <c r="O102" s="536">
        <f>F102/I102</f>
        <v/>
      </c>
      <c r="P102" s="282">
        <f>(N102-O102)/O102</f>
        <v/>
      </c>
      <c r="Q102" s="536">
        <f>E102/K102</f>
        <v/>
      </c>
      <c r="R102" s="536">
        <f>F102/L102</f>
        <v/>
      </c>
      <c r="S102" s="282">
        <f>(Q102-R102)/R102</f>
        <v/>
      </c>
      <c r="T102" s="537" t="n"/>
      <c r="U102" s="537" t="n"/>
      <c r="V102" s="282">
        <f>(T102-U102)/U102</f>
        <v/>
      </c>
      <c r="W102" s="537" t="n"/>
      <c r="X102" s="537" t="n"/>
      <c r="Y102" s="282">
        <f>(W102-X102)/X102</f>
        <v/>
      </c>
      <c r="Z102" s="537">
        <f>E102/W102</f>
        <v/>
      </c>
      <c r="AA102" s="537">
        <f>F102/X102</f>
        <v/>
      </c>
      <c r="AB102" s="282">
        <f>(Z102-AA102)/AA102</f>
        <v/>
      </c>
      <c r="AC102" s="537" t="n"/>
      <c r="AD102" s="537" t="n"/>
      <c r="AE102" s="282">
        <f>(AC102-AD102)/AD102</f>
        <v/>
      </c>
      <c r="AF102" s="537" t="n"/>
      <c r="AG102" s="537" t="n"/>
      <c r="AH102">
        <f>(AF102-AG102)/AG102</f>
        <v/>
      </c>
      <c r="AI102" s="537" t="n"/>
      <c r="AJ102" s="537" t="n"/>
      <c r="AK102" s="282">
        <f>(AI102-AJ102)/AJ102</f>
        <v/>
      </c>
      <c r="AL102" s="286">
        <f>AF102/AI102</f>
        <v/>
      </c>
      <c r="AM102" s="286">
        <f>AG102/AJ102</f>
        <v/>
      </c>
      <c r="AN102" s="282">
        <f>(AL102-AM102)/AM102</f>
        <v/>
      </c>
    </row>
    <row customHeight="1" ht="15.75" r="103" s="452" spans="1:41">
      <c r="A103" s="279" t="n"/>
      <c r="B103" s="279" t="n"/>
      <c r="C103" s="280" t="n"/>
      <c r="D103" s="297" t="s">
        <v>177</v>
      </c>
      <c r="E103" s="535" t="n">
        <v>0</v>
      </c>
      <c r="F103" s="535" t="n"/>
      <c r="G103" s="282">
        <f>(E103-F103)/F103</f>
        <v/>
      </c>
      <c r="H103" s="535" t="n">
        <v>0</v>
      </c>
      <c r="I103" s="536" t="n"/>
      <c r="J103" s="282">
        <f>(H103-I103)/I103</f>
        <v/>
      </c>
      <c r="K103" s="535">
        <f>H103*1.085</f>
        <v/>
      </c>
      <c r="L103" s="535">
        <f>I103*1.085</f>
        <v/>
      </c>
      <c r="M103" s="282">
        <f>(K103-L103)/L103</f>
        <v/>
      </c>
      <c r="N103" s="536">
        <f>E103/H103</f>
        <v/>
      </c>
      <c r="O103" s="536">
        <f>F103/I103</f>
        <v/>
      </c>
      <c r="P103" s="282">
        <f>(N103-O103)/O103</f>
        <v/>
      </c>
      <c r="Q103" s="536">
        <f>E103/K103</f>
        <v/>
      </c>
      <c r="R103" s="536">
        <f>F103/L103</f>
        <v/>
      </c>
      <c r="S103" s="282">
        <f>(Q103-R103)/R103</f>
        <v/>
      </c>
      <c r="T103" s="537" t="n">
        <v>329</v>
      </c>
      <c r="U103" s="537" t="n">
        <v>41</v>
      </c>
      <c r="V103" s="282">
        <f>(T103-U103)/U103</f>
        <v/>
      </c>
      <c r="W103" s="537" t="n">
        <v>0</v>
      </c>
      <c r="X103" s="537" t="n">
        <v>0</v>
      </c>
      <c r="Y103" s="282">
        <f>(W103-X103)/X103</f>
        <v/>
      </c>
      <c r="Z103" s="537">
        <f>E103/W103</f>
        <v/>
      </c>
      <c r="AA103" s="537">
        <f>F103/X103</f>
        <v/>
      </c>
      <c r="AB103" s="282">
        <f>(Z103-AA103)/AA103</f>
        <v/>
      </c>
      <c r="AC103" s="537" t="n">
        <v>0</v>
      </c>
      <c r="AD103" s="537" t="n">
        <v>0</v>
      </c>
      <c r="AE103" s="282">
        <f>(AC103-AD103)/AD103</f>
        <v/>
      </c>
      <c r="AF103" s="537" t="n">
        <v>0</v>
      </c>
      <c r="AG103" s="537" t="n">
        <v>0</v>
      </c>
      <c r="AH103">
        <f>(AF103-AG103)/AG103</f>
        <v/>
      </c>
      <c r="AI103" s="537" t="n">
        <v>0</v>
      </c>
      <c r="AJ103" s="537" t="n">
        <v>0</v>
      </c>
      <c r="AK103" s="282">
        <f>(AI103-AJ103)/AJ103</f>
        <v/>
      </c>
      <c r="AL103" s="286">
        <f>AF103/AI103</f>
        <v/>
      </c>
      <c r="AM103" s="286">
        <f>AG103/AJ103</f>
        <v/>
      </c>
      <c r="AN103" s="282">
        <f>(AL103-AM103)/AM103</f>
        <v/>
      </c>
    </row>
    <row customHeight="1" ht="15.75" r="104" s="452" spans="1:41">
      <c r="A104" s="49" t="s">
        <v>44</v>
      </c>
      <c r="B104" s="49" t="s">
        <v>96</v>
      </c>
      <c r="C104" s="50">
        <f>C98+7</f>
        <v/>
      </c>
      <c r="D104" s="50" t="s">
        <v>60</v>
      </c>
      <c r="E104" s="566">
        <f>SUM(E105:E109)</f>
        <v/>
      </c>
      <c r="F104" s="566">
        <f>SUM(F105:F109)</f>
        <v/>
      </c>
      <c r="G104" s="52">
        <f>(E104-F104)/F104</f>
        <v/>
      </c>
      <c r="H104" s="566">
        <f>SUM(H105:H109)</f>
        <v/>
      </c>
      <c r="I104" s="566">
        <f>SUM(I105:I109)</f>
        <v/>
      </c>
      <c r="J104" s="52">
        <f>(H104-I104)/I104</f>
        <v/>
      </c>
      <c r="K104" s="566">
        <f>H104*1.085</f>
        <v/>
      </c>
      <c r="L104" s="566">
        <f>I104*1.085</f>
        <v/>
      </c>
      <c r="M104" s="52">
        <f>(K104-L104)/L104</f>
        <v/>
      </c>
      <c r="N104" s="567">
        <f>E104/H104</f>
        <v/>
      </c>
      <c r="O104" s="567">
        <f>F104/I104</f>
        <v/>
      </c>
      <c r="P104" s="52">
        <f>(N104-O104)/O104</f>
        <v/>
      </c>
      <c r="Q104" s="567">
        <f>E104/K104</f>
        <v/>
      </c>
      <c r="R104" s="567">
        <f>F104/L104</f>
        <v/>
      </c>
      <c r="S104" s="52">
        <f>(Q104-R104)/R104</f>
        <v/>
      </c>
      <c r="T104" s="568">
        <f>SUM(T105:T109)</f>
        <v/>
      </c>
      <c r="U104" s="568">
        <f>SUM(U105:U109)</f>
        <v/>
      </c>
      <c r="V104" s="52">
        <f>(T104-U104)/U104</f>
        <v/>
      </c>
      <c r="W104" s="568">
        <f>SUM(W105:W109)</f>
        <v/>
      </c>
      <c r="X104" s="568">
        <f>SUM(X105:X109)</f>
        <v/>
      </c>
      <c r="Y104" s="52">
        <f>(W104-X104)/X104</f>
        <v/>
      </c>
      <c r="Z104" s="566">
        <f>E104/W104</f>
        <v/>
      </c>
      <c r="AA104" s="568">
        <f>F104/X104</f>
        <v/>
      </c>
      <c r="AB104" s="52">
        <f>(Z104-AA104)/AA104</f>
        <v/>
      </c>
      <c r="AC104" s="568">
        <f>SUM(AC105:AC109)</f>
        <v/>
      </c>
      <c r="AD104" s="568">
        <f>SUM(AD105:AD109)</f>
        <v/>
      </c>
      <c r="AE104" s="52">
        <f>(AC104-AD104)/AD104</f>
        <v/>
      </c>
      <c r="AF104" s="568">
        <f>SUM(AF105:AF109)</f>
        <v/>
      </c>
      <c r="AG104" s="568">
        <f>SUM(AG105:AG109)</f>
        <v/>
      </c>
      <c r="AH104" s="67">
        <f>(AF104-AG104)/AG104</f>
        <v/>
      </c>
      <c r="AI104" s="568">
        <f>SUM(AI105:AI109)</f>
        <v/>
      </c>
      <c r="AJ104" s="568">
        <f>SUM(AJ105:AJ109)</f>
        <v/>
      </c>
      <c r="AK104" s="52">
        <f>(AI104-AJ104)/AJ104</f>
        <v/>
      </c>
      <c r="AL104" s="82">
        <f>AF104/AI104</f>
        <v/>
      </c>
      <c r="AM104" s="82">
        <f>AG104/AJ104</f>
        <v/>
      </c>
      <c r="AN104" s="52">
        <f>(AL104-AM104)/AM104</f>
        <v/>
      </c>
      <c r="AO104" s="214" t="s">
        <v>183</v>
      </c>
    </row>
    <row customHeight="1" ht="15.75" r="105" s="452" spans="1:41">
      <c r="A105" s="279" t="n"/>
      <c r="B105" s="279" t="n"/>
      <c r="C105" s="280" t="n"/>
      <c r="D105" s="297" t="s">
        <v>113</v>
      </c>
      <c r="E105" s="535" t="n">
        <v>2259</v>
      </c>
      <c r="F105" s="535" t="n"/>
      <c r="G105" s="282">
        <f>(E105-F105)/F105</f>
        <v/>
      </c>
      <c r="H105" s="535" t="n">
        <v>4998</v>
      </c>
      <c r="I105" s="536" t="n"/>
      <c r="J105" s="282">
        <f>(H105-I105)/I105</f>
        <v/>
      </c>
      <c r="K105" s="535">
        <f>H105*1.085</f>
        <v/>
      </c>
      <c r="L105" s="535">
        <f>I105*1.085</f>
        <v/>
      </c>
      <c r="M105" s="282">
        <f>(K105-L105)/L105</f>
        <v/>
      </c>
      <c r="N105" s="536">
        <f>E105/H105</f>
        <v/>
      </c>
      <c r="O105" s="536">
        <f>F105/I105</f>
        <v/>
      </c>
      <c r="P105" s="282">
        <f>(N105-O105)/O105</f>
        <v/>
      </c>
      <c r="Q105" s="536">
        <f>E105/K105</f>
        <v/>
      </c>
      <c r="R105" s="536">
        <f>F105/L105</f>
        <v/>
      </c>
      <c r="S105" s="282">
        <f>(Q105-R105)/R105</f>
        <v/>
      </c>
      <c r="T105" s="537" t="n">
        <v>6526</v>
      </c>
      <c r="U105" s="537" t="n"/>
      <c r="V105" s="282">
        <f>(T105-U105)/U105</f>
        <v/>
      </c>
      <c r="W105" s="537" t="n">
        <v>17</v>
      </c>
      <c r="X105" s="537" t="n"/>
      <c r="Y105" s="282">
        <f>(W105-X105)/X105</f>
        <v/>
      </c>
      <c r="Z105" s="537">
        <f>E105/W105</f>
        <v/>
      </c>
      <c r="AA105" s="537">
        <f>F105/X105</f>
        <v/>
      </c>
      <c r="AB105" s="282">
        <f>(Z105-AA105)/AA105</f>
        <v/>
      </c>
      <c r="AC105" s="254" t="n">
        <v>268291</v>
      </c>
      <c r="AD105" s="537" t="n"/>
      <c r="AE105" s="282">
        <f>(AC105-AD105)/AD105</f>
        <v/>
      </c>
      <c r="AF105" s="537" t="n">
        <v>7348</v>
      </c>
      <c r="AG105" s="537" t="n"/>
      <c r="AH105">
        <f>(AF105-AG105)/AG105</f>
        <v/>
      </c>
      <c r="AI105" s="254" t="n">
        <v>449789</v>
      </c>
      <c r="AJ105" s="537" t="n"/>
      <c r="AK105" s="282">
        <f>(AI105-AJ105)/AJ105</f>
        <v/>
      </c>
      <c r="AL105" s="286">
        <f>AF105/AI105</f>
        <v/>
      </c>
      <c r="AM105" s="286">
        <f>AG105/AJ105</f>
        <v/>
      </c>
      <c r="AN105" s="282">
        <f>(AL105-AM105)/AM105</f>
        <v/>
      </c>
    </row>
    <row customHeight="1" ht="15.75" r="106" s="452" spans="1:41">
      <c r="A106" s="279" t="n"/>
      <c r="B106" s="279" t="n"/>
      <c r="C106" s="280" t="n"/>
      <c r="D106" s="297" t="s">
        <v>184</v>
      </c>
      <c r="E106" s="535" t="n">
        <v>489</v>
      </c>
      <c r="F106" s="535" t="n"/>
      <c r="G106" s="282">
        <f>(E106-F106)/F106</f>
        <v/>
      </c>
      <c r="H106" s="535" t="n">
        <v>2996</v>
      </c>
      <c r="I106" s="536" t="n"/>
      <c r="J106" s="282">
        <f>(H106-I106)/I106</f>
        <v/>
      </c>
      <c r="K106" s="535">
        <f>H106*1.085</f>
        <v/>
      </c>
      <c r="L106" s="535">
        <f>I106*1.085</f>
        <v/>
      </c>
      <c r="M106" s="282">
        <f>(K106-L106)/L106</f>
        <v/>
      </c>
      <c r="N106" s="536">
        <f>E106/H106</f>
        <v/>
      </c>
      <c r="O106" s="536">
        <f>F106/I106</f>
        <v/>
      </c>
      <c r="P106" s="282">
        <f>(N106-O106)/O106</f>
        <v/>
      </c>
      <c r="Q106" s="536">
        <f>E106/K106</f>
        <v/>
      </c>
      <c r="R106" s="536">
        <f>F106/L106</f>
        <v/>
      </c>
      <c r="S106" s="282">
        <f>(Q106-R106)/R106</f>
        <v/>
      </c>
      <c r="T106" s="537" t="n">
        <v>5287</v>
      </c>
      <c r="U106" s="537" t="n"/>
      <c r="V106" s="282">
        <f>(T106-U106)/U106</f>
        <v/>
      </c>
      <c r="W106" s="537" t="n">
        <v>6</v>
      </c>
      <c r="X106" s="537" t="n"/>
      <c r="Y106" s="282">
        <f>(W106-X106)/X106</f>
        <v/>
      </c>
      <c r="Z106" s="537">
        <f>E106/W106</f>
        <v/>
      </c>
      <c r="AA106" s="537">
        <f>F106/X106</f>
        <v/>
      </c>
      <c r="AB106" s="282">
        <f>(Z106-AA106)/AA106</f>
        <v/>
      </c>
      <c r="AC106" s="615" t="n">
        <v>217934</v>
      </c>
      <c r="AD106" s="537" t="n"/>
      <c r="AE106" s="282">
        <f>(AC106-AD106)/AD106</f>
        <v/>
      </c>
      <c r="AF106" s="537" t="n">
        <v>5730</v>
      </c>
      <c r="AG106" s="537" t="n"/>
      <c r="AH106">
        <f>(AF106-AG106)/AG106</f>
        <v/>
      </c>
      <c r="AI106" s="615" t="n">
        <v>376335</v>
      </c>
      <c r="AJ106" s="537" t="n"/>
      <c r="AK106" s="282">
        <f>(AI106-AJ106)/AJ106</f>
        <v/>
      </c>
      <c r="AL106" s="286">
        <f>AF106/AI106</f>
        <v/>
      </c>
      <c r="AM106" s="286">
        <f>AG106/AJ106</f>
        <v/>
      </c>
      <c r="AN106" s="282">
        <f>(AL106-AM106)/AM106</f>
        <v/>
      </c>
    </row>
    <row customHeight="1" ht="15.75" r="107" s="452" spans="1:41">
      <c r="A107" s="279" t="n"/>
      <c r="B107" s="279" t="n"/>
      <c r="C107" s="280" t="n"/>
      <c r="D107" s="280" t="n"/>
      <c r="E107" s="535" t="n"/>
      <c r="F107" s="535" t="n"/>
      <c r="G107" s="282">
        <f>(E107-F107)/F107</f>
        <v/>
      </c>
      <c r="H107" s="535" t="n"/>
      <c r="I107" s="536" t="n"/>
      <c r="J107" s="282">
        <f>(H107-I107)/I107</f>
        <v/>
      </c>
      <c r="K107" s="535">
        <f>H107*1.085</f>
        <v/>
      </c>
      <c r="L107" s="535">
        <f>I107*1.085</f>
        <v/>
      </c>
      <c r="M107" s="282">
        <f>(K107-L107)/L107</f>
        <v/>
      </c>
      <c r="N107" s="536">
        <f>E107/H107</f>
        <v/>
      </c>
      <c r="O107" s="536">
        <f>F107/I107</f>
        <v/>
      </c>
      <c r="P107" s="282">
        <f>(N107-O107)/O107</f>
        <v/>
      </c>
      <c r="Q107" s="536">
        <f>E107/K107</f>
        <v/>
      </c>
      <c r="R107" s="536">
        <f>F107/L107</f>
        <v/>
      </c>
      <c r="S107" s="282">
        <f>(Q107-R107)/R107</f>
        <v/>
      </c>
      <c r="T107" s="537" t="n"/>
      <c r="U107" s="537" t="n"/>
      <c r="V107" s="282">
        <f>(T107-U107)/U107</f>
        <v/>
      </c>
      <c r="W107" s="537" t="n"/>
      <c r="X107" s="537" t="n"/>
      <c r="Y107" s="282">
        <f>(W107-X107)/X107</f>
        <v/>
      </c>
      <c r="Z107" s="537">
        <f>E107/W107</f>
        <v/>
      </c>
      <c r="AA107" s="537">
        <f>F107/X107</f>
        <v/>
      </c>
      <c r="AB107" s="282">
        <f>(Z107-AA107)/AA107</f>
        <v/>
      </c>
      <c r="AC107" s="537" t="n"/>
      <c r="AD107" s="537" t="n"/>
      <c r="AE107" s="282">
        <f>(AC107-AD107)/AD107</f>
        <v/>
      </c>
      <c r="AF107" s="537" t="n"/>
      <c r="AG107" s="537" t="n"/>
      <c r="AH107">
        <f>(AF107-AG107)/AG107</f>
        <v/>
      </c>
      <c r="AI107" s="537" t="n"/>
      <c r="AJ107" s="537" t="n"/>
      <c r="AK107" s="282">
        <f>(AI107-AJ107)/AJ107</f>
        <v/>
      </c>
      <c r="AL107" s="286">
        <f>AF107/AI107</f>
        <v/>
      </c>
      <c r="AM107" s="286">
        <f>AG107/AJ107</f>
        <v/>
      </c>
      <c r="AN107" s="282">
        <f>(AL107-AM107)/AM107</f>
        <v/>
      </c>
    </row>
    <row customHeight="1" ht="15.75" r="108" s="452" spans="1:41">
      <c r="A108" s="279" t="n"/>
      <c r="B108" s="279" t="n"/>
      <c r="C108" s="280" t="n"/>
      <c r="D108" s="280" t="n"/>
      <c r="E108" s="535" t="n"/>
      <c r="F108" s="535" t="n"/>
      <c r="G108" s="282">
        <f>(E108-F108)/F108</f>
        <v/>
      </c>
      <c r="H108" s="535" t="n"/>
      <c r="I108" s="536" t="n"/>
      <c r="J108" s="282">
        <f>(H108-I108)/I108</f>
        <v/>
      </c>
      <c r="K108" s="535">
        <f>H108*1.085</f>
        <v/>
      </c>
      <c r="L108" s="535">
        <f>I108*1.085</f>
        <v/>
      </c>
      <c r="M108" s="282">
        <f>(K108-L108)/L108</f>
        <v/>
      </c>
      <c r="N108" s="536">
        <f>E108/H108</f>
        <v/>
      </c>
      <c r="O108" s="536">
        <f>F108/I108</f>
        <v/>
      </c>
      <c r="P108" s="282">
        <f>(N108-O108)/O108</f>
        <v/>
      </c>
      <c r="Q108" s="536">
        <f>E108/K108</f>
        <v/>
      </c>
      <c r="R108" s="536">
        <f>F108/L108</f>
        <v/>
      </c>
      <c r="S108" s="282">
        <f>(Q108-R108)/R108</f>
        <v/>
      </c>
      <c r="T108" s="537" t="n"/>
      <c r="U108" s="537" t="n"/>
      <c r="V108" s="282">
        <f>(T108-U108)/U108</f>
        <v/>
      </c>
      <c r="W108" s="537" t="n"/>
      <c r="X108" s="537" t="n"/>
      <c r="Y108" s="282">
        <f>(W108-X108)/X108</f>
        <v/>
      </c>
      <c r="Z108" s="537">
        <f>E108/W108</f>
        <v/>
      </c>
      <c r="AA108" s="537">
        <f>F108/X108</f>
        <v/>
      </c>
      <c r="AB108" s="282">
        <f>(Z108-AA108)/AA108</f>
        <v/>
      </c>
      <c r="AC108" s="537" t="n"/>
      <c r="AD108" s="537" t="n"/>
      <c r="AE108" s="282">
        <f>(AC108-AD108)/AD108</f>
        <v/>
      </c>
      <c r="AF108" s="537" t="n"/>
      <c r="AG108" s="537" t="n"/>
      <c r="AH108">
        <f>(AF108-AG108)/AG108</f>
        <v/>
      </c>
      <c r="AI108" s="537" t="n"/>
      <c r="AJ108" s="537" t="n"/>
      <c r="AK108" s="282">
        <f>(AI108-AJ108)/AJ108</f>
        <v/>
      </c>
      <c r="AL108" s="286">
        <f>AF108/AI108</f>
        <v/>
      </c>
      <c r="AM108" s="286">
        <f>AG108/AJ108</f>
        <v/>
      </c>
      <c r="AN108" s="282">
        <f>(AL108-AM108)/AM108</f>
        <v/>
      </c>
    </row>
    <row customHeight="1" ht="15.75" r="109" s="452" spans="1:41">
      <c r="A109" s="279" t="n"/>
      <c r="B109" s="279" t="n"/>
      <c r="C109" s="280" t="n"/>
      <c r="D109" s="297" t="s">
        <v>177</v>
      </c>
      <c r="E109" s="535" t="n">
        <v>0</v>
      </c>
      <c r="F109" s="535" t="n"/>
      <c r="G109" s="282">
        <f>(E109-F109)/F109</f>
        <v/>
      </c>
      <c r="H109" s="535" t="n">
        <v>0</v>
      </c>
      <c r="I109" s="536" t="n"/>
      <c r="J109" s="282">
        <f>(H109-I109)/I109</f>
        <v/>
      </c>
      <c r="K109" s="535">
        <f>H109*1.085</f>
        <v/>
      </c>
      <c r="L109" s="535">
        <f>I109*1.085</f>
        <v/>
      </c>
      <c r="M109" s="282">
        <f>(K109-L109)/L109</f>
        <v/>
      </c>
      <c r="N109" s="536">
        <f>E109/H109</f>
        <v/>
      </c>
      <c r="O109" s="536">
        <f>F109/I109</f>
        <v/>
      </c>
      <c r="P109" s="282">
        <f>(N109-O109)/O109</f>
        <v/>
      </c>
      <c r="Q109" s="536">
        <f>E109/K109</f>
        <v/>
      </c>
      <c r="R109" s="536">
        <f>F109/L109</f>
        <v/>
      </c>
      <c r="S109" s="282">
        <f>(Q109-R109)/R109</f>
        <v/>
      </c>
      <c r="T109" s="537" t="n">
        <v>0</v>
      </c>
      <c r="U109" s="537" t="n">
        <v>4</v>
      </c>
      <c r="V109" s="282">
        <f>(T109-U109)/U109</f>
        <v/>
      </c>
      <c r="W109" s="537" t="n">
        <v>0</v>
      </c>
      <c r="X109" s="537" t="n"/>
      <c r="Y109" s="282">
        <f>(W109-X109)/X109</f>
        <v/>
      </c>
      <c r="Z109" s="537">
        <f>E109/W109</f>
        <v/>
      </c>
      <c r="AA109" s="537">
        <f>F109/X109</f>
        <v/>
      </c>
      <c r="AB109" s="282">
        <f>(Z109-AA109)/AA109</f>
        <v/>
      </c>
      <c r="AC109" s="537" t="n">
        <v>0</v>
      </c>
      <c r="AD109" s="537" t="n"/>
      <c r="AE109" s="282">
        <f>(AC109-AD109)/AD109</f>
        <v/>
      </c>
      <c r="AF109" s="537" t="n">
        <v>0</v>
      </c>
      <c r="AG109" s="537" t="n"/>
      <c r="AH109">
        <f>(AF109-AG109)/AG109</f>
        <v/>
      </c>
      <c r="AI109" s="537" t="n">
        <v>0</v>
      </c>
      <c r="AJ109" s="537" t="n"/>
      <c r="AK109" s="282">
        <f>(AI109-AJ109)/AJ109</f>
        <v/>
      </c>
      <c r="AL109" s="286">
        <f>AF109/AI109</f>
        <v/>
      </c>
      <c r="AM109" s="286">
        <f>AG109/AJ109</f>
        <v/>
      </c>
      <c r="AN109" s="282">
        <f>(AL109-AM109)/AM109</f>
        <v/>
      </c>
    </row>
    <row customHeight="1" ht="15.75" r="110" s="452" spans="1:41">
      <c r="A110" s="49" t="s">
        <v>44</v>
      </c>
      <c r="B110" s="49" t="s">
        <v>98</v>
      </c>
      <c r="C110" s="50">
        <f>C104+7</f>
        <v/>
      </c>
      <c r="D110" s="50" t="s">
        <v>60</v>
      </c>
      <c r="E110" s="566">
        <f>SUM(E111:E115)</f>
        <v/>
      </c>
      <c r="F110" s="566">
        <f>SUM(F111:F115)</f>
        <v/>
      </c>
      <c r="G110" s="52">
        <f>(E110-F110)/F110</f>
        <v/>
      </c>
      <c r="H110" s="566">
        <f>SUM(H111:H115)</f>
        <v/>
      </c>
      <c r="I110" s="566">
        <f>SUM(I111:I115)</f>
        <v/>
      </c>
      <c r="J110" s="52">
        <f>(H110-I110)/I110</f>
        <v/>
      </c>
      <c r="K110" s="566">
        <f>H110*1.085</f>
        <v/>
      </c>
      <c r="L110" s="566">
        <f>I110*1.085</f>
        <v/>
      </c>
      <c r="M110" s="52">
        <f>(K110-L110)/L110</f>
        <v/>
      </c>
      <c r="N110" s="567">
        <f>E110/H110</f>
        <v/>
      </c>
      <c r="O110" s="567">
        <f>F110/I110</f>
        <v/>
      </c>
      <c r="P110" s="52">
        <f>(N110-O110)/O110</f>
        <v/>
      </c>
      <c r="Q110" s="567">
        <f>E110/K110</f>
        <v/>
      </c>
      <c r="R110" s="567">
        <f>F110/L110</f>
        <v/>
      </c>
      <c r="S110" s="52">
        <f>(Q110-R110)/R110</f>
        <v/>
      </c>
      <c r="T110" s="568">
        <f>SUM(T111:T115)</f>
        <v/>
      </c>
      <c r="U110" s="568">
        <f>SUM(U111:U115)</f>
        <v/>
      </c>
      <c r="V110" s="52">
        <f>(T110-U110)/U110</f>
        <v/>
      </c>
      <c r="W110" s="568">
        <f>SUM(W111:W115)</f>
        <v/>
      </c>
      <c r="X110" s="568">
        <f>SUM(X111:X115)</f>
        <v/>
      </c>
      <c r="Y110" s="52">
        <f>(W110-X110)/X110</f>
        <v/>
      </c>
      <c r="Z110" s="566">
        <f>E110/W110</f>
        <v/>
      </c>
      <c r="AA110" s="568">
        <f>F110/X110</f>
        <v/>
      </c>
      <c r="AB110" s="52">
        <f>(Z110-AA110)/AA110</f>
        <v/>
      </c>
      <c r="AC110" s="568">
        <f>SUM(AC111:AC115)</f>
        <v/>
      </c>
      <c r="AD110" s="568">
        <f>SUM(AD111:AD115)</f>
        <v/>
      </c>
      <c r="AE110" s="52">
        <f>(AC110-AD110)/AD110</f>
        <v/>
      </c>
      <c r="AF110" s="568">
        <f>SUM(AF111:AF115)</f>
        <v/>
      </c>
      <c r="AG110" s="568">
        <f>SUM(AG111:AG115)</f>
        <v/>
      </c>
      <c r="AH110" s="67">
        <f>(AF110-AG110)/AG110</f>
        <v/>
      </c>
      <c r="AI110" s="568">
        <f>SUM(AI111:AI115)</f>
        <v/>
      </c>
      <c r="AJ110" s="568">
        <f>SUM(AJ111:AJ115)</f>
        <v/>
      </c>
      <c r="AK110" s="52">
        <f>(AI110-AJ110)/AJ110</f>
        <v/>
      </c>
      <c r="AL110" s="82">
        <f>AF110/AI110</f>
        <v/>
      </c>
      <c r="AM110" s="82">
        <f>AG110/AJ110</f>
        <v/>
      </c>
      <c r="AN110" s="52">
        <f>(AL110-AM110)/AM110</f>
        <v/>
      </c>
    </row>
    <row customHeight="1" ht="15.75" r="111" s="452" spans="1:41">
      <c r="A111" s="279" t="n"/>
      <c r="B111" s="279" t="n"/>
      <c r="C111" s="280" t="n"/>
      <c r="D111" s="280" t="n"/>
      <c r="E111" s="535" t="n"/>
      <c r="F111" s="535" t="n"/>
      <c r="G111" s="282">
        <f>(E111-F111)/F111</f>
        <v/>
      </c>
      <c r="H111" s="535" t="n"/>
      <c r="I111" s="536" t="n"/>
      <c r="J111" s="282">
        <f>(H111-I111)/I111</f>
        <v/>
      </c>
      <c r="K111" s="535">
        <f>H111*1.085</f>
        <v/>
      </c>
      <c r="L111" s="535">
        <f>I111*1.085</f>
        <v/>
      </c>
      <c r="M111" s="282">
        <f>(K111-L111)/L111</f>
        <v/>
      </c>
      <c r="N111" s="536">
        <f>E111/H111</f>
        <v/>
      </c>
      <c r="O111" s="536">
        <f>F111/I111</f>
        <v/>
      </c>
      <c r="P111" s="282">
        <f>(N111-O111)/O111</f>
        <v/>
      </c>
      <c r="Q111" s="536">
        <f>E111/K111</f>
        <v/>
      </c>
      <c r="R111" s="536">
        <f>F111/L111</f>
        <v/>
      </c>
      <c r="S111" s="282">
        <f>(Q111-R111)/R111</f>
        <v/>
      </c>
      <c r="T111" s="537" t="n"/>
      <c r="U111" s="537" t="n"/>
      <c r="V111" s="282">
        <f>(T111-U111)/U111</f>
        <v/>
      </c>
      <c r="W111" s="537" t="n"/>
      <c r="X111" s="537" t="n"/>
      <c r="Y111" s="282">
        <f>(W111-X111)/X111</f>
        <v/>
      </c>
      <c r="Z111" s="537">
        <f>E111/W111</f>
        <v/>
      </c>
      <c r="AA111" s="537">
        <f>F111/X111</f>
        <v/>
      </c>
      <c r="AB111" s="282">
        <f>(Z111-AA111)/AA111</f>
        <v/>
      </c>
      <c r="AC111" s="537" t="n"/>
      <c r="AD111" s="537" t="n"/>
      <c r="AE111" s="282">
        <f>(AC111-AD111)/AD111</f>
        <v/>
      </c>
      <c r="AF111" s="537" t="n"/>
      <c r="AG111" s="537" t="n"/>
      <c r="AH111">
        <f>(AF111-AG111)/AG111</f>
        <v/>
      </c>
      <c r="AI111" s="537" t="n"/>
      <c r="AJ111" s="537" t="n"/>
      <c r="AK111" s="282">
        <f>(AI111-AJ111)/AJ111</f>
        <v/>
      </c>
      <c r="AL111" s="286">
        <f>AF111/AI111</f>
        <v/>
      </c>
      <c r="AM111" s="286">
        <f>AG111/AJ111</f>
        <v/>
      </c>
      <c r="AN111" s="282">
        <f>(AL111-AM111)/AM111</f>
        <v/>
      </c>
    </row>
    <row customHeight="1" ht="15.75" r="112" s="452" spans="1:41">
      <c r="A112" s="279" t="n"/>
      <c r="B112" s="279" t="n"/>
      <c r="C112" s="280" t="n"/>
      <c r="D112" s="280" t="n"/>
      <c r="E112" s="535" t="n"/>
      <c r="F112" s="535" t="n"/>
      <c r="G112" s="282">
        <f>(E112-F112)/F112</f>
        <v/>
      </c>
      <c r="H112" s="535" t="n"/>
      <c r="I112" s="536" t="n"/>
      <c r="J112" s="282">
        <f>(H112-I112)/I112</f>
        <v/>
      </c>
      <c r="K112" s="535">
        <f>H112*1.085</f>
        <v/>
      </c>
      <c r="L112" s="535">
        <f>I112*1.085</f>
        <v/>
      </c>
      <c r="M112" s="282">
        <f>(K112-L112)/L112</f>
        <v/>
      </c>
      <c r="N112" s="536">
        <f>E112/H112</f>
        <v/>
      </c>
      <c r="O112" s="536">
        <f>F112/I112</f>
        <v/>
      </c>
      <c r="P112" s="282">
        <f>(N112-O112)/O112</f>
        <v/>
      </c>
      <c r="Q112" s="536">
        <f>E112/K112</f>
        <v/>
      </c>
      <c r="R112" s="536">
        <f>F112/L112</f>
        <v/>
      </c>
      <c r="S112" s="282">
        <f>(Q112-R112)/R112</f>
        <v/>
      </c>
      <c r="T112" s="537" t="n"/>
      <c r="U112" s="537" t="n"/>
      <c r="V112" s="282">
        <f>(T112-U112)/U112</f>
        <v/>
      </c>
      <c r="W112" s="537" t="n"/>
      <c r="X112" s="537" t="n"/>
      <c r="Y112" s="282">
        <f>(W112-X112)/X112</f>
        <v/>
      </c>
      <c r="Z112" s="537">
        <f>E112/W112</f>
        <v/>
      </c>
      <c r="AA112" s="537">
        <f>F112/X112</f>
        <v/>
      </c>
      <c r="AB112" s="282">
        <f>(Z112-AA112)/AA112</f>
        <v/>
      </c>
      <c r="AC112" s="537" t="n"/>
      <c r="AD112" s="537" t="n"/>
      <c r="AE112" s="282">
        <f>(AC112-AD112)/AD112</f>
        <v/>
      </c>
      <c r="AF112" s="537" t="n"/>
      <c r="AG112" s="537" t="n"/>
      <c r="AH112">
        <f>(AF112-AG112)/AG112</f>
        <v/>
      </c>
      <c r="AI112" s="537" t="n"/>
      <c r="AJ112" s="537" t="n"/>
      <c r="AK112" s="282">
        <f>(AI112-AJ112)/AJ112</f>
        <v/>
      </c>
      <c r="AL112" s="286">
        <f>AF112/AI112</f>
        <v/>
      </c>
      <c r="AM112" s="286">
        <f>AG112/AJ112</f>
        <v/>
      </c>
      <c r="AN112" s="282">
        <f>(AL112-AM112)/AM112</f>
        <v/>
      </c>
    </row>
    <row customHeight="1" ht="15.75" r="113" s="452" spans="1:41">
      <c r="A113" s="279" t="n"/>
      <c r="B113" s="279" t="n"/>
      <c r="C113" s="280" t="n"/>
      <c r="D113" s="280" t="n"/>
      <c r="E113" s="535" t="n"/>
      <c r="F113" s="535" t="n"/>
      <c r="G113" s="282">
        <f>(E113-F113)/F113</f>
        <v/>
      </c>
      <c r="H113" s="535" t="n"/>
      <c r="I113" s="536" t="n"/>
      <c r="J113" s="282">
        <f>(H113-I113)/I113</f>
        <v/>
      </c>
      <c r="K113" s="535">
        <f>H113*1.085</f>
        <v/>
      </c>
      <c r="L113" s="535">
        <f>I113*1.085</f>
        <v/>
      </c>
      <c r="M113" s="282">
        <f>(K113-L113)/L113</f>
        <v/>
      </c>
      <c r="N113" s="536">
        <f>E113/H113</f>
        <v/>
      </c>
      <c r="O113" s="536">
        <f>F113/I113</f>
        <v/>
      </c>
      <c r="P113" s="282">
        <f>(N113-O113)/O113</f>
        <v/>
      </c>
      <c r="Q113" s="536">
        <f>E113/K113</f>
        <v/>
      </c>
      <c r="R113" s="536">
        <f>F113/L113</f>
        <v/>
      </c>
      <c r="S113" s="282">
        <f>(Q113-R113)/R113</f>
        <v/>
      </c>
      <c r="T113" s="537" t="n"/>
      <c r="U113" s="537" t="n"/>
      <c r="V113" s="282">
        <f>(T113-U113)/U113</f>
        <v/>
      </c>
      <c r="W113" s="537" t="n"/>
      <c r="X113" s="537" t="n"/>
      <c r="Y113" s="282">
        <f>(W113-X113)/X113</f>
        <v/>
      </c>
      <c r="Z113" s="537">
        <f>E113/W113</f>
        <v/>
      </c>
      <c r="AA113" s="537">
        <f>F113/X113</f>
        <v/>
      </c>
      <c r="AB113" s="282">
        <f>(Z113-AA113)/AA113</f>
        <v/>
      </c>
      <c r="AC113" s="537" t="n"/>
      <c r="AD113" s="537" t="n"/>
      <c r="AE113" s="282">
        <f>(AC113-AD113)/AD113</f>
        <v/>
      </c>
      <c r="AF113" s="537" t="n"/>
      <c r="AG113" s="537" t="n"/>
      <c r="AH113">
        <f>(AF113-AG113)/AG113</f>
        <v/>
      </c>
      <c r="AI113" s="537" t="n"/>
      <c r="AJ113" s="537" t="n"/>
      <c r="AK113" s="282">
        <f>(AI113-AJ113)/AJ113</f>
        <v/>
      </c>
      <c r="AL113" s="286">
        <f>AF113/AI113</f>
        <v/>
      </c>
      <c r="AM113" s="286">
        <f>AG113/AJ113</f>
        <v/>
      </c>
      <c r="AN113" s="282">
        <f>(AL113-AM113)/AM113</f>
        <v/>
      </c>
    </row>
    <row customHeight="1" ht="15.75" r="114" s="452" spans="1:41">
      <c r="A114" s="279" t="n"/>
      <c r="B114" s="279" t="n"/>
      <c r="C114" s="280" t="n"/>
      <c r="D114" s="280" t="n"/>
      <c r="E114" s="535" t="n"/>
      <c r="F114" s="535" t="n"/>
      <c r="G114" s="282">
        <f>(E114-F114)/F114</f>
        <v/>
      </c>
      <c r="H114" s="535" t="n"/>
      <c r="I114" s="536" t="n"/>
      <c r="J114" s="282">
        <f>(H114-I114)/I114</f>
        <v/>
      </c>
      <c r="K114" s="535">
        <f>H114*1.085</f>
        <v/>
      </c>
      <c r="L114" s="535">
        <f>I114*1.085</f>
        <v/>
      </c>
      <c r="M114" s="282">
        <f>(K114-L114)/L114</f>
        <v/>
      </c>
      <c r="N114" s="536">
        <f>E114/H114</f>
        <v/>
      </c>
      <c r="O114" s="536">
        <f>F114/I114</f>
        <v/>
      </c>
      <c r="P114" s="282">
        <f>(N114-O114)/O114</f>
        <v/>
      </c>
      <c r="Q114" s="536">
        <f>E114/K114</f>
        <v/>
      </c>
      <c r="R114" s="536">
        <f>F114/L114</f>
        <v/>
      </c>
      <c r="S114" s="282">
        <f>(Q114-R114)/R114</f>
        <v/>
      </c>
      <c r="T114" s="537" t="n"/>
      <c r="U114" s="537" t="n"/>
      <c r="V114" s="282">
        <f>(T114-U114)/U114</f>
        <v/>
      </c>
      <c r="W114" s="537" t="n"/>
      <c r="X114" s="537" t="n"/>
      <c r="Y114" s="282">
        <f>(W114-X114)/X114</f>
        <v/>
      </c>
      <c r="Z114" s="537">
        <f>E114/W114</f>
        <v/>
      </c>
      <c r="AA114" s="537">
        <f>F114/X114</f>
        <v/>
      </c>
      <c r="AB114" s="282">
        <f>(Z114-AA114)/AA114</f>
        <v/>
      </c>
      <c r="AC114" s="537" t="n"/>
      <c r="AD114" s="537" t="n"/>
      <c r="AE114" s="282">
        <f>(AC114-AD114)/AD114</f>
        <v/>
      </c>
      <c r="AF114" s="537" t="n"/>
      <c r="AG114" s="537" t="n"/>
      <c r="AH114">
        <f>(AF114-AG114)/AG114</f>
        <v/>
      </c>
      <c r="AI114" s="537" t="n"/>
      <c r="AJ114" s="537" t="n"/>
      <c r="AK114" s="282">
        <f>(AI114-AJ114)/AJ114</f>
        <v/>
      </c>
      <c r="AL114" s="286">
        <f>AF114/AI114</f>
        <v/>
      </c>
      <c r="AM114" s="286">
        <f>AG114/AJ114</f>
        <v/>
      </c>
      <c r="AN114" s="282">
        <f>(AL114-AM114)/AM114</f>
        <v/>
      </c>
    </row>
    <row customHeight="1" ht="15.75" r="115" s="452" spans="1:41">
      <c r="A115" s="279" t="n"/>
      <c r="B115" s="279" t="n"/>
      <c r="C115" s="280" t="n"/>
      <c r="D115" s="297" t="s">
        <v>177</v>
      </c>
      <c r="E115" s="535" t="n">
        <v>39</v>
      </c>
      <c r="F115" s="535" t="n"/>
      <c r="G115" s="282">
        <f>(E115-F115)/F115</f>
        <v/>
      </c>
      <c r="H115" s="535" t="n">
        <v>0</v>
      </c>
      <c r="I115" s="536" t="n"/>
      <c r="J115" s="282">
        <f>(H115-I115)/I115</f>
        <v/>
      </c>
      <c r="K115" s="535">
        <f>H115*1.085</f>
        <v/>
      </c>
      <c r="L115" s="535">
        <f>I115*1.085</f>
        <v/>
      </c>
      <c r="M115" s="282">
        <f>(K115-L115)/L115</f>
        <v/>
      </c>
      <c r="N115" s="536">
        <f>E115/H115</f>
        <v/>
      </c>
      <c r="O115" s="536">
        <f>F115/I115</f>
        <v/>
      </c>
      <c r="P115" s="282">
        <f>(N115-O115)/O115</f>
        <v/>
      </c>
      <c r="Q115" s="536">
        <f>E115/K115</f>
        <v/>
      </c>
      <c r="R115" s="536">
        <f>F115/L115</f>
        <v/>
      </c>
      <c r="S115" s="282">
        <f>(Q115-R115)/R115</f>
        <v/>
      </c>
      <c r="T115" s="537" t="n">
        <v>60</v>
      </c>
      <c r="U115" s="537" t="n">
        <v>6</v>
      </c>
      <c r="V115" s="282">
        <f>(T115-U115)/U115</f>
        <v/>
      </c>
      <c r="W115" s="537" t="n">
        <v>1</v>
      </c>
      <c r="X115" s="537" t="n"/>
      <c r="Y115" s="282">
        <f>(W115-X115)/X115</f>
        <v/>
      </c>
      <c r="Z115" s="537">
        <f>E115/W115</f>
        <v/>
      </c>
      <c r="AA115" s="537">
        <f>F115/X115</f>
        <v/>
      </c>
      <c r="AB115" s="282">
        <f>(Z115-AA115)/AA115</f>
        <v/>
      </c>
      <c r="AC115" s="537" t="n">
        <v>0</v>
      </c>
      <c r="AD115" s="537" t="n"/>
      <c r="AE115" s="282">
        <f>(AC115-AD115)/AD115</f>
        <v/>
      </c>
      <c r="AF115" s="537" t="n">
        <v>0</v>
      </c>
      <c r="AG115" s="537" t="n"/>
      <c r="AH115">
        <f>(AF115-AG115)/AG115</f>
        <v/>
      </c>
      <c r="AI115" s="537" t="n">
        <v>0</v>
      </c>
      <c r="AJ115" s="537" t="n"/>
      <c r="AK115" s="282">
        <f>(AI115-AJ115)/AJ115</f>
        <v/>
      </c>
      <c r="AL115" s="286">
        <f>AF115/AI115</f>
        <v/>
      </c>
      <c r="AM115" s="286">
        <f>AG115/AJ115</f>
        <v/>
      </c>
      <c r="AN115" s="282">
        <f>(AL115-AM115)/AM115</f>
        <v/>
      </c>
    </row>
    <row customHeight="1" ht="15.75" r="116" s="452" spans="1:41">
      <c r="A116" s="49" t="s">
        <v>44</v>
      </c>
      <c r="B116" s="49" t="s">
        <v>99</v>
      </c>
      <c r="C116" s="50">
        <f>C110+7</f>
        <v/>
      </c>
      <c r="D116" s="50" t="s">
        <v>60</v>
      </c>
      <c r="E116" s="566">
        <f>SUM(E117:E121)</f>
        <v/>
      </c>
      <c r="F116" s="566">
        <f>SUM(F117:F121)</f>
        <v/>
      </c>
      <c r="G116" s="52">
        <f>(E116-F116)/F116</f>
        <v/>
      </c>
      <c r="H116" s="566">
        <f>SUM(H117:H121)</f>
        <v/>
      </c>
      <c r="I116" s="566">
        <f>SUM(I117:I121)</f>
        <v/>
      </c>
      <c r="J116" s="52">
        <f>(H116-I116)/I116</f>
        <v/>
      </c>
      <c r="K116" s="566">
        <f>H116*1.085</f>
        <v/>
      </c>
      <c r="L116" s="566">
        <f>I116*1.085</f>
        <v/>
      </c>
      <c r="M116" s="52">
        <f>(K116-L116)/L116</f>
        <v/>
      </c>
      <c r="N116" s="567">
        <f>E116/H116</f>
        <v/>
      </c>
      <c r="O116" s="567">
        <f>F116/I116</f>
        <v/>
      </c>
      <c r="P116" s="52">
        <f>(N116-O116)/O116</f>
        <v/>
      </c>
      <c r="Q116" s="567">
        <f>E116/K116</f>
        <v/>
      </c>
      <c r="R116" s="567">
        <f>F116/L116</f>
        <v/>
      </c>
      <c r="S116" s="52">
        <f>(Q116-R116)/R116</f>
        <v/>
      </c>
      <c r="T116" s="568">
        <f>SUM(T117:T121)</f>
        <v/>
      </c>
      <c r="U116" s="568">
        <f>SUM(U117:U121)</f>
        <v/>
      </c>
      <c r="V116" s="52">
        <f>(T116-U116)/U116</f>
        <v/>
      </c>
      <c r="W116" s="568">
        <f>SUM(W117:W121)</f>
        <v/>
      </c>
      <c r="X116" s="568">
        <f>SUM(X117:X121)</f>
        <v/>
      </c>
      <c r="Y116" s="52">
        <f>(W116-X116)/X116</f>
        <v/>
      </c>
      <c r="Z116" s="566">
        <f>E116/W116</f>
        <v/>
      </c>
      <c r="AA116" s="568">
        <f>F116/X116</f>
        <v/>
      </c>
      <c r="AB116" s="52">
        <f>(Z116-AA116)/AA116</f>
        <v/>
      </c>
      <c r="AC116" s="568">
        <f>SUM(AC117:AC121)</f>
        <v/>
      </c>
      <c r="AD116" s="568">
        <f>SUM(AD117:AD121)</f>
        <v/>
      </c>
      <c r="AE116" s="52">
        <f>(AC116-AD116)/AD116</f>
        <v/>
      </c>
      <c r="AF116" s="568">
        <f>SUM(AF117:AF121)</f>
        <v/>
      </c>
      <c r="AG116" s="568">
        <f>SUM(AG117:AG121)</f>
        <v/>
      </c>
      <c r="AH116" s="67">
        <f>(AF116-AG116)/AG116</f>
        <v/>
      </c>
      <c r="AI116" s="568">
        <f>SUM(AI117:AI121)</f>
        <v/>
      </c>
      <c r="AJ116" s="568">
        <f>SUM(AJ117:AJ121)</f>
        <v/>
      </c>
      <c r="AK116" s="52">
        <f>(AI116-AJ116)/AJ116</f>
        <v/>
      </c>
      <c r="AL116" s="82">
        <f>AF116/AI116</f>
        <v/>
      </c>
      <c r="AM116" s="82">
        <f>AG116/AJ116</f>
        <v/>
      </c>
      <c r="AN116" s="52">
        <f>(AL116-AM116)/AM116</f>
        <v/>
      </c>
    </row>
    <row customHeight="1" ht="15.75" r="117" s="452" spans="1:41">
      <c r="A117" s="279" t="n"/>
      <c r="B117" s="279" t="n"/>
      <c r="C117" s="280" t="n"/>
      <c r="D117" s="280" t="n"/>
      <c r="E117" s="535" t="n"/>
      <c r="F117" s="535" t="n"/>
      <c r="G117" s="282">
        <f>(E117-F117)/F117</f>
        <v/>
      </c>
      <c r="H117" s="535" t="n"/>
      <c r="I117" s="536" t="n"/>
      <c r="J117" s="282">
        <f>(H117-I117)/I117</f>
        <v/>
      </c>
      <c r="K117" s="535">
        <f>H117*1.085</f>
        <v/>
      </c>
      <c r="L117" s="535">
        <f>I117*1.085</f>
        <v/>
      </c>
      <c r="M117" s="282">
        <f>(K117-L117)/L117</f>
        <v/>
      </c>
      <c r="N117" s="536">
        <f>E117/H117</f>
        <v/>
      </c>
      <c r="O117" s="536">
        <f>F117/I117</f>
        <v/>
      </c>
      <c r="P117" s="282">
        <f>(N117-O117)/O117</f>
        <v/>
      </c>
      <c r="Q117" s="536">
        <f>E117/K117</f>
        <v/>
      </c>
      <c r="R117" s="536">
        <f>F117/L117</f>
        <v/>
      </c>
      <c r="S117" s="282">
        <f>(Q117-R117)/R117</f>
        <v/>
      </c>
      <c r="T117" s="537" t="n"/>
      <c r="U117" s="537" t="n"/>
      <c r="V117" s="282">
        <f>(T117-U117)/U117</f>
        <v/>
      </c>
      <c r="W117" s="537" t="n"/>
      <c r="X117" s="537" t="n"/>
      <c r="Y117" s="282">
        <f>(W117-X117)/X117</f>
        <v/>
      </c>
      <c r="Z117" s="537">
        <f>E117/W117</f>
        <v/>
      </c>
      <c r="AA117" s="537">
        <f>F117/X117</f>
        <v/>
      </c>
      <c r="AB117" s="282">
        <f>(Z117-AA117)/AA117</f>
        <v/>
      </c>
      <c r="AC117" s="537" t="n"/>
      <c r="AD117" s="537" t="n"/>
      <c r="AE117" s="282">
        <f>(AC117-AD117)/AD117</f>
        <v/>
      </c>
      <c r="AF117" s="537" t="n"/>
      <c r="AG117" s="537" t="n"/>
      <c r="AH117">
        <f>(AF117-AG117)/AG117</f>
        <v/>
      </c>
      <c r="AI117" s="537" t="n"/>
      <c r="AJ117" s="537" t="n"/>
      <c r="AK117" s="282">
        <f>(AI117-AJ117)/AJ117</f>
        <v/>
      </c>
      <c r="AL117" s="286">
        <f>AF117/AI117</f>
        <v/>
      </c>
      <c r="AM117" s="286">
        <f>AG117/AJ117</f>
        <v/>
      </c>
      <c r="AN117" s="282">
        <f>(AL117-AM117)/AM117</f>
        <v/>
      </c>
    </row>
    <row customHeight="1" ht="15.75" r="118" s="452" spans="1:41">
      <c r="A118" s="279" t="n"/>
      <c r="B118" s="279" t="n"/>
      <c r="C118" s="280" t="n"/>
      <c r="D118" s="280" t="n"/>
      <c r="E118" s="535" t="n"/>
      <c r="F118" s="535" t="n"/>
      <c r="G118" s="282">
        <f>(E118-F118)/F118</f>
        <v/>
      </c>
      <c r="H118" s="535" t="n"/>
      <c r="I118" s="536" t="n"/>
      <c r="J118" s="282">
        <f>(H118-I118)/I118</f>
        <v/>
      </c>
      <c r="K118" s="535">
        <f>H118*1.085</f>
        <v/>
      </c>
      <c r="L118" s="535">
        <f>I118*1.085</f>
        <v/>
      </c>
      <c r="M118" s="282">
        <f>(K118-L118)/L118</f>
        <v/>
      </c>
      <c r="N118" s="536">
        <f>E118/H118</f>
        <v/>
      </c>
      <c r="O118" s="536">
        <f>F118/I118</f>
        <v/>
      </c>
      <c r="P118" s="282">
        <f>(N118-O118)/O118</f>
        <v/>
      </c>
      <c r="Q118" s="536">
        <f>E118/K118</f>
        <v/>
      </c>
      <c r="R118" s="536">
        <f>F118/L118</f>
        <v/>
      </c>
      <c r="S118" s="282">
        <f>(Q118-R118)/R118</f>
        <v/>
      </c>
      <c r="T118" s="537" t="n"/>
      <c r="U118" s="537" t="n"/>
      <c r="V118" s="282">
        <f>(T118-U118)/U118</f>
        <v/>
      </c>
      <c r="W118" s="537" t="n"/>
      <c r="X118" s="537" t="n"/>
      <c r="Y118" s="282">
        <f>(W118-X118)/X118</f>
        <v/>
      </c>
      <c r="Z118" s="537">
        <f>E118/W118</f>
        <v/>
      </c>
      <c r="AA118" s="537">
        <f>F118/X118</f>
        <v/>
      </c>
      <c r="AB118" s="282">
        <f>(Z118-AA118)/AA118</f>
        <v/>
      </c>
      <c r="AC118" s="537" t="n"/>
      <c r="AD118" s="537" t="n"/>
      <c r="AE118" s="282">
        <f>(AC118-AD118)/AD118</f>
        <v/>
      </c>
      <c r="AF118" s="537" t="n"/>
      <c r="AG118" s="537" t="n"/>
      <c r="AH118">
        <f>(AF118-AG118)/AG118</f>
        <v/>
      </c>
      <c r="AI118" s="537" t="n"/>
      <c r="AJ118" s="537" t="n"/>
      <c r="AK118" s="282">
        <f>(AI118-AJ118)/AJ118</f>
        <v/>
      </c>
      <c r="AL118" s="286">
        <f>AF118/AI118</f>
        <v/>
      </c>
      <c r="AM118" s="286">
        <f>AG118/AJ118</f>
        <v/>
      </c>
      <c r="AN118" s="282">
        <f>(AL118-AM118)/AM118</f>
        <v/>
      </c>
    </row>
    <row customHeight="1" ht="15.75" r="119" s="452" spans="1:41">
      <c r="A119" s="279" t="n"/>
      <c r="B119" s="279" t="n"/>
      <c r="C119" s="280" t="n"/>
      <c r="D119" s="280" t="n"/>
      <c r="E119" s="535" t="n"/>
      <c r="F119" s="535" t="n"/>
      <c r="G119" s="282">
        <f>(E119-F119)/F119</f>
        <v/>
      </c>
      <c r="H119" s="535" t="n"/>
      <c r="I119" s="536" t="n"/>
      <c r="J119" s="282">
        <f>(H119-I119)/I119</f>
        <v/>
      </c>
      <c r="K119" s="535">
        <f>H119*1.085</f>
        <v/>
      </c>
      <c r="L119" s="535">
        <f>I119*1.085</f>
        <v/>
      </c>
      <c r="M119" s="282">
        <f>(K119-L119)/L119</f>
        <v/>
      </c>
      <c r="N119" s="536">
        <f>E119/H119</f>
        <v/>
      </c>
      <c r="O119" s="536">
        <f>F119/I119</f>
        <v/>
      </c>
      <c r="P119" s="282">
        <f>(N119-O119)/O119</f>
        <v/>
      </c>
      <c r="Q119" s="536">
        <f>E119/K119</f>
        <v/>
      </c>
      <c r="R119" s="536">
        <f>F119/L119</f>
        <v/>
      </c>
      <c r="S119" s="282">
        <f>(Q119-R119)/R119</f>
        <v/>
      </c>
      <c r="T119" s="537" t="n"/>
      <c r="U119" s="537" t="n"/>
      <c r="V119" s="282">
        <f>(T119-U119)/U119</f>
        <v/>
      </c>
      <c r="W119" s="537" t="n"/>
      <c r="X119" s="537" t="n"/>
      <c r="Y119" s="282">
        <f>(W119-X119)/X119</f>
        <v/>
      </c>
      <c r="Z119" s="537">
        <f>E119/W119</f>
        <v/>
      </c>
      <c r="AA119" s="537">
        <f>F119/X119</f>
        <v/>
      </c>
      <c r="AB119" s="282">
        <f>(Z119-AA119)/AA119</f>
        <v/>
      </c>
      <c r="AC119" s="537" t="n"/>
      <c r="AD119" s="537" t="n"/>
      <c r="AE119" s="282">
        <f>(AC119-AD119)/AD119</f>
        <v/>
      </c>
      <c r="AF119" s="537" t="n"/>
      <c r="AG119" s="537" t="n"/>
      <c r="AH119">
        <f>(AF119-AG119)/AG119</f>
        <v/>
      </c>
      <c r="AI119" s="537" t="n"/>
      <c r="AJ119" s="537" t="n"/>
      <c r="AK119" s="282">
        <f>(AI119-AJ119)/AJ119</f>
        <v/>
      </c>
      <c r="AL119" s="286">
        <f>AF119/AI119</f>
        <v/>
      </c>
      <c r="AM119" s="286">
        <f>AG119/AJ119</f>
        <v/>
      </c>
      <c r="AN119" s="282">
        <f>(AL119-AM119)/AM119</f>
        <v/>
      </c>
    </row>
    <row customHeight="1" ht="15.75" r="120" s="452" spans="1:41">
      <c r="A120" s="279" t="n"/>
      <c r="B120" s="279" t="n"/>
      <c r="C120" s="280" t="n"/>
      <c r="D120" s="280" t="n"/>
      <c r="E120" s="535" t="n"/>
      <c r="F120" s="535" t="n"/>
      <c r="G120" s="282">
        <f>(E120-F120)/F120</f>
        <v/>
      </c>
      <c r="H120" s="535" t="n"/>
      <c r="I120" s="536" t="n"/>
      <c r="J120" s="282">
        <f>(H120-I120)/I120</f>
        <v/>
      </c>
      <c r="K120" s="535">
        <f>H120*1.085</f>
        <v/>
      </c>
      <c r="L120" s="535">
        <f>I120*1.085</f>
        <v/>
      </c>
      <c r="M120" s="282">
        <f>(K120-L120)/L120</f>
        <v/>
      </c>
      <c r="N120" s="536">
        <f>E120/H120</f>
        <v/>
      </c>
      <c r="O120" s="536">
        <f>F120/I120</f>
        <v/>
      </c>
      <c r="P120" s="282">
        <f>(N120-O120)/O120</f>
        <v/>
      </c>
      <c r="Q120" s="536">
        <f>E120/K120</f>
        <v/>
      </c>
      <c r="R120" s="536">
        <f>F120/L120</f>
        <v/>
      </c>
      <c r="S120" s="282">
        <f>(Q120-R120)/R120</f>
        <v/>
      </c>
      <c r="T120" s="537" t="n"/>
      <c r="U120" s="537" t="n"/>
      <c r="V120" s="282">
        <f>(T120-U120)/U120</f>
        <v/>
      </c>
      <c r="W120" s="537" t="n"/>
      <c r="X120" s="537" t="n"/>
      <c r="Y120" s="282">
        <f>(W120-X120)/X120</f>
        <v/>
      </c>
      <c r="Z120" s="537">
        <f>E120/W120</f>
        <v/>
      </c>
      <c r="AA120" s="537">
        <f>F120/X120</f>
        <v/>
      </c>
      <c r="AB120" s="282">
        <f>(Z120-AA120)/AA120</f>
        <v/>
      </c>
      <c r="AC120" s="537" t="n"/>
      <c r="AD120" s="537" t="n"/>
      <c r="AE120" s="282">
        <f>(AC120-AD120)/AD120</f>
        <v/>
      </c>
      <c r="AF120" s="537" t="n"/>
      <c r="AG120" s="537" t="n"/>
      <c r="AH120">
        <f>(AF120-AG120)/AG120</f>
        <v/>
      </c>
      <c r="AI120" s="537" t="n"/>
      <c r="AJ120" s="537" t="n"/>
      <c r="AK120" s="282">
        <f>(AI120-AJ120)/AJ120</f>
        <v/>
      </c>
      <c r="AL120" s="286">
        <f>AF120/AI120</f>
        <v/>
      </c>
      <c r="AM120" s="286">
        <f>AG120/AJ120</f>
        <v/>
      </c>
      <c r="AN120" s="282">
        <f>(AL120-AM120)/AM120</f>
        <v/>
      </c>
    </row>
    <row customFormat="1" customHeight="1" ht="15.75" r="121" s="357" spans="1:41">
      <c r="A121" s="347" t="n"/>
      <c r="B121" s="347" t="n"/>
      <c r="C121" s="348" t="n"/>
      <c r="D121" s="349" t="s">
        <v>177</v>
      </c>
      <c r="E121" s="612" t="n">
        <v>0</v>
      </c>
      <c r="F121" s="612" t="n">
        <v>598</v>
      </c>
      <c r="G121" s="351">
        <f>(E121-F121)/F121</f>
        <v/>
      </c>
      <c r="H121" s="612" t="n">
        <v>0</v>
      </c>
      <c r="I121" s="613" t="n">
        <v>5000</v>
      </c>
      <c r="J121" s="351">
        <f>(H121-I121)/I121</f>
        <v/>
      </c>
      <c r="K121" s="612">
        <f>H121*1.085</f>
        <v/>
      </c>
      <c r="L121" s="612">
        <f>I121*1.085</f>
        <v/>
      </c>
      <c r="M121" s="351">
        <f>(K121-L121)/L121</f>
        <v/>
      </c>
      <c r="N121" s="613">
        <f>E121/H121</f>
        <v/>
      </c>
      <c r="O121" s="613">
        <f>F121/I121</f>
        <v/>
      </c>
      <c r="P121" s="351">
        <f>(N121-O121)/O121</f>
        <v/>
      </c>
      <c r="Q121" s="613">
        <f>E121/K121</f>
        <v/>
      </c>
      <c r="R121" s="613">
        <f>F121/L121</f>
        <v/>
      </c>
      <c r="S121" s="351">
        <f>(Q121-R121)/R121</f>
        <v/>
      </c>
      <c r="T121" s="614" t="n">
        <v>34</v>
      </c>
      <c r="U121" s="614" t="n">
        <v>651</v>
      </c>
      <c r="V121" s="351">
        <f>(T121-U121)/U121</f>
        <v/>
      </c>
      <c r="W121" s="614" t="n">
        <v>0</v>
      </c>
      <c r="X121" s="614" t="n">
        <v>5</v>
      </c>
      <c r="Y121" s="351">
        <f>(W121-X121)/X121</f>
        <v/>
      </c>
      <c r="Z121" s="614">
        <f>E121/W121</f>
        <v/>
      </c>
      <c r="AA121" s="614">
        <f>F121/X121</f>
        <v/>
      </c>
      <c r="AB121" s="351">
        <f>(Z121-AA121)/AA121</f>
        <v/>
      </c>
      <c r="AC121" s="614" t="n">
        <v>0</v>
      </c>
      <c r="AD121" s="614" t="n">
        <v>407871</v>
      </c>
      <c r="AE121" s="351">
        <f>(AC121-AD121)/AD121</f>
        <v/>
      </c>
      <c r="AF121" s="614" t="n">
        <v>0</v>
      </c>
      <c r="AG121" s="614" t="n">
        <v>2982</v>
      </c>
      <c r="AH121" s="357">
        <f>(AF121-AG121)/AG121</f>
        <v/>
      </c>
      <c r="AI121" s="614" t="n">
        <v>0</v>
      </c>
      <c r="AJ121" s="614" t="n">
        <v>670740</v>
      </c>
      <c r="AK121" s="351">
        <f>(AI121-AJ121)/AJ121</f>
        <v/>
      </c>
      <c r="AL121" s="356">
        <f>AF121/AI121</f>
        <v/>
      </c>
      <c r="AM121" s="356">
        <f>AG121/AJ121</f>
        <v/>
      </c>
      <c r="AN121" s="351">
        <f>(AL121-AM121)/AM121</f>
        <v/>
      </c>
      <c r="AO121" s="357" t="n"/>
    </row>
    <row customHeight="1" ht="15.75" r="122" s="452" spans="1:41">
      <c r="A122" s="49" t="s">
        <v>45</v>
      </c>
      <c r="B122" s="49" t="s">
        <v>101</v>
      </c>
      <c r="C122" s="50">
        <f>C116+7</f>
        <v/>
      </c>
      <c r="D122" s="50" t="s">
        <v>60</v>
      </c>
      <c r="E122" s="566">
        <f>SUM(E123:E127)</f>
        <v/>
      </c>
      <c r="F122" s="566">
        <f>SUM(F123:F127)</f>
        <v/>
      </c>
      <c r="G122" s="52">
        <f>(E122-F122)/F122</f>
        <v/>
      </c>
      <c r="H122" s="566">
        <f>SUM(H123:H127)</f>
        <v/>
      </c>
      <c r="I122" s="566">
        <f>SUM(I123:I127)</f>
        <v/>
      </c>
      <c r="J122" s="52">
        <f>(H122-I122)/I122</f>
        <v/>
      </c>
      <c r="K122" s="566">
        <f>H122*1.085</f>
        <v/>
      </c>
      <c r="L122" s="566">
        <f>I122*1.085</f>
        <v/>
      </c>
      <c r="M122" s="52">
        <f>(K122-L122)/L122</f>
        <v/>
      </c>
      <c r="N122" s="567">
        <f>E122/H122</f>
        <v/>
      </c>
      <c r="O122" s="567">
        <f>F122/I122</f>
        <v/>
      </c>
      <c r="P122" s="52">
        <f>(N122-O122)/O122</f>
        <v/>
      </c>
      <c r="Q122" s="567">
        <f>E122/K122</f>
        <v/>
      </c>
      <c r="R122" s="567">
        <f>F122/L122</f>
        <v/>
      </c>
      <c r="S122" s="52">
        <f>(Q122-R122)/R122</f>
        <v/>
      </c>
      <c r="T122" s="568">
        <f>SUM(T123:T127)</f>
        <v/>
      </c>
      <c r="U122" s="568">
        <f>SUM(U123:U127)</f>
        <v/>
      </c>
      <c r="V122" s="52">
        <f>(T122-U122)/U122</f>
        <v/>
      </c>
      <c r="W122" s="568">
        <f>SUM(W123:W127)</f>
        <v/>
      </c>
      <c r="X122" s="568">
        <f>SUM(X123:X127)</f>
        <v/>
      </c>
      <c r="Y122" s="52">
        <f>(W122-X122)/X122</f>
        <v/>
      </c>
      <c r="Z122" s="566">
        <f>E122/W122</f>
        <v/>
      </c>
      <c r="AA122" s="568">
        <f>F122/X122</f>
        <v/>
      </c>
      <c r="AB122" s="52">
        <f>(Z122-AA122)/AA122</f>
        <v/>
      </c>
      <c r="AC122" s="568">
        <f>SUM(AC123:AC127)</f>
        <v/>
      </c>
      <c r="AD122" s="568">
        <f>SUM(AD123:AD127)</f>
        <v/>
      </c>
      <c r="AE122" s="52">
        <f>(AC122-AD122)/AD122</f>
        <v/>
      </c>
      <c r="AF122" s="568">
        <f>SUM(AF123:AF127)</f>
        <v/>
      </c>
      <c r="AG122" s="568">
        <f>SUM(AG123:AG127)</f>
        <v/>
      </c>
      <c r="AH122" s="67">
        <f>(AF122-AG122)/AG122</f>
        <v/>
      </c>
      <c r="AI122" s="568">
        <f>SUM(AI123:AI127)</f>
        <v/>
      </c>
      <c r="AJ122" s="568">
        <f>SUM(AJ123:AJ127)</f>
        <v/>
      </c>
      <c r="AK122" s="52">
        <f>(AI122-AJ122)/AJ122</f>
        <v/>
      </c>
      <c r="AL122" s="82">
        <f>AF122/AI122</f>
        <v/>
      </c>
      <c r="AM122" s="82">
        <f>AG122/AJ122</f>
        <v/>
      </c>
      <c r="AN122" s="52">
        <f>(AL122-AM122)/AM122</f>
        <v/>
      </c>
    </row>
    <row customHeight="1" ht="15.75" r="123" s="452" spans="1:41">
      <c r="A123" s="279" t="n"/>
      <c r="B123" s="279" t="n"/>
      <c r="C123" s="280" t="n"/>
      <c r="D123" s="280" t="n"/>
      <c r="E123" s="535" t="n"/>
      <c r="F123" s="535" t="n"/>
      <c r="G123" s="282">
        <f>(E123-F123)/F123</f>
        <v/>
      </c>
      <c r="H123" s="535" t="n"/>
      <c r="I123" s="536" t="n"/>
      <c r="J123" s="282">
        <f>(H123-I123)/I123</f>
        <v/>
      </c>
      <c r="K123" s="535">
        <f>H123*1.085</f>
        <v/>
      </c>
      <c r="L123" s="535">
        <f>I123*1.085</f>
        <v/>
      </c>
      <c r="M123" s="282">
        <f>(K123-L123)/L123</f>
        <v/>
      </c>
      <c r="N123" s="536">
        <f>E123/H123</f>
        <v/>
      </c>
      <c r="O123" s="536">
        <f>F123/I123</f>
        <v/>
      </c>
      <c r="P123" s="282">
        <f>(N123-O123)/O123</f>
        <v/>
      </c>
      <c r="Q123" s="536">
        <f>E123/K123</f>
        <v/>
      </c>
      <c r="R123" s="536">
        <f>F123/L123</f>
        <v/>
      </c>
      <c r="S123" s="282">
        <f>(Q123-R123)/R123</f>
        <v/>
      </c>
      <c r="T123" s="537" t="n"/>
      <c r="U123" s="537" t="n"/>
      <c r="V123" s="282">
        <f>(T123-U123)/U123</f>
        <v/>
      </c>
      <c r="W123" s="537" t="n"/>
      <c r="X123" s="537" t="n"/>
      <c r="Y123" s="282">
        <f>(W123-X123)/X123</f>
        <v/>
      </c>
      <c r="Z123" s="537">
        <f>E123/W123</f>
        <v/>
      </c>
      <c r="AA123" s="537">
        <f>F123/X123</f>
        <v/>
      </c>
      <c r="AB123" s="282">
        <f>(Z123-AA123)/AA123</f>
        <v/>
      </c>
      <c r="AC123" s="537" t="n"/>
      <c r="AD123" s="537" t="n"/>
      <c r="AE123" s="282">
        <f>(AC123-AD123)/AD123</f>
        <v/>
      </c>
      <c r="AF123" s="537" t="n"/>
      <c r="AG123" s="537" t="n"/>
      <c r="AH123">
        <f>(AF123-AG123)/AG123</f>
        <v/>
      </c>
      <c r="AI123" s="537" t="n"/>
      <c r="AJ123" s="537" t="n"/>
      <c r="AK123" s="282">
        <f>(AI123-AJ123)/AJ123</f>
        <v/>
      </c>
      <c r="AL123" s="286">
        <f>AF123/AI123</f>
        <v/>
      </c>
      <c r="AM123" s="286">
        <f>AG123/AJ123</f>
        <v/>
      </c>
      <c r="AN123" s="282">
        <f>(AL123-AM123)/AM123</f>
        <v/>
      </c>
    </row>
    <row customHeight="1" ht="15.75" r="124" s="452" spans="1:41">
      <c r="A124" s="279" t="n"/>
      <c r="B124" s="279" t="n"/>
      <c r="C124" s="280" t="n"/>
      <c r="D124" s="280" t="n"/>
      <c r="E124" s="535" t="n"/>
      <c r="F124" s="535" t="n"/>
      <c r="G124" s="282">
        <f>(E124-F124)/F124</f>
        <v/>
      </c>
      <c r="H124" s="535" t="n"/>
      <c r="I124" s="536" t="n"/>
      <c r="J124" s="282">
        <f>(H124-I124)/I124</f>
        <v/>
      </c>
      <c r="K124" s="535">
        <f>H124*1.085</f>
        <v/>
      </c>
      <c r="L124" s="535">
        <f>I124*1.085</f>
        <v/>
      </c>
      <c r="M124" s="282">
        <f>(K124-L124)/L124</f>
        <v/>
      </c>
      <c r="N124" s="536">
        <f>E124/H124</f>
        <v/>
      </c>
      <c r="O124" s="536">
        <f>F124/I124</f>
        <v/>
      </c>
      <c r="P124" s="282">
        <f>(N124-O124)/O124</f>
        <v/>
      </c>
      <c r="Q124" s="536">
        <f>E124/K124</f>
        <v/>
      </c>
      <c r="R124" s="536">
        <f>F124/L124</f>
        <v/>
      </c>
      <c r="S124" s="282">
        <f>(Q124-R124)/R124</f>
        <v/>
      </c>
      <c r="T124" s="537" t="n"/>
      <c r="U124" s="537" t="n"/>
      <c r="V124" s="282">
        <f>(T124-U124)/U124</f>
        <v/>
      </c>
      <c r="W124" s="537" t="n"/>
      <c r="X124" s="537" t="n"/>
      <c r="Y124" s="282">
        <f>(W124-X124)/X124</f>
        <v/>
      </c>
      <c r="Z124" s="537">
        <f>E124/W124</f>
        <v/>
      </c>
      <c r="AA124" s="537">
        <f>F124/X124</f>
        <v/>
      </c>
      <c r="AB124" s="282">
        <f>(Z124-AA124)/AA124</f>
        <v/>
      </c>
      <c r="AC124" s="537" t="n"/>
      <c r="AD124" s="537" t="n"/>
      <c r="AE124" s="282">
        <f>(AC124-AD124)/AD124</f>
        <v/>
      </c>
      <c r="AF124" s="537" t="n"/>
      <c r="AG124" s="537" t="n"/>
      <c r="AH124">
        <f>(AF124-AG124)/AG124</f>
        <v/>
      </c>
      <c r="AI124" s="537" t="n"/>
      <c r="AJ124" s="537" t="n"/>
      <c r="AK124" s="282">
        <f>(AI124-AJ124)/AJ124</f>
        <v/>
      </c>
      <c r="AL124" s="286">
        <f>AF124/AI124</f>
        <v/>
      </c>
      <c r="AM124" s="286">
        <f>AG124/AJ124</f>
        <v/>
      </c>
      <c r="AN124" s="282">
        <f>(AL124-AM124)/AM124</f>
        <v/>
      </c>
    </row>
    <row customHeight="1" ht="15.75" r="125" s="452" spans="1:41">
      <c r="A125" s="279" t="n"/>
      <c r="B125" s="279" t="n"/>
      <c r="C125" s="280" t="n"/>
      <c r="D125" s="280" t="n"/>
      <c r="E125" s="535" t="n"/>
      <c r="F125" s="535" t="n"/>
      <c r="G125" s="282">
        <f>(E125-F125)/F125</f>
        <v/>
      </c>
      <c r="H125" s="535" t="n"/>
      <c r="I125" s="536" t="n"/>
      <c r="J125" s="282">
        <f>(H125-I125)/I125</f>
        <v/>
      </c>
      <c r="K125" s="535">
        <f>H125*1.085</f>
        <v/>
      </c>
      <c r="L125" s="535">
        <f>I125*1.085</f>
        <v/>
      </c>
      <c r="M125" s="282">
        <f>(K125-L125)/L125</f>
        <v/>
      </c>
      <c r="N125" s="536">
        <f>E125/H125</f>
        <v/>
      </c>
      <c r="O125" s="536">
        <f>F125/I125</f>
        <v/>
      </c>
      <c r="P125" s="282">
        <f>(N125-O125)/O125</f>
        <v/>
      </c>
      <c r="Q125" s="536">
        <f>E125/K125</f>
        <v/>
      </c>
      <c r="R125" s="536">
        <f>F125/L125</f>
        <v/>
      </c>
      <c r="S125" s="282">
        <f>(Q125-R125)/R125</f>
        <v/>
      </c>
      <c r="T125" s="537" t="n"/>
      <c r="U125" s="537" t="n"/>
      <c r="V125" s="282">
        <f>(T125-U125)/U125</f>
        <v/>
      </c>
      <c r="W125" s="537" t="n"/>
      <c r="X125" s="537" t="n"/>
      <c r="Y125" s="282">
        <f>(W125-X125)/X125</f>
        <v/>
      </c>
      <c r="Z125" s="537">
        <f>E125/W125</f>
        <v/>
      </c>
      <c r="AA125" s="537">
        <f>F125/X125</f>
        <v/>
      </c>
      <c r="AB125" s="282">
        <f>(Z125-AA125)/AA125</f>
        <v/>
      </c>
      <c r="AC125" s="537" t="n"/>
      <c r="AD125" s="537" t="n"/>
      <c r="AE125" s="282">
        <f>(AC125-AD125)/AD125</f>
        <v/>
      </c>
      <c r="AF125" s="537" t="n"/>
      <c r="AG125" s="537" t="n"/>
      <c r="AH125">
        <f>(AF125-AG125)/AG125</f>
        <v/>
      </c>
      <c r="AI125" s="537" t="n"/>
      <c r="AJ125" s="537" t="n"/>
      <c r="AK125" s="282">
        <f>(AI125-AJ125)/AJ125</f>
        <v/>
      </c>
      <c r="AL125" s="286">
        <f>AF125/AI125</f>
        <v/>
      </c>
      <c r="AM125" s="286">
        <f>AG125/AJ125</f>
        <v/>
      </c>
      <c r="AN125" s="282">
        <f>(AL125-AM125)/AM125</f>
        <v/>
      </c>
    </row>
    <row customHeight="1" ht="15.75" r="126" s="452" spans="1:41">
      <c r="A126" s="279" t="n"/>
      <c r="B126" s="279" t="n"/>
      <c r="C126" s="280" t="n"/>
      <c r="D126" s="280" t="n"/>
      <c r="E126" s="535" t="n"/>
      <c r="F126" s="535" t="n"/>
      <c r="G126" s="282">
        <f>(E126-F126)/F126</f>
        <v/>
      </c>
      <c r="H126" s="535" t="n"/>
      <c r="I126" s="536" t="n"/>
      <c r="J126" s="282">
        <f>(H126-I126)/I126</f>
        <v/>
      </c>
      <c r="K126" s="535">
        <f>H126*1.085</f>
        <v/>
      </c>
      <c r="L126" s="535">
        <f>I126*1.085</f>
        <v/>
      </c>
      <c r="M126" s="282">
        <f>(K126-L126)/L126</f>
        <v/>
      </c>
      <c r="N126" s="536">
        <f>E126/H126</f>
        <v/>
      </c>
      <c r="O126" s="536">
        <f>F126/I126</f>
        <v/>
      </c>
      <c r="P126" s="282">
        <f>(N126-O126)/O126</f>
        <v/>
      </c>
      <c r="Q126" s="536">
        <f>E126/K126</f>
        <v/>
      </c>
      <c r="R126" s="536">
        <f>F126/L126</f>
        <v/>
      </c>
      <c r="S126" s="282">
        <f>(Q126-R126)/R126</f>
        <v/>
      </c>
      <c r="T126" s="537" t="n"/>
      <c r="U126" s="537" t="n"/>
      <c r="V126" s="282">
        <f>(T126-U126)/U126</f>
        <v/>
      </c>
      <c r="W126" s="537" t="n"/>
      <c r="X126" s="537" t="n"/>
      <c r="Y126" s="282">
        <f>(W126-X126)/X126</f>
        <v/>
      </c>
      <c r="Z126" s="537">
        <f>E126/W126</f>
        <v/>
      </c>
      <c r="AA126" s="537">
        <f>F126/X126</f>
        <v/>
      </c>
      <c r="AB126" s="282">
        <f>(Z126-AA126)/AA126</f>
        <v/>
      </c>
      <c r="AC126" s="537" t="n"/>
      <c r="AD126" s="537" t="n"/>
      <c r="AE126" s="282">
        <f>(AC126-AD126)/AD126</f>
        <v/>
      </c>
      <c r="AF126" s="537" t="n"/>
      <c r="AG126" s="537" t="n"/>
      <c r="AH126">
        <f>(AF126-AG126)/AG126</f>
        <v/>
      </c>
      <c r="AI126" s="537" t="n"/>
      <c r="AJ126" s="537" t="n"/>
      <c r="AK126" s="282">
        <f>(AI126-AJ126)/AJ126</f>
        <v/>
      </c>
      <c r="AL126" s="286">
        <f>AF126/AI126</f>
        <v/>
      </c>
      <c r="AM126" s="286">
        <f>AG126/AJ126</f>
        <v/>
      </c>
      <c r="AN126" s="282">
        <f>(AL126-AM126)/AM126</f>
        <v/>
      </c>
    </row>
    <row customHeight="1" ht="15.75" r="127" s="452" spans="1:41">
      <c r="A127" s="279" t="n"/>
      <c r="B127" s="279" t="n"/>
      <c r="C127" s="280" t="n"/>
      <c r="D127" s="297" t="s">
        <v>177</v>
      </c>
      <c r="E127" s="535" t="n">
        <v>0</v>
      </c>
      <c r="F127" s="535" t="n">
        <v>199</v>
      </c>
      <c r="G127" s="282">
        <f>(E127-F127)/F127</f>
        <v/>
      </c>
      <c r="H127" s="535" t="n">
        <v>0</v>
      </c>
      <c r="I127" s="536" t="n">
        <v>6076.97</v>
      </c>
      <c r="J127" s="282">
        <f>(H127-I127)/I127</f>
        <v/>
      </c>
      <c r="K127" s="535">
        <f>H127*1.085</f>
        <v/>
      </c>
      <c r="L127" s="535">
        <f>I127*1.085</f>
        <v/>
      </c>
      <c r="M127" s="282">
        <f>(K127-L127)/L127</f>
        <v/>
      </c>
      <c r="N127" s="536">
        <f>E127/H127</f>
        <v/>
      </c>
      <c r="O127" s="536">
        <f>F127/I127</f>
        <v/>
      </c>
      <c r="P127" s="282">
        <f>(N127-O127)/O127</f>
        <v/>
      </c>
      <c r="Q127" s="536">
        <f>E127/K127</f>
        <v/>
      </c>
      <c r="R127" s="536">
        <f>F127/L127</f>
        <v/>
      </c>
      <c r="S127" s="282">
        <f>(Q127-R127)/R127</f>
        <v/>
      </c>
      <c r="T127" s="537" t="n">
        <v>28</v>
      </c>
      <c r="U127" s="537" t="n">
        <v>3700</v>
      </c>
      <c r="V127" s="282">
        <f>(T127-U127)/U127</f>
        <v/>
      </c>
      <c r="W127" s="537" t="n">
        <v>0</v>
      </c>
      <c r="X127" s="537" t="n">
        <v>1</v>
      </c>
      <c r="Y127" s="282">
        <f>(W127-X127)/X127</f>
        <v/>
      </c>
      <c r="Z127" s="537">
        <f>E127/W127</f>
        <v/>
      </c>
      <c r="AA127" s="537">
        <f>F127/X127</f>
        <v/>
      </c>
      <c r="AB127" s="282">
        <f>(Z127-AA127)/AA127</f>
        <v/>
      </c>
      <c r="AC127" s="537" t="n">
        <v>0</v>
      </c>
      <c r="AD127" s="537" t="n">
        <v>478714</v>
      </c>
      <c r="AE127" s="282">
        <f>(AC127-AD127)/AD127</f>
        <v/>
      </c>
      <c r="AF127" s="537" t="n">
        <v>0</v>
      </c>
      <c r="AG127" s="537" t="n">
        <v>6783</v>
      </c>
      <c r="AH127">
        <f>(AF127-AG127)/AG127</f>
        <v/>
      </c>
      <c r="AI127" s="537" t="n">
        <v>0</v>
      </c>
      <c r="AJ127" s="537" t="n">
        <v>981912</v>
      </c>
      <c r="AK127" s="282">
        <f>(AI127-AJ127)/AJ127</f>
        <v/>
      </c>
      <c r="AL127" s="286">
        <f>AF127/AI127</f>
        <v/>
      </c>
      <c r="AM127" s="286">
        <f>AG127/AJ127</f>
        <v/>
      </c>
      <c r="AN127" s="282">
        <f>(AL127-AM127)/AM127</f>
        <v/>
      </c>
    </row>
    <row customHeight="1" ht="15.75" r="128" s="452" spans="1:41">
      <c r="A128" s="49" t="s">
        <v>45</v>
      </c>
      <c r="B128" s="49" t="s">
        <v>102</v>
      </c>
      <c r="C128" s="50">
        <f>C122+7</f>
        <v/>
      </c>
      <c r="D128" s="50" t="s">
        <v>60</v>
      </c>
      <c r="E128" s="566">
        <f>SUM(E129:E133)</f>
        <v/>
      </c>
      <c r="F128" s="566">
        <f>SUM(F129:F133)</f>
        <v/>
      </c>
      <c r="G128" s="52">
        <f>(E128-F128)/F128</f>
        <v/>
      </c>
      <c r="H128" s="566">
        <f>SUM(H129:H133)</f>
        <v/>
      </c>
      <c r="I128" s="566">
        <f>SUM(I129:I133)</f>
        <v/>
      </c>
      <c r="J128" s="52">
        <f>(H128-I128)/I128</f>
        <v/>
      </c>
      <c r="K128" s="566">
        <f>H128*1.085</f>
        <v/>
      </c>
      <c r="L128" s="566">
        <f>I128*1.085</f>
        <v/>
      </c>
      <c r="M128" s="52">
        <f>(K128-L128)/L128</f>
        <v/>
      </c>
      <c r="N128" s="567">
        <f>E128/H128</f>
        <v/>
      </c>
      <c r="O128" s="567">
        <f>F128/I128</f>
        <v/>
      </c>
      <c r="P128" s="52">
        <f>(N128-O128)/O128</f>
        <v/>
      </c>
      <c r="Q128" s="567">
        <f>E128/K128</f>
        <v/>
      </c>
      <c r="R128" s="567">
        <f>F128/L128</f>
        <v/>
      </c>
      <c r="S128" s="52">
        <f>(Q128-R128)/R128</f>
        <v/>
      </c>
      <c r="T128" s="568">
        <f>SUM(T129:T133)</f>
        <v/>
      </c>
      <c r="U128" s="568">
        <f>SUM(U129:U133)</f>
        <v/>
      </c>
      <c r="V128" s="52">
        <f>(T128-U128)/U128</f>
        <v/>
      </c>
      <c r="W128" s="568">
        <f>SUM(W129:W133)</f>
        <v/>
      </c>
      <c r="X128" s="568">
        <f>SUM(X129:X133)</f>
        <v/>
      </c>
      <c r="Y128" s="52">
        <f>(W128-X128)/X128</f>
        <v/>
      </c>
      <c r="Z128" s="566">
        <f>E128/W128</f>
        <v/>
      </c>
      <c r="AA128" s="568">
        <f>F128/X128</f>
        <v/>
      </c>
      <c r="AB128" s="52">
        <f>(Z128-AA128)/AA128</f>
        <v/>
      </c>
      <c r="AC128" s="568">
        <f>SUM(AC129:AC133)</f>
        <v/>
      </c>
      <c r="AD128" s="568">
        <f>SUM(AD129:AD133)</f>
        <v/>
      </c>
      <c r="AE128" s="52">
        <f>(AC128-AD128)/AD128</f>
        <v/>
      </c>
      <c r="AF128" s="568">
        <f>SUM(AF129:AF133)</f>
        <v/>
      </c>
      <c r="AG128" s="568">
        <f>SUM(AG129:AG133)</f>
        <v/>
      </c>
      <c r="AH128" s="67">
        <f>(AF128-AG128)/AG128</f>
        <v/>
      </c>
      <c r="AI128" s="568">
        <f>SUM(AI129:AI133)</f>
        <v/>
      </c>
      <c r="AJ128" s="568">
        <f>SUM(AJ129:AJ133)</f>
        <v/>
      </c>
      <c r="AK128" s="52">
        <f>(AI128-AJ128)/AJ128</f>
        <v/>
      </c>
      <c r="AL128" s="82">
        <f>AF128/AI128</f>
        <v/>
      </c>
      <c r="AM128" s="82">
        <f>AG128/AJ128</f>
        <v/>
      </c>
      <c r="AN128" s="52">
        <f>(AL128-AM128)/AM128</f>
        <v/>
      </c>
    </row>
    <row customHeight="1" ht="15.75" r="129" s="452" spans="1:41">
      <c r="A129" s="279" t="n"/>
      <c r="B129" s="279" t="n"/>
      <c r="C129" s="280" t="n"/>
      <c r="D129" s="280" t="n"/>
      <c r="E129" s="535" t="n"/>
      <c r="F129" s="535" t="n"/>
      <c r="G129" s="282">
        <f>(E129-F129)/F129</f>
        <v/>
      </c>
      <c r="H129" s="535" t="n"/>
      <c r="I129" s="536" t="n"/>
      <c r="J129" s="282">
        <f>(H129-I129)/I129</f>
        <v/>
      </c>
      <c r="K129" s="535">
        <f>H129*1.085</f>
        <v/>
      </c>
      <c r="L129" s="535">
        <f>I129*1.085</f>
        <v/>
      </c>
      <c r="M129" s="282">
        <f>(K129-L129)/L129</f>
        <v/>
      </c>
      <c r="N129" s="536">
        <f>E129/H129</f>
        <v/>
      </c>
      <c r="O129" s="536">
        <f>F129/I129</f>
        <v/>
      </c>
      <c r="P129" s="282">
        <f>(N129-O129)/O129</f>
        <v/>
      </c>
      <c r="Q129" s="536">
        <f>E129/K129</f>
        <v/>
      </c>
      <c r="R129" s="536">
        <f>F129/L129</f>
        <v/>
      </c>
      <c r="S129" s="282">
        <f>(Q129-R129)/R129</f>
        <v/>
      </c>
      <c r="T129" s="537" t="n"/>
      <c r="U129" s="537" t="n"/>
      <c r="V129" s="282">
        <f>(T129-U129)/U129</f>
        <v/>
      </c>
      <c r="W129" s="537" t="n"/>
      <c r="X129" s="537" t="n"/>
      <c r="Y129" s="282">
        <f>(W129-X129)/X129</f>
        <v/>
      </c>
      <c r="Z129" s="537">
        <f>E129/W129</f>
        <v/>
      </c>
      <c r="AA129" s="537">
        <f>F129/X129</f>
        <v/>
      </c>
      <c r="AB129" s="282">
        <f>(Z129-AA129)/AA129</f>
        <v/>
      </c>
      <c r="AC129" s="537" t="n"/>
      <c r="AD129" s="537" t="n"/>
      <c r="AE129" s="282">
        <f>(AC129-AD129)/AD129</f>
        <v/>
      </c>
      <c r="AF129" s="537" t="n"/>
      <c r="AG129" s="537" t="n"/>
      <c r="AH129">
        <f>(AF129-AG129)/AG129</f>
        <v/>
      </c>
      <c r="AI129" s="537" t="n"/>
      <c r="AJ129" s="537" t="n"/>
      <c r="AK129" s="282">
        <f>(AI129-AJ129)/AJ129</f>
        <v/>
      </c>
      <c r="AL129" s="286">
        <f>AF129/AI129</f>
        <v/>
      </c>
      <c r="AM129" s="286">
        <f>AG129/AJ129</f>
        <v/>
      </c>
      <c r="AN129" s="282">
        <f>(AL129-AM129)/AM129</f>
        <v/>
      </c>
    </row>
    <row customHeight="1" ht="15.75" r="130" s="452" spans="1:41">
      <c r="A130" s="279" t="n"/>
      <c r="B130" s="279" t="n"/>
      <c r="C130" s="280" t="n"/>
      <c r="D130" s="280" t="n"/>
      <c r="E130" s="535" t="n"/>
      <c r="F130" s="535" t="n"/>
      <c r="G130" s="282">
        <f>(E130-F130)/F130</f>
        <v/>
      </c>
      <c r="H130" s="535" t="n"/>
      <c r="I130" s="536" t="n"/>
      <c r="J130" s="282">
        <f>(H130-I130)/I130</f>
        <v/>
      </c>
      <c r="K130" s="535">
        <f>H130*1.085</f>
        <v/>
      </c>
      <c r="L130" s="535">
        <f>I130*1.085</f>
        <v/>
      </c>
      <c r="M130" s="282">
        <f>(K130-L130)/L130</f>
        <v/>
      </c>
      <c r="N130" s="536">
        <f>E130/H130</f>
        <v/>
      </c>
      <c r="O130" s="536">
        <f>F130/I130</f>
        <v/>
      </c>
      <c r="P130" s="282">
        <f>(N130-O130)/O130</f>
        <v/>
      </c>
      <c r="Q130" s="536">
        <f>E130/K130</f>
        <v/>
      </c>
      <c r="R130" s="536">
        <f>F130/L130</f>
        <v/>
      </c>
      <c r="S130" s="282">
        <f>(Q130-R130)/R130</f>
        <v/>
      </c>
      <c r="T130" s="537" t="n"/>
      <c r="U130" s="537" t="n"/>
      <c r="V130" s="282">
        <f>(T130-U130)/U130</f>
        <v/>
      </c>
      <c r="W130" s="537" t="n"/>
      <c r="X130" s="537" t="n"/>
      <c r="Y130" s="282">
        <f>(W130-X130)/X130</f>
        <v/>
      </c>
      <c r="Z130" s="537">
        <f>E130/W130</f>
        <v/>
      </c>
      <c r="AA130" s="537">
        <f>F130/X130</f>
        <v/>
      </c>
      <c r="AB130" s="282">
        <f>(Z130-AA130)/AA130</f>
        <v/>
      </c>
      <c r="AC130" s="537" t="n"/>
      <c r="AD130" s="537" t="n"/>
      <c r="AE130" s="282">
        <f>(AC130-AD130)/AD130</f>
        <v/>
      </c>
      <c r="AF130" s="537" t="n"/>
      <c r="AG130" s="537" t="n"/>
      <c r="AH130">
        <f>(AF130-AG130)/AG130</f>
        <v/>
      </c>
      <c r="AI130" s="537" t="n"/>
      <c r="AJ130" s="537" t="n"/>
      <c r="AK130" s="282">
        <f>(AI130-AJ130)/AJ130</f>
        <v/>
      </c>
      <c r="AL130" s="286">
        <f>AF130/AI130</f>
        <v/>
      </c>
      <c r="AM130" s="286">
        <f>AG130/AJ130</f>
        <v/>
      </c>
      <c r="AN130" s="282">
        <f>(AL130-AM130)/AM130</f>
        <v/>
      </c>
    </row>
    <row customHeight="1" ht="15.75" r="131" s="452" spans="1:41">
      <c r="A131" s="279" t="n"/>
      <c r="B131" s="279" t="n"/>
      <c r="C131" s="280" t="n"/>
      <c r="D131" s="280" t="n"/>
      <c r="E131" s="535" t="n"/>
      <c r="F131" s="535" t="n"/>
      <c r="G131" s="282">
        <f>(E131-F131)/F131</f>
        <v/>
      </c>
      <c r="H131" s="535" t="n"/>
      <c r="I131" s="536" t="n"/>
      <c r="J131" s="282">
        <f>(H131-I131)/I131</f>
        <v/>
      </c>
      <c r="K131" s="535">
        <f>H131*1.085</f>
        <v/>
      </c>
      <c r="L131" s="535">
        <f>I131*1.085</f>
        <v/>
      </c>
      <c r="M131" s="282">
        <f>(K131-L131)/L131</f>
        <v/>
      </c>
      <c r="N131" s="536">
        <f>E131/H131</f>
        <v/>
      </c>
      <c r="O131" s="536">
        <f>F131/I131</f>
        <v/>
      </c>
      <c r="P131" s="282">
        <f>(N131-O131)/O131</f>
        <v/>
      </c>
      <c r="Q131" s="536">
        <f>E131/K131</f>
        <v/>
      </c>
      <c r="R131" s="536">
        <f>F131/L131</f>
        <v/>
      </c>
      <c r="S131" s="282">
        <f>(Q131-R131)/R131</f>
        <v/>
      </c>
      <c r="T131" s="537" t="n"/>
      <c r="U131" s="537" t="n"/>
      <c r="V131" s="282">
        <f>(T131-U131)/U131</f>
        <v/>
      </c>
      <c r="W131" s="537" t="n"/>
      <c r="X131" s="537" t="n"/>
      <c r="Y131" s="282">
        <f>(W131-X131)/X131</f>
        <v/>
      </c>
      <c r="Z131" s="537">
        <f>E131/W131</f>
        <v/>
      </c>
      <c r="AA131" s="537">
        <f>F131/X131</f>
        <v/>
      </c>
      <c r="AB131" s="282">
        <f>(Z131-AA131)/AA131</f>
        <v/>
      </c>
      <c r="AC131" s="537" t="n"/>
      <c r="AD131" s="537" t="n"/>
      <c r="AE131" s="282">
        <f>(AC131-AD131)/AD131</f>
        <v/>
      </c>
      <c r="AF131" s="537" t="n"/>
      <c r="AG131" s="537" t="n"/>
      <c r="AH131">
        <f>(AF131-AG131)/AG131</f>
        <v/>
      </c>
      <c r="AI131" s="537" t="n"/>
      <c r="AJ131" s="537" t="n"/>
      <c r="AK131" s="282">
        <f>(AI131-AJ131)/AJ131</f>
        <v/>
      </c>
      <c r="AL131" s="286">
        <f>AF131/AI131</f>
        <v/>
      </c>
      <c r="AM131" s="286">
        <f>AG131/AJ131</f>
        <v/>
      </c>
      <c r="AN131" s="282">
        <f>(AL131-AM131)/AM131</f>
        <v/>
      </c>
    </row>
    <row customHeight="1" ht="15.75" r="132" s="452" spans="1:41">
      <c r="A132" s="279" t="n"/>
      <c r="B132" s="279" t="n"/>
      <c r="C132" s="280" t="n"/>
      <c r="D132" s="280" t="n"/>
      <c r="E132" s="535" t="n"/>
      <c r="F132" s="535" t="n"/>
      <c r="G132" s="282">
        <f>(E132-F132)/F132</f>
        <v/>
      </c>
      <c r="H132" s="535" t="n"/>
      <c r="I132" s="536" t="n"/>
      <c r="J132" s="282">
        <f>(H132-I132)/I132</f>
        <v/>
      </c>
      <c r="K132" s="535">
        <f>H132*1.085</f>
        <v/>
      </c>
      <c r="L132" s="535">
        <f>I132*1.085</f>
        <v/>
      </c>
      <c r="M132" s="282">
        <f>(K132-L132)/L132</f>
        <v/>
      </c>
      <c r="N132" s="536">
        <f>E132/H132</f>
        <v/>
      </c>
      <c r="O132" s="536">
        <f>F132/I132</f>
        <v/>
      </c>
      <c r="P132" s="282">
        <f>(N132-O132)/O132</f>
        <v/>
      </c>
      <c r="Q132" s="536">
        <f>E132/K132</f>
        <v/>
      </c>
      <c r="R132" s="536">
        <f>F132/L132</f>
        <v/>
      </c>
      <c r="S132" s="282">
        <f>(Q132-R132)/R132</f>
        <v/>
      </c>
      <c r="T132" s="537" t="n"/>
      <c r="U132" s="537" t="n"/>
      <c r="V132" s="282">
        <f>(T132-U132)/U132</f>
        <v/>
      </c>
      <c r="W132" s="537" t="n"/>
      <c r="X132" s="537" t="n"/>
      <c r="Y132" s="282">
        <f>(W132-X132)/X132</f>
        <v/>
      </c>
      <c r="Z132" s="537">
        <f>E132/W132</f>
        <v/>
      </c>
      <c r="AA132" s="537">
        <f>F132/X132</f>
        <v/>
      </c>
      <c r="AB132" s="282">
        <f>(Z132-AA132)/AA132</f>
        <v/>
      </c>
      <c r="AC132" s="537" t="n"/>
      <c r="AD132" s="537" t="n"/>
      <c r="AE132" s="282">
        <f>(AC132-AD132)/AD132</f>
        <v/>
      </c>
      <c r="AF132" s="537" t="n"/>
      <c r="AG132" s="537" t="n"/>
      <c r="AH132">
        <f>(AF132-AG132)/AG132</f>
        <v/>
      </c>
      <c r="AI132" s="537" t="n"/>
      <c r="AJ132" s="537" t="n"/>
      <c r="AK132" s="282">
        <f>(AI132-AJ132)/AJ132</f>
        <v/>
      </c>
      <c r="AL132" s="286">
        <f>AF132/AI132</f>
        <v/>
      </c>
      <c r="AM132" s="286">
        <f>AG132/AJ132</f>
        <v/>
      </c>
      <c r="AN132" s="282">
        <f>(AL132-AM132)/AM132</f>
        <v/>
      </c>
    </row>
    <row customHeight="1" ht="15.75" r="133" s="452" spans="1:41">
      <c r="A133" s="279" t="n"/>
      <c r="B133" s="279" t="n"/>
      <c r="C133" s="280" t="n"/>
      <c r="D133" s="297" t="s">
        <v>177</v>
      </c>
      <c r="E133" s="535" t="n">
        <v>0</v>
      </c>
      <c r="F133" s="535" t="n">
        <v>0</v>
      </c>
      <c r="G133" s="282">
        <f>(E133-F133)/F133</f>
        <v/>
      </c>
      <c r="H133" s="535" t="n">
        <v>0</v>
      </c>
      <c r="I133" s="536" t="n">
        <v>771.92</v>
      </c>
      <c r="J133" s="282">
        <f>(H133-I133)/I133</f>
        <v/>
      </c>
      <c r="K133" s="535">
        <f>H133*1.085</f>
        <v/>
      </c>
      <c r="L133" s="535">
        <f>I133*1.085</f>
        <v/>
      </c>
      <c r="M133" s="282">
        <f>(K133-L133)/L133</f>
        <v/>
      </c>
      <c r="N133" s="536">
        <f>E133/H133</f>
        <v/>
      </c>
      <c r="O133" s="536">
        <f>F133/I133</f>
        <v/>
      </c>
      <c r="P133" s="282">
        <f>(N133-O133)/O133</f>
        <v/>
      </c>
      <c r="Q133" s="536">
        <f>E133/K133</f>
        <v/>
      </c>
      <c r="R133" s="536">
        <f>F133/L133</f>
        <v/>
      </c>
      <c r="S133" s="282">
        <f>(Q133-R133)/R133</f>
        <v/>
      </c>
      <c r="T133" s="537" t="n">
        <v>6</v>
      </c>
      <c r="U133" s="537" t="n">
        <v>500</v>
      </c>
      <c r="V133" s="282">
        <f>(T133-U133)/U133</f>
        <v/>
      </c>
      <c r="W133" s="537" t="n">
        <v>0</v>
      </c>
      <c r="X133" s="537" t="n">
        <v>0</v>
      </c>
      <c r="Y133" s="282">
        <f>(W133-X133)/X133</f>
        <v/>
      </c>
      <c r="Z133" s="537">
        <f>E133/W133</f>
        <v/>
      </c>
      <c r="AA133" s="537">
        <f>F133/X133</f>
        <v/>
      </c>
      <c r="AB133" s="282">
        <f>(Z133-AA133)/AA133</f>
        <v/>
      </c>
      <c r="AC133" s="537" t="n">
        <v>0</v>
      </c>
      <c r="AD133" s="537" t="n">
        <v>108480</v>
      </c>
      <c r="AE133" s="282">
        <f>(AC133-AD133)/AD133</f>
        <v/>
      </c>
      <c r="AF133" s="537" t="n">
        <v>0</v>
      </c>
      <c r="AG133" s="537" t="n">
        <v>825</v>
      </c>
      <c r="AH133">
        <f>(AF133-AG133)/AG133</f>
        <v/>
      </c>
      <c r="AI133" s="537" t="n">
        <v>0</v>
      </c>
      <c r="AJ133" s="537" t="n">
        <v>117960</v>
      </c>
      <c r="AK133" s="282">
        <f>(AI133-AJ133)/AJ133</f>
        <v/>
      </c>
      <c r="AL133" s="286">
        <f>AF133/AI133</f>
        <v/>
      </c>
      <c r="AM133" s="286">
        <f>AG133/AJ133</f>
        <v/>
      </c>
      <c r="AN133" s="282">
        <f>(AL133-AM133)/AM133</f>
        <v/>
      </c>
    </row>
    <row customHeight="1" ht="15.75" r="134" s="452" spans="1:41">
      <c r="A134" s="49" t="s">
        <v>45</v>
      </c>
      <c r="B134" s="49" t="s">
        <v>103</v>
      </c>
      <c r="C134" s="50">
        <f>C128+7</f>
        <v/>
      </c>
      <c r="D134" s="50" t="s">
        <v>60</v>
      </c>
      <c r="E134" s="566">
        <f>SUM(E135:E139)</f>
        <v/>
      </c>
      <c r="F134" s="566">
        <f>SUM(F135:F139)</f>
        <v/>
      </c>
      <c r="G134" s="52">
        <f>(E134-F134)/F134</f>
        <v/>
      </c>
      <c r="H134" s="566">
        <f>SUM(H135:H139)</f>
        <v/>
      </c>
      <c r="I134" s="566">
        <f>SUM(I135:I139)</f>
        <v/>
      </c>
      <c r="J134" s="52">
        <f>(H134-I134)/I134</f>
        <v/>
      </c>
      <c r="K134" s="566">
        <f>H134*1.085</f>
        <v/>
      </c>
      <c r="L134" s="566">
        <f>I134*1.085</f>
        <v/>
      </c>
      <c r="M134" s="52">
        <f>(K134-L134)/L134</f>
        <v/>
      </c>
      <c r="N134" s="567">
        <f>E134/H134</f>
        <v/>
      </c>
      <c r="O134" s="567">
        <f>F134/I134</f>
        <v/>
      </c>
      <c r="P134" s="52">
        <f>(N134-O134)/O134</f>
        <v/>
      </c>
      <c r="Q134" s="567">
        <f>E134/K134</f>
        <v/>
      </c>
      <c r="R134" s="567">
        <f>F134/L134</f>
        <v/>
      </c>
      <c r="S134" s="52">
        <f>(Q134-R134)/R134</f>
        <v/>
      </c>
      <c r="T134" s="568">
        <f>SUM(T135:T139)</f>
        <v/>
      </c>
      <c r="U134" s="568">
        <f>SUM(U135:U139)</f>
        <v/>
      </c>
      <c r="V134" s="52">
        <f>(T134-U134)/U134</f>
        <v/>
      </c>
      <c r="W134" s="568">
        <f>SUM(W135:W139)</f>
        <v/>
      </c>
      <c r="X134" s="568">
        <f>SUM(X135:X139)</f>
        <v/>
      </c>
      <c r="Y134" s="52">
        <f>(W134-X134)/X134</f>
        <v/>
      </c>
      <c r="Z134" s="566">
        <f>E134/W134</f>
        <v/>
      </c>
      <c r="AA134" s="568">
        <f>F134/X134</f>
        <v/>
      </c>
      <c r="AB134" s="52">
        <f>(Z134-AA134)/AA134</f>
        <v/>
      </c>
      <c r="AC134" s="568">
        <f>SUM(AC135:AC139)</f>
        <v/>
      </c>
      <c r="AD134" s="568">
        <f>SUM(AD135:AD139)</f>
        <v/>
      </c>
      <c r="AE134" s="52">
        <f>(AC134-AD134)/AD134</f>
        <v/>
      </c>
      <c r="AF134" s="568">
        <f>SUM(AF135:AF139)</f>
        <v/>
      </c>
      <c r="AG134" s="568">
        <f>SUM(AG135:AG139)</f>
        <v/>
      </c>
      <c r="AH134" s="67">
        <f>(AF134-AG134)/AG134</f>
        <v/>
      </c>
      <c r="AI134" s="568">
        <f>SUM(AI135:AI139)</f>
        <v/>
      </c>
      <c r="AJ134" s="568">
        <f>SUM(AJ135:AJ139)</f>
        <v/>
      </c>
      <c r="AK134" s="52">
        <f>(AI134-AJ134)/AJ134</f>
        <v/>
      </c>
      <c r="AL134" s="82">
        <f>AF134/AI134</f>
        <v/>
      </c>
      <c r="AM134" s="82">
        <f>AG134/AJ134</f>
        <v/>
      </c>
      <c r="AN134" s="52">
        <f>(AL134-AM134)/AM134</f>
        <v/>
      </c>
    </row>
    <row customHeight="1" ht="15.75" r="135" s="452" spans="1:41">
      <c r="A135" s="279" t="n"/>
      <c r="B135" s="279" t="n"/>
      <c r="C135" s="280" t="n"/>
      <c r="D135" s="280" t="n"/>
      <c r="E135" s="535" t="n"/>
      <c r="F135" s="535" t="n"/>
      <c r="G135" s="282">
        <f>(E135-F135)/F135</f>
        <v/>
      </c>
      <c r="H135" s="535" t="n"/>
      <c r="I135" s="536" t="n"/>
      <c r="J135" s="282">
        <f>(H135-I135)/I135</f>
        <v/>
      </c>
      <c r="K135" s="535">
        <f>H135*1.085</f>
        <v/>
      </c>
      <c r="L135" s="535">
        <f>I135*1.085</f>
        <v/>
      </c>
      <c r="M135" s="282">
        <f>(K135-L135)/L135</f>
        <v/>
      </c>
      <c r="N135" s="536">
        <f>E135/H135</f>
        <v/>
      </c>
      <c r="O135" s="536">
        <f>F135/I135</f>
        <v/>
      </c>
      <c r="P135" s="282">
        <f>(N135-O135)/O135</f>
        <v/>
      </c>
      <c r="Q135" s="536">
        <f>E135/K135</f>
        <v/>
      </c>
      <c r="R135" s="536">
        <f>F135/L135</f>
        <v/>
      </c>
      <c r="S135" s="282">
        <f>(Q135-R135)/R135</f>
        <v/>
      </c>
      <c r="T135" s="537" t="n"/>
      <c r="U135" s="537" t="n"/>
      <c r="V135" s="282">
        <f>(T135-U135)/U135</f>
        <v/>
      </c>
      <c r="W135" s="537" t="n"/>
      <c r="X135" s="537" t="n"/>
      <c r="Y135" s="282">
        <f>(W135-X135)/X135</f>
        <v/>
      </c>
      <c r="Z135" s="537">
        <f>E135/W135</f>
        <v/>
      </c>
      <c r="AA135" s="537">
        <f>F135/X135</f>
        <v/>
      </c>
      <c r="AB135" s="282">
        <f>(Z135-AA135)/AA135</f>
        <v/>
      </c>
      <c r="AC135" s="537" t="n"/>
      <c r="AD135" s="537" t="n"/>
      <c r="AE135" s="282">
        <f>(AC135-AD135)/AD135</f>
        <v/>
      </c>
      <c r="AF135" s="537" t="n"/>
      <c r="AG135" s="537" t="n"/>
      <c r="AH135">
        <f>(AF135-AG135)/AG135</f>
        <v/>
      </c>
      <c r="AI135" s="537" t="n"/>
      <c r="AJ135" s="537" t="n"/>
      <c r="AK135" s="282">
        <f>(AI135-AJ135)/AJ135</f>
        <v/>
      </c>
      <c r="AL135" s="286">
        <f>AF135/AI135</f>
        <v/>
      </c>
      <c r="AM135" s="286">
        <f>AG135/AJ135</f>
        <v/>
      </c>
      <c r="AN135" s="282">
        <f>(AL135-AM135)/AM135</f>
        <v/>
      </c>
    </row>
    <row customHeight="1" ht="15.75" r="136" s="452" spans="1:41">
      <c r="A136" s="279" t="n"/>
      <c r="B136" s="279" t="n"/>
      <c r="C136" s="280" t="n"/>
      <c r="D136" s="280" t="n"/>
      <c r="E136" s="535" t="n"/>
      <c r="F136" s="535" t="n"/>
      <c r="G136" s="282">
        <f>(E136-F136)/F136</f>
        <v/>
      </c>
      <c r="H136" s="535" t="n"/>
      <c r="I136" s="536" t="n"/>
      <c r="J136" s="282">
        <f>(H136-I136)/I136</f>
        <v/>
      </c>
      <c r="K136" s="535">
        <f>H136*1.085</f>
        <v/>
      </c>
      <c r="L136" s="535">
        <f>I136*1.085</f>
        <v/>
      </c>
      <c r="M136" s="282">
        <f>(K136-L136)/L136</f>
        <v/>
      </c>
      <c r="N136" s="536">
        <f>E136/H136</f>
        <v/>
      </c>
      <c r="O136" s="536">
        <f>F136/I136</f>
        <v/>
      </c>
      <c r="P136" s="282">
        <f>(N136-O136)/O136</f>
        <v/>
      </c>
      <c r="Q136" s="536">
        <f>E136/K136</f>
        <v/>
      </c>
      <c r="R136" s="536">
        <f>F136/L136</f>
        <v/>
      </c>
      <c r="S136" s="282">
        <f>(Q136-R136)/R136</f>
        <v/>
      </c>
      <c r="T136" s="537" t="n"/>
      <c r="U136" s="537" t="n"/>
      <c r="V136" s="282">
        <f>(T136-U136)/U136</f>
        <v/>
      </c>
      <c r="W136" s="537" t="n"/>
      <c r="X136" s="537" t="n"/>
      <c r="Y136" s="282">
        <f>(W136-X136)/X136</f>
        <v/>
      </c>
      <c r="Z136" s="537">
        <f>E136/W136</f>
        <v/>
      </c>
      <c r="AA136" s="537">
        <f>F136/X136</f>
        <v/>
      </c>
      <c r="AB136" s="282">
        <f>(Z136-AA136)/AA136</f>
        <v/>
      </c>
      <c r="AC136" s="537" t="n"/>
      <c r="AD136" s="537" t="n"/>
      <c r="AE136" s="282">
        <f>(AC136-AD136)/AD136</f>
        <v/>
      </c>
      <c r="AF136" s="537" t="n"/>
      <c r="AG136" s="537" t="n"/>
      <c r="AH136">
        <f>(AF136-AG136)/AG136</f>
        <v/>
      </c>
      <c r="AI136" s="537" t="n"/>
      <c r="AJ136" s="537" t="n"/>
      <c r="AK136" s="282">
        <f>(AI136-AJ136)/AJ136</f>
        <v/>
      </c>
      <c r="AL136" s="286">
        <f>AF136/AI136</f>
        <v/>
      </c>
      <c r="AM136" s="286">
        <f>AG136/AJ136</f>
        <v/>
      </c>
      <c r="AN136" s="282">
        <f>(AL136-AM136)/AM136</f>
        <v/>
      </c>
    </row>
    <row customHeight="1" ht="15.75" r="137" s="452" spans="1:41">
      <c r="A137" s="279" t="n"/>
      <c r="B137" s="279" t="n"/>
      <c r="C137" s="280" t="n"/>
      <c r="D137" s="280" t="n"/>
      <c r="E137" s="535" t="n"/>
      <c r="F137" s="535" t="n"/>
      <c r="G137" s="282">
        <f>(E137-F137)/F137</f>
        <v/>
      </c>
      <c r="H137" s="535" t="n"/>
      <c r="I137" s="536" t="n"/>
      <c r="J137" s="282">
        <f>(H137-I137)/I137</f>
        <v/>
      </c>
      <c r="K137" s="535">
        <f>H137*1.085</f>
        <v/>
      </c>
      <c r="L137" s="535">
        <f>I137*1.085</f>
        <v/>
      </c>
      <c r="M137" s="282">
        <f>(K137-L137)/L137</f>
        <v/>
      </c>
      <c r="N137" s="536">
        <f>E137/H137</f>
        <v/>
      </c>
      <c r="O137" s="536">
        <f>F137/I137</f>
        <v/>
      </c>
      <c r="P137" s="282">
        <f>(N137-O137)/O137</f>
        <v/>
      </c>
      <c r="Q137" s="536">
        <f>E137/K137</f>
        <v/>
      </c>
      <c r="R137" s="536">
        <f>F137/L137</f>
        <v/>
      </c>
      <c r="S137" s="282">
        <f>(Q137-R137)/R137</f>
        <v/>
      </c>
      <c r="T137" s="537" t="n"/>
      <c r="U137" s="537" t="n"/>
      <c r="V137" s="282">
        <f>(T137-U137)/U137</f>
        <v/>
      </c>
      <c r="W137" s="537" t="n"/>
      <c r="X137" s="537" t="n"/>
      <c r="Y137" s="282">
        <f>(W137-X137)/X137</f>
        <v/>
      </c>
      <c r="Z137" s="537">
        <f>E137/W137</f>
        <v/>
      </c>
      <c r="AA137" s="537">
        <f>F137/X137</f>
        <v/>
      </c>
      <c r="AB137" s="282">
        <f>(Z137-AA137)/AA137</f>
        <v/>
      </c>
      <c r="AC137" s="537" t="n"/>
      <c r="AD137" s="537" t="n"/>
      <c r="AE137" s="282">
        <f>(AC137-AD137)/AD137</f>
        <v/>
      </c>
      <c r="AF137" s="537" t="n"/>
      <c r="AG137" s="537" t="n"/>
      <c r="AH137">
        <f>(AF137-AG137)/AG137</f>
        <v/>
      </c>
      <c r="AI137" s="537" t="n"/>
      <c r="AJ137" s="537" t="n"/>
      <c r="AK137" s="282">
        <f>(AI137-AJ137)/AJ137</f>
        <v/>
      </c>
      <c r="AL137" s="286">
        <f>AF137/AI137</f>
        <v/>
      </c>
      <c r="AM137" s="286">
        <f>AG137/AJ137</f>
        <v/>
      </c>
      <c r="AN137" s="282">
        <f>(AL137-AM137)/AM137</f>
        <v/>
      </c>
    </row>
    <row customHeight="1" ht="15.75" r="138" s="452" spans="1:41">
      <c r="A138" s="279" t="n"/>
      <c r="B138" s="279" t="n"/>
      <c r="C138" s="280" t="n"/>
      <c r="D138" s="280" t="n"/>
      <c r="E138" s="535" t="n"/>
      <c r="F138" s="535" t="n"/>
      <c r="G138" s="282">
        <f>(E138-F138)/F138</f>
        <v/>
      </c>
      <c r="H138" s="535" t="n"/>
      <c r="I138" s="536" t="n"/>
      <c r="J138" s="282">
        <f>(H138-I138)/I138</f>
        <v/>
      </c>
      <c r="K138" s="535">
        <f>H138*1.085</f>
        <v/>
      </c>
      <c r="L138" s="535">
        <f>I138*1.085</f>
        <v/>
      </c>
      <c r="M138" s="282">
        <f>(K138-L138)/L138</f>
        <v/>
      </c>
      <c r="N138" s="536">
        <f>E138/H138</f>
        <v/>
      </c>
      <c r="O138" s="536">
        <f>F138/I138</f>
        <v/>
      </c>
      <c r="P138" s="282">
        <f>(N138-O138)/O138</f>
        <v/>
      </c>
      <c r="Q138" s="536">
        <f>E138/K138</f>
        <v/>
      </c>
      <c r="R138" s="536">
        <f>F138/L138</f>
        <v/>
      </c>
      <c r="S138" s="282">
        <f>(Q138-R138)/R138</f>
        <v/>
      </c>
      <c r="T138" s="537" t="n"/>
      <c r="U138" s="537" t="n"/>
      <c r="V138" s="282">
        <f>(T138-U138)/U138</f>
        <v/>
      </c>
      <c r="W138" s="537" t="n"/>
      <c r="X138" s="537" t="n"/>
      <c r="Y138" s="282">
        <f>(W138-X138)/X138</f>
        <v/>
      </c>
      <c r="Z138" s="537">
        <f>E138/W138</f>
        <v/>
      </c>
      <c r="AA138" s="537">
        <f>F138/X138</f>
        <v/>
      </c>
      <c r="AB138" s="282">
        <f>(Z138-AA138)/AA138</f>
        <v/>
      </c>
      <c r="AC138" s="537" t="n"/>
      <c r="AD138" s="537" t="n"/>
      <c r="AE138" s="282">
        <f>(AC138-AD138)/AD138</f>
        <v/>
      </c>
      <c r="AF138" s="537" t="n"/>
      <c r="AG138" s="537" t="n"/>
      <c r="AH138">
        <f>(AF138-AG138)/AG138</f>
        <v/>
      </c>
      <c r="AI138" s="537" t="n"/>
      <c r="AJ138" s="537" t="n"/>
      <c r="AK138" s="282">
        <f>(AI138-AJ138)/AJ138</f>
        <v/>
      </c>
      <c r="AL138" s="286">
        <f>AF138/AI138</f>
        <v/>
      </c>
      <c r="AM138" s="286">
        <f>AG138/AJ138</f>
        <v/>
      </c>
      <c r="AN138" s="282">
        <f>(AL138-AM138)/AM138</f>
        <v/>
      </c>
    </row>
    <row customHeight="1" ht="15.75" r="139" s="452" spans="1:41">
      <c r="A139" s="279" t="n"/>
      <c r="B139" s="279" t="n"/>
      <c r="C139" s="280" t="n"/>
      <c r="D139" s="297" t="s">
        <v>177</v>
      </c>
      <c r="E139" s="535" t="n">
        <v>0</v>
      </c>
      <c r="F139" s="535" t="n">
        <v>0</v>
      </c>
      <c r="G139" s="282">
        <f>(E139-F139)/F139</f>
        <v/>
      </c>
      <c r="H139" s="535" t="n">
        <v>0</v>
      </c>
      <c r="I139" s="536" t="n">
        <v>4874.72</v>
      </c>
      <c r="J139" s="282">
        <f>(H139-I139)/I139</f>
        <v/>
      </c>
      <c r="K139" s="535">
        <f>H139*1.085</f>
        <v/>
      </c>
      <c r="L139" s="535">
        <f>I139*1.085</f>
        <v/>
      </c>
      <c r="M139" s="282">
        <f>(K139-L139)/L139</f>
        <v/>
      </c>
      <c r="N139" s="536">
        <f>E139/H139</f>
        <v/>
      </c>
      <c r="O139" s="536">
        <f>F139/I139</f>
        <v/>
      </c>
      <c r="P139" s="282">
        <f>(N139-O139)/O139</f>
        <v/>
      </c>
      <c r="Q139" s="536">
        <f>E139/K139</f>
        <v/>
      </c>
      <c r="R139" s="536">
        <f>F139/L139</f>
        <v/>
      </c>
      <c r="S139" s="282">
        <f>(Q139-R139)/R139</f>
        <v/>
      </c>
      <c r="T139" s="537" t="n">
        <v>490</v>
      </c>
      <c r="U139" s="537" t="n">
        <v>6</v>
      </c>
      <c r="V139" s="282">
        <f>(T139-U139)/U139</f>
        <v/>
      </c>
      <c r="W139" s="537" t="n">
        <v>0</v>
      </c>
      <c r="X139" s="537" t="n">
        <v>0</v>
      </c>
      <c r="Y139" s="282">
        <f>(W139-X139)/X139</f>
        <v/>
      </c>
      <c r="Z139" s="537">
        <f>E139/W139</f>
        <v/>
      </c>
      <c r="AA139" s="537">
        <f>F139/X139</f>
        <v/>
      </c>
      <c r="AB139" s="282">
        <f>(Z139-AA139)/AA139</f>
        <v/>
      </c>
      <c r="AC139" s="537" t="n">
        <v>0</v>
      </c>
      <c r="AD139" s="537" t="n">
        <v>559612</v>
      </c>
      <c r="AE139" s="282">
        <f>(AC139-AD139)/AD139</f>
        <v/>
      </c>
      <c r="AF139" s="537" t="n">
        <v>0</v>
      </c>
      <c r="AG139" s="537" t="n">
        <v>10160</v>
      </c>
      <c r="AH139">
        <f>(AF139-AG139)/AG139</f>
        <v/>
      </c>
      <c r="AI139" s="537" t="n">
        <v>0</v>
      </c>
      <c r="AJ139" s="537" t="n">
        <v>1577027</v>
      </c>
      <c r="AK139" s="282">
        <f>(AI139-AJ139)/AJ139</f>
        <v/>
      </c>
      <c r="AL139" s="286">
        <f>AF139/AI139</f>
        <v/>
      </c>
      <c r="AM139" s="286">
        <f>AG139/AJ139</f>
        <v/>
      </c>
      <c r="AN139" s="282">
        <f>(AL139-AM139)/AM139</f>
        <v/>
      </c>
    </row>
    <row customHeight="1" ht="15.75" r="140" s="452" spans="1:41">
      <c r="A140" s="49" t="s">
        <v>45</v>
      </c>
      <c r="B140" s="49" t="s">
        <v>104</v>
      </c>
      <c r="C140" s="50">
        <f>C134+7</f>
        <v/>
      </c>
      <c r="D140" s="50" t="s">
        <v>60</v>
      </c>
      <c r="E140" s="566">
        <f>SUM(E141:E145)</f>
        <v/>
      </c>
      <c r="F140" s="566">
        <f>SUM(F141:F145)</f>
        <v/>
      </c>
      <c r="G140" s="52">
        <f>(E140-F140)/F140</f>
        <v/>
      </c>
      <c r="H140" s="566">
        <f>SUM(H141:H145)</f>
        <v/>
      </c>
      <c r="I140" s="566">
        <f>SUM(I141:I145)</f>
        <v/>
      </c>
      <c r="J140" s="52">
        <f>(H140-I140)/I140</f>
        <v/>
      </c>
      <c r="K140" s="566">
        <f>H140*1.085</f>
        <v/>
      </c>
      <c r="L140" s="566">
        <f>I140*1.085</f>
        <v/>
      </c>
      <c r="M140" s="52">
        <f>(K140-L140)/L140</f>
        <v/>
      </c>
      <c r="N140" s="567">
        <f>E140/H140</f>
        <v/>
      </c>
      <c r="O140" s="567">
        <f>F140/I140</f>
        <v/>
      </c>
      <c r="P140" s="52">
        <f>(N140-O140)/O140</f>
        <v/>
      </c>
      <c r="Q140" s="567">
        <f>E140/K140</f>
        <v/>
      </c>
      <c r="R140" s="567">
        <f>F140/L140</f>
        <v/>
      </c>
      <c r="S140" s="52">
        <f>(Q140-R140)/R140</f>
        <v/>
      </c>
      <c r="T140" s="568">
        <f>SUM(T141:T145)</f>
        <v/>
      </c>
      <c r="U140" s="568">
        <f>SUM(U141:U145)</f>
        <v/>
      </c>
      <c r="V140" s="52">
        <f>(T140-U140)/U140</f>
        <v/>
      </c>
      <c r="W140" s="568">
        <f>SUM(W141:W145)</f>
        <v/>
      </c>
      <c r="X140" s="568">
        <f>SUM(X141:X145)</f>
        <v/>
      </c>
      <c r="Y140" s="52">
        <f>(W140-X140)/X140</f>
        <v/>
      </c>
      <c r="Z140" s="566">
        <f>E140/W140</f>
        <v/>
      </c>
      <c r="AA140" s="568">
        <f>F140/X140</f>
        <v/>
      </c>
      <c r="AB140" s="52">
        <f>(Z140-AA140)/AA140</f>
        <v/>
      </c>
      <c r="AC140" s="568">
        <f>SUM(AC141:AC145)</f>
        <v/>
      </c>
      <c r="AD140" s="568">
        <f>SUM(AD141:AD145)</f>
        <v/>
      </c>
      <c r="AE140" s="52">
        <f>(AC140-AD140)/AD140</f>
        <v/>
      </c>
      <c r="AF140" s="568">
        <f>SUM(AF141:AF145)</f>
        <v/>
      </c>
      <c r="AG140" s="568">
        <f>SUM(AG141:AG145)</f>
        <v/>
      </c>
      <c r="AH140" s="67">
        <f>(AF140-AG140)/AG140</f>
        <v/>
      </c>
      <c r="AI140" s="568">
        <f>SUM(AI141:AI145)</f>
        <v/>
      </c>
      <c r="AJ140" s="568">
        <f>SUM(AJ141:AJ145)</f>
        <v/>
      </c>
      <c r="AK140" s="52">
        <f>(AI140-AJ140)/AJ140</f>
        <v/>
      </c>
      <c r="AL140" s="82">
        <f>AF140/AI140</f>
        <v/>
      </c>
      <c r="AM140" s="82">
        <f>AG140/AJ140</f>
        <v/>
      </c>
      <c r="AN140" s="52">
        <f>(AL140-AM140)/AM140</f>
        <v/>
      </c>
      <c r="AO140" t="s">
        <v>185</v>
      </c>
    </row>
    <row customHeight="1" ht="15.75" r="141" s="452" spans="1:41">
      <c r="A141" s="279" t="n"/>
      <c r="B141" s="279" t="n"/>
      <c r="C141" s="280" t="n"/>
      <c r="D141" s="297" t="s">
        <v>113</v>
      </c>
      <c r="E141" s="535" t="n">
        <v>917</v>
      </c>
      <c r="F141" s="535" t="n"/>
      <c r="G141" s="282">
        <f>(E141-F141)/F141</f>
        <v/>
      </c>
      <c r="H141" s="535" t="n">
        <v>3143</v>
      </c>
      <c r="I141" s="536" t="n"/>
      <c r="J141" s="282">
        <f>(H141-I141)/I141</f>
        <v/>
      </c>
      <c r="K141" s="535">
        <f>H141*1.085</f>
        <v/>
      </c>
      <c r="L141" s="535">
        <f>I141*1.085</f>
        <v/>
      </c>
      <c r="M141" s="282">
        <f>(K141-L141)/L141</f>
        <v/>
      </c>
      <c r="N141" s="536">
        <f>E141/H141</f>
        <v/>
      </c>
      <c r="O141" s="536">
        <f>F141/I141</f>
        <v/>
      </c>
      <c r="P141" s="282">
        <f>(N141-O141)/O141</f>
        <v/>
      </c>
      <c r="Q141" s="536">
        <f>E141/K141</f>
        <v/>
      </c>
      <c r="R141" s="536">
        <f>F141/L141</f>
        <v/>
      </c>
      <c r="S141" s="282">
        <f>(Q141-R141)/R141</f>
        <v/>
      </c>
      <c r="T141" s="537" t="n">
        <v>1979</v>
      </c>
      <c r="U141" s="537" t="n"/>
      <c r="V141" s="282">
        <f>(T141-U141)/U141</f>
        <v/>
      </c>
      <c r="W141" s="537" t="n">
        <v>7</v>
      </c>
      <c r="X141" s="537" t="n"/>
      <c r="Y141" s="282">
        <f>(W141-X141)/X141</f>
        <v/>
      </c>
      <c r="Z141" s="537">
        <f>E141/W141</f>
        <v/>
      </c>
      <c r="AA141" s="537">
        <f>F141/X141</f>
        <v/>
      </c>
      <c r="AB141" s="282">
        <f>(Z141-AA141)/AA141</f>
        <v/>
      </c>
      <c r="AC141" s="537" t="n">
        <v>97210</v>
      </c>
      <c r="AD141" s="537" t="n"/>
      <c r="AE141" s="282">
        <f>(AC141-AD141)/AD141</f>
        <v/>
      </c>
      <c r="AF141" s="537" t="n">
        <v>3172</v>
      </c>
      <c r="AG141" s="537" t="n"/>
      <c r="AH141">
        <f>(AF141-AG141)/AG141</f>
        <v/>
      </c>
      <c r="AI141" s="537" t="n">
        <v>177167</v>
      </c>
      <c r="AJ141" s="537" t="n"/>
      <c r="AK141" s="282">
        <f>(AI141-AJ141)/AJ141</f>
        <v/>
      </c>
      <c r="AL141" s="286">
        <f>AF141/AI141</f>
        <v/>
      </c>
      <c r="AM141" s="286">
        <f>AG141/AJ141</f>
        <v/>
      </c>
      <c r="AN141" s="282">
        <f>(AL141-AM141)/AM141</f>
        <v/>
      </c>
    </row>
    <row customHeight="1" ht="15.75" r="142" s="452" spans="1:41">
      <c r="A142" s="279" t="n"/>
      <c r="B142" s="279" t="n"/>
      <c r="C142" s="280" t="n"/>
      <c r="D142" s="280" t="n"/>
      <c r="E142" s="535" t="n"/>
      <c r="F142" s="535" t="n"/>
      <c r="G142" s="282">
        <f>(E142-F142)/F142</f>
        <v/>
      </c>
      <c r="H142" s="535" t="n"/>
      <c r="I142" s="536" t="n"/>
      <c r="J142" s="282">
        <f>(H142-I142)/I142</f>
        <v/>
      </c>
      <c r="K142" s="535">
        <f>H142*1.085</f>
        <v/>
      </c>
      <c r="L142" s="535">
        <f>I142*1.085</f>
        <v/>
      </c>
      <c r="M142" s="282">
        <f>(K142-L142)/L142</f>
        <v/>
      </c>
      <c r="N142" s="536">
        <f>E142/H142</f>
        <v/>
      </c>
      <c r="O142" s="536">
        <f>F142/I142</f>
        <v/>
      </c>
      <c r="P142" s="282">
        <f>(N142-O142)/O142</f>
        <v/>
      </c>
      <c r="Q142" s="536">
        <f>E142/K142</f>
        <v/>
      </c>
      <c r="R142" s="536">
        <f>F142/L142</f>
        <v/>
      </c>
      <c r="S142" s="282">
        <f>(Q142-R142)/R142</f>
        <v/>
      </c>
      <c r="T142" s="537" t="n"/>
      <c r="U142" s="537" t="n"/>
      <c r="V142" s="282">
        <f>(T142-U142)/U142</f>
        <v/>
      </c>
      <c r="W142" s="537" t="n"/>
      <c r="X142" s="537" t="n"/>
      <c r="Y142" s="282">
        <f>(W142-X142)/X142</f>
        <v/>
      </c>
      <c r="Z142" s="537">
        <f>E142/W142</f>
        <v/>
      </c>
      <c r="AA142" s="537">
        <f>F142/X142</f>
        <v/>
      </c>
      <c r="AB142" s="282">
        <f>(Z142-AA142)/AA142</f>
        <v/>
      </c>
      <c r="AC142" s="537" t="n"/>
      <c r="AD142" s="537" t="n"/>
      <c r="AE142" s="282">
        <f>(AC142-AD142)/AD142</f>
        <v/>
      </c>
      <c r="AF142" s="537" t="n"/>
      <c r="AG142" s="537" t="n"/>
      <c r="AH142">
        <f>(AF142-AG142)/AG142</f>
        <v/>
      </c>
      <c r="AI142" s="537" t="n"/>
      <c r="AJ142" s="537" t="n"/>
      <c r="AK142" s="282">
        <f>(AI142-AJ142)/AJ142</f>
        <v/>
      </c>
      <c r="AL142" s="286">
        <f>AF142/AI142</f>
        <v/>
      </c>
      <c r="AM142" s="286">
        <f>AG142/AJ142</f>
        <v/>
      </c>
      <c r="AN142" s="282">
        <f>(AL142-AM142)/AM142</f>
        <v/>
      </c>
    </row>
    <row customHeight="1" ht="15.75" r="143" s="452" spans="1:41">
      <c r="A143" s="279" t="n"/>
      <c r="B143" s="279" t="n"/>
      <c r="C143" s="280" t="n"/>
      <c r="D143" s="280" t="n"/>
      <c r="E143" s="535" t="n"/>
      <c r="F143" s="535" t="n"/>
      <c r="G143" s="282">
        <f>(E143-F143)/F143</f>
        <v/>
      </c>
      <c r="H143" s="535" t="n"/>
      <c r="I143" s="536" t="n"/>
      <c r="J143" s="282">
        <f>(H143-I143)/I143</f>
        <v/>
      </c>
      <c r="K143" s="535">
        <f>H143*1.085</f>
        <v/>
      </c>
      <c r="L143" s="535">
        <f>I143*1.085</f>
        <v/>
      </c>
      <c r="M143" s="282">
        <f>(K143-L143)/L143</f>
        <v/>
      </c>
      <c r="N143" s="536">
        <f>E143/H143</f>
        <v/>
      </c>
      <c r="O143" s="536">
        <f>F143/I143</f>
        <v/>
      </c>
      <c r="P143" s="282">
        <f>(N143-O143)/O143</f>
        <v/>
      </c>
      <c r="Q143" s="536">
        <f>E143/K143</f>
        <v/>
      </c>
      <c r="R143" s="536">
        <f>F143/L143</f>
        <v/>
      </c>
      <c r="S143" s="282">
        <f>(Q143-R143)/R143</f>
        <v/>
      </c>
      <c r="T143" s="537" t="n"/>
      <c r="U143" s="537" t="n"/>
      <c r="V143" s="282">
        <f>(T143-U143)/U143</f>
        <v/>
      </c>
      <c r="W143" s="537" t="n"/>
      <c r="X143" s="537" t="n"/>
      <c r="Y143" s="282">
        <f>(W143-X143)/X143</f>
        <v/>
      </c>
      <c r="Z143" s="537">
        <f>E143/W143</f>
        <v/>
      </c>
      <c r="AA143" s="537">
        <f>F143/X143</f>
        <v/>
      </c>
      <c r="AB143" s="282">
        <f>(Z143-AA143)/AA143</f>
        <v/>
      </c>
      <c r="AC143" s="537" t="n"/>
      <c r="AD143" s="537" t="n"/>
      <c r="AE143" s="282">
        <f>(AC143-AD143)/AD143</f>
        <v/>
      </c>
      <c r="AF143" s="537" t="n"/>
      <c r="AG143" s="537" t="n"/>
      <c r="AH143">
        <f>(AF143-AG143)/AG143</f>
        <v/>
      </c>
      <c r="AI143" s="537" t="n"/>
      <c r="AJ143" s="537" t="n"/>
      <c r="AK143" s="282">
        <f>(AI143-AJ143)/AJ143</f>
        <v/>
      </c>
      <c r="AL143" s="286">
        <f>AF143/AI143</f>
        <v/>
      </c>
      <c r="AM143" s="286">
        <f>AG143/AJ143</f>
        <v/>
      </c>
      <c r="AN143" s="282">
        <f>(AL143-AM143)/AM143</f>
        <v/>
      </c>
    </row>
    <row customHeight="1" ht="15.75" r="144" s="452" spans="1:41">
      <c r="A144" s="279" t="n"/>
      <c r="B144" s="279" t="n"/>
      <c r="C144" s="280" t="n"/>
      <c r="D144" s="280" t="n"/>
      <c r="E144" s="535" t="n"/>
      <c r="F144" s="535" t="n"/>
      <c r="G144" s="282">
        <f>(E144-F144)/F144</f>
        <v/>
      </c>
      <c r="H144" s="535" t="n"/>
      <c r="I144" s="536" t="n"/>
      <c r="J144" s="282">
        <f>(H144-I144)/I144</f>
        <v/>
      </c>
      <c r="K144" s="535">
        <f>H144*1.085</f>
        <v/>
      </c>
      <c r="L144" s="535">
        <f>I144*1.085</f>
        <v/>
      </c>
      <c r="M144" s="282">
        <f>(K144-L144)/L144</f>
        <v/>
      </c>
      <c r="N144" s="536">
        <f>E144/H144</f>
        <v/>
      </c>
      <c r="O144" s="536">
        <f>F144/I144</f>
        <v/>
      </c>
      <c r="P144" s="282">
        <f>(N144-O144)/O144</f>
        <v/>
      </c>
      <c r="Q144" s="536">
        <f>E144/K144</f>
        <v/>
      </c>
      <c r="R144" s="536">
        <f>F144/L144</f>
        <v/>
      </c>
      <c r="S144" s="282">
        <f>(Q144-R144)/R144</f>
        <v/>
      </c>
      <c r="T144" s="537" t="n"/>
      <c r="U144" s="537" t="n"/>
      <c r="V144" s="282">
        <f>(T144-U144)/U144</f>
        <v/>
      </c>
      <c r="W144" s="537" t="n"/>
      <c r="X144" s="537" t="n"/>
      <c r="Y144" s="282">
        <f>(W144-X144)/X144</f>
        <v/>
      </c>
      <c r="Z144" s="537">
        <f>E144/W144</f>
        <v/>
      </c>
      <c r="AA144" s="537">
        <f>F144/X144</f>
        <v/>
      </c>
      <c r="AB144" s="282">
        <f>(Z144-AA144)/AA144</f>
        <v/>
      </c>
      <c r="AC144" s="537" t="n"/>
      <c r="AD144" s="537" t="n"/>
      <c r="AE144" s="282">
        <f>(AC144-AD144)/AD144</f>
        <v/>
      </c>
      <c r="AF144" s="537" t="n"/>
      <c r="AG144" s="537" t="n"/>
      <c r="AH144">
        <f>(AF144-AG144)/AG144</f>
        <v/>
      </c>
      <c r="AI144" s="537" t="n"/>
      <c r="AJ144" s="537" t="n"/>
      <c r="AK144" s="282">
        <f>(AI144-AJ144)/AJ144</f>
        <v/>
      </c>
      <c r="AL144" s="286">
        <f>AF144/AI144</f>
        <v/>
      </c>
      <c r="AM144" s="286">
        <f>AG144/AJ144</f>
        <v/>
      </c>
      <c r="AN144" s="282">
        <f>(AL144-AM144)/AM144</f>
        <v/>
      </c>
    </row>
    <row customFormat="1" customHeight="1" ht="15.75" r="145" s="357" spans="1:41">
      <c r="A145" s="347" t="n"/>
      <c r="B145" s="347" t="n"/>
      <c r="C145" s="348" t="n"/>
      <c r="D145" s="349" t="s">
        <v>177</v>
      </c>
      <c r="E145" s="612" t="n">
        <v>0</v>
      </c>
      <c r="F145" s="612" t="n"/>
      <c r="G145" s="351">
        <f>(E145-F145)/F145</f>
        <v/>
      </c>
      <c r="H145" s="612" t="n"/>
      <c r="I145" s="613" t="n"/>
      <c r="J145" s="351">
        <f>(H145-I145)/I145</f>
        <v/>
      </c>
      <c r="K145" s="612">
        <f>H145*1.085</f>
        <v/>
      </c>
      <c r="L145" s="612">
        <f>I145*1.085</f>
        <v/>
      </c>
      <c r="M145" s="351">
        <f>(K145-L145)/L145</f>
        <v/>
      </c>
      <c r="N145" s="613">
        <f>E145/H145</f>
        <v/>
      </c>
      <c r="O145" s="613">
        <f>F145/I145</f>
        <v/>
      </c>
      <c r="P145" s="351">
        <f>(N145-O145)/O145</f>
        <v/>
      </c>
      <c r="Q145" s="613">
        <f>E145/K145</f>
        <v/>
      </c>
      <c r="R145" s="613">
        <f>F145/L145</f>
        <v/>
      </c>
      <c r="S145" s="351">
        <f>(Q145-R145)/R145</f>
        <v/>
      </c>
      <c r="T145" s="614" t="n">
        <v>196</v>
      </c>
      <c r="U145" s="614" t="n">
        <v>6</v>
      </c>
      <c r="V145" s="351">
        <f>(T145-U145)/U145</f>
        <v/>
      </c>
      <c r="W145" s="614" t="n">
        <v>0</v>
      </c>
      <c r="X145" s="614" t="n">
        <v>0</v>
      </c>
      <c r="Y145" s="351">
        <f>(W145-X145)/X145</f>
        <v/>
      </c>
      <c r="Z145" s="614">
        <f>E145/W145</f>
        <v/>
      </c>
      <c r="AA145" s="614">
        <f>F145/X145</f>
        <v/>
      </c>
      <c r="AB145" s="351">
        <f>(Z145-AA145)/AA145</f>
        <v/>
      </c>
      <c r="AC145" s="614" t="n"/>
      <c r="AD145" s="614" t="n">
        <v>0</v>
      </c>
      <c r="AE145" s="351">
        <f>(AC145-AD145)/AD145</f>
        <v/>
      </c>
      <c r="AF145" s="614" t="n">
        <v>0</v>
      </c>
      <c r="AG145" s="614" t="n">
        <v>0</v>
      </c>
      <c r="AH145" s="357">
        <f>(AF145-AG145)/AG145</f>
        <v/>
      </c>
      <c r="AI145" s="614" t="n">
        <v>0</v>
      </c>
      <c r="AJ145" s="614" t="n">
        <v>0</v>
      </c>
      <c r="AK145" s="351">
        <f>(AI145-AJ145)/AJ145</f>
        <v/>
      </c>
      <c r="AL145" s="356">
        <f>AF145/AI145</f>
        <v/>
      </c>
      <c r="AM145" s="356">
        <f>AG145/AJ145</f>
        <v/>
      </c>
      <c r="AN145" s="351">
        <f>(AL145-AM145)/AM145</f>
        <v/>
      </c>
      <c r="AO145" s="357" t="n"/>
    </row>
    <row customHeight="1" ht="15.75" r="146" s="452" spans="1:41">
      <c r="A146" s="49" t="s">
        <v>46</v>
      </c>
      <c r="B146" s="49" t="s">
        <v>106</v>
      </c>
      <c r="C146" s="50">
        <f>C140+7</f>
        <v/>
      </c>
      <c r="D146" s="50" t="s">
        <v>60</v>
      </c>
      <c r="E146" s="566">
        <f>SUM(E147:E151)</f>
        <v/>
      </c>
      <c r="F146" s="566">
        <f>SUM(F147:F151)</f>
        <v/>
      </c>
      <c r="G146" s="52">
        <f>(E146-F146)/F146</f>
        <v/>
      </c>
      <c r="H146" s="566">
        <f>SUM(H147:H151)</f>
        <v/>
      </c>
      <c r="I146" s="566">
        <f>SUM(I147:I151)</f>
        <v/>
      </c>
      <c r="J146" s="52">
        <f>(H146-I146)/I146</f>
        <v/>
      </c>
      <c r="K146" s="566">
        <f>H146*1.085</f>
        <v/>
      </c>
      <c r="L146" s="566">
        <f>I146*1.085</f>
        <v/>
      </c>
      <c r="M146" s="52">
        <f>(K146-L146)/L146</f>
        <v/>
      </c>
      <c r="N146" s="567">
        <f>E146/H146</f>
        <v/>
      </c>
      <c r="O146" s="567">
        <f>F146/I146</f>
        <v/>
      </c>
      <c r="P146" s="52">
        <f>(N146-O146)/O146</f>
        <v/>
      </c>
      <c r="Q146" s="567">
        <f>E146/K146</f>
        <v/>
      </c>
      <c r="R146" s="567">
        <f>F146/L146</f>
        <v/>
      </c>
      <c r="S146" s="52">
        <f>(Q146-R146)/R146</f>
        <v/>
      </c>
      <c r="T146" s="568">
        <f>SUM(T147:T151)</f>
        <v/>
      </c>
      <c r="U146" s="568">
        <f>SUM(U147:U151)</f>
        <v/>
      </c>
      <c r="V146" s="52">
        <f>(T146-U146)/U146</f>
        <v/>
      </c>
      <c r="W146" s="568">
        <f>SUM(W147:W151)</f>
        <v/>
      </c>
      <c r="X146" s="568">
        <f>SUM(X147:X151)</f>
        <v/>
      </c>
      <c r="Y146" s="52">
        <f>(W146-X146)/X146</f>
        <v/>
      </c>
      <c r="Z146" s="566">
        <f>E146/W146</f>
        <v/>
      </c>
      <c r="AA146" s="568">
        <f>F146/X146</f>
        <v/>
      </c>
      <c r="AB146" s="52">
        <f>(Z146-AA146)/AA146</f>
        <v/>
      </c>
      <c r="AC146" s="568">
        <f>SUM(AC147:AC151)</f>
        <v/>
      </c>
      <c r="AD146" s="568">
        <f>SUM(AD147:AD151)</f>
        <v/>
      </c>
      <c r="AE146" s="52">
        <f>(AC146-AD146)/AD146</f>
        <v/>
      </c>
      <c r="AF146" s="568">
        <f>SUM(AF147:AF151)</f>
        <v/>
      </c>
      <c r="AG146" s="568">
        <f>SUM(AG147:AG151)</f>
        <v/>
      </c>
      <c r="AH146" s="67">
        <f>(AF146-AG146)/AG146</f>
        <v/>
      </c>
      <c r="AI146" s="568">
        <f>SUM(AI147:AI151)</f>
        <v/>
      </c>
      <c r="AJ146" s="568">
        <f>SUM(AJ147:AJ151)</f>
        <v/>
      </c>
      <c r="AK146" s="52">
        <f>(AI146-AJ146)/AJ146</f>
        <v/>
      </c>
      <c r="AL146" s="82">
        <f>AF146/AI146</f>
        <v/>
      </c>
      <c r="AM146" s="82">
        <f>AG146/AJ146</f>
        <v/>
      </c>
      <c r="AN146" s="52">
        <f>(AL146-AM146)/AM146</f>
        <v/>
      </c>
    </row>
    <row customHeight="1" ht="15.75" r="147" s="452" spans="1:41">
      <c r="A147" s="279" t="n"/>
      <c r="B147" s="279" t="n"/>
      <c r="C147" s="280" t="n"/>
      <c r="D147" s="280" t="n"/>
      <c r="E147" s="535" t="n"/>
      <c r="F147" s="535" t="n"/>
      <c r="G147" s="282">
        <f>(E147-F147)/F147</f>
        <v/>
      </c>
      <c r="H147" s="535" t="n"/>
      <c r="I147" s="536" t="n"/>
      <c r="J147" s="282">
        <f>(H147-I147)/I147</f>
        <v/>
      </c>
      <c r="K147" s="535">
        <f>H147*1.085</f>
        <v/>
      </c>
      <c r="L147" s="535">
        <f>I147*1.085</f>
        <v/>
      </c>
      <c r="M147" s="282">
        <f>(K147-L147)/L147</f>
        <v/>
      </c>
      <c r="N147" s="536">
        <f>E147/H147</f>
        <v/>
      </c>
      <c r="O147" s="536">
        <f>F147/I147</f>
        <v/>
      </c>
      <c r="P147" s="282">
        <f>(N147-O147)/O147</f>
        <v/>
      </c>
      <c r="Q147" s="536">
        <f>E147/K147</f>
        <v/>
      </c>
      <c r="R147" s="536">
        <f>F147/L147</f>
        <v/>
      </c>
      <c r="S147" s="282">
        <f>(Q147-R147)/R147</f>
        <v/>
      </c>
      <c r="T147" s="537" t="n"/>
      <c r="U147" s="537" t="n"/>
      <c r="V147" s="282">
        <f>(T147-U147)/U147</f>
        <v/>
      </c>
      <c r="W147" s="537" t="n"/>
      <c r="X147" s="537" t="n"/>
      <c r="Y147" s="282">
        <f>(W147-X147)/X147</f>
        <v/>
      </c>
      <c r="Z147" s="537">
        <f>E147/W147</f>
        <v/>
      </c>
      <c r="AA147" s="537">
        <f>F147/X147</f>
        <v/>
      </c>
      <c r="AB147" s="282">
        <f>(Z147-AA147)/AA147</f>
        <v/>
      </c>
      <c r="AC147" s="537" t="n"/>
      <c r="AD147" s="537" t="n"/>
      <c r="AE147" s="282">
        <f>(AC147-AD147)/AD147</f>
        <v/>
      </c>
      <c r="AF147" s="537" t="n"/>
      <c r="AG147" s="537" t="n"/>
      <c r="AH147">
        <f>(AF147-AG147)/AG147</f>
        <v/>
      </c>
      <c r="AI147" s="537" t="n"/>
      <c r="AJ147" s="537" t="n"/>
      <c r="AK147" s="282">
        <f>(AI147-AJ147)/AJ147</f>
        <v/>
      </c>
      <c r="AL147" s="286">
        <f>AF147/AI147</f>
        <v/>
      </c>
      <c r="AM147" s="286">
        <f>AG147/AJ147</f>
        <v/>
      </c>
      <c r="AN147" s="282">
        <f>(AL147-AM147)/AM147</f>
        <v/>
      </c>
    </row>
    <row customHeight="1" ht="15.75" r="148" s="452" spans="1:41">
      <c r="A148" s="279" t="n"/>
      <c r="B148" s="279" t="n"/>
      <c r="C148" s="280" t="n"/>
      <c r="D148" s="280" t="n"/>
      <c r="E148" s="535" t="n"/>
      <c r="F148" s="535" t="n"/>
      <c r="G148" s="282">
        <f>(E148-F148)/F148</f>
        <v/>
      </c>
      <c r="H148" s="535" t="n"/>
      <c r="I148" s="536" t="n"/>
      <c r="J148" s="282">
        <f>(H148-I148)/I148</f>
        <v/>
      </c>
      <c r="K148" s="535">
        <f>H148*1.085</f>
        <v/>
      </c>
      <c r="L148" s="535">
        <f>I148*1.085</f>
        <v/>
      </c>
      <c r="M148" s="282">
        <f>(K148-L148)/L148</f>
        <v/>
      </c>
      <c r="N148" s="536">
        <f>E148/H148</f>
        <v/>
      </c>
      <c r="O148" s="536">
        <f>F148/I148</f>
        <v/>
      </c>
      <c r="P148" s="282">
        <f>(N148-O148)/O148</f>
        <v/>
      </c>
      <c r="Q148" s="536">
        <f>E148/K148</f>
        <v/>
      </c>
      <c r="R148" s="536">
        <f>F148/L148</f>
        <v/>
      </c>
      <c r="S148" s="282">
        <f>(Q148-R148)/R148</f>
        <v/>
      </c>
      <c r="T148" s="537" t="n"/>
      <c r="U148" s="537" t="n"/>
      <c r="V148" s="282">
        <f>(T148-U148)/U148</f>
        <v/>
      </c>
      <c r="W148" s="537" t="n"/>
      <c r="X148" s="537" t="n"/>
      <c r="Y148" s="282">
        <f>(W148-X148)/X148</f>
        <v/>
      </c>
      <c r="Z148" s="537">
        <f>E148/W148</f>
        <v/>
      </c>
      <c r="AA148" s="537">
        <f>F148/X148</f>
        <v/>
      </c>
      <c r="AB148" s="282">
        <f>(Z148-AA148)/AA148</f>
        <v/>
      </c>
      <c r="AC148" s="537" t="n"/>
      <c r="AD148" s="537" t="n"/>
      <c r="AE148" s="282">
        <f>(AC148-AD148)/AD148</f>
        <v/>
      </c>
      <c r="AF148" s="537" t="n"/>
      <c r="AG148" s="537" t="n"/>
      <c r="AH148">
        <f>(AF148-AG148)/AG148</f>
        <v/>
      </c>
      <c r="AI148" s="537" t="n"/>
      <c r="AJ148" s="537" t="n"/>
      <c r="AK148" s="282">
        <f>(AI148-AJ148)/AJ148</f>
        <v/>
      </c>
      <c r="AL148" s="286">
        <f>AF148/AI148</f>
        <v/>
      </c>
      <c r="AM148" s="286">
        <f>AG148/AJ148</f>
        <v/>
      </c>
      <c r="AN148" s="282">
        <f>(AL148-AM148)/AM148</f>
        <v/>
      </c>
    </row>
    <row customHeight="1" ht="15.75" r="149" s="452" spans="1:41">
      <c r="A149" s="279" t="n"/>
      <c r="B149" s="279" t="n"/>
      <c r="C149" s="280" t="n"/>
      <c r="D149" s="280" t="n"/>
      <c r="E149" s="535" t="n"/>
      <c r="F149" s="535" t="n"/>
      <c r="G149" s="282">
        <f>(E149-F149)/F149</f>
        <v/>
      </c>
      <c r="H149" s="535" t="n"/>
      <c r="I149" s="536" t="n"/>
      <c r="J149" s="282">
        <f>(H149-I149)/I149</f>
        <v/>
      </c>
      <c r="K149" s="535">
        <f>H149*1.085</f>
        <v/>
      </c>
      <c r="L149" s="535">
        <f>I149*1.085</f>
        <v/>
      </c>
      <c r="M149" s="282">
        <f>(K149-L149)/L149</f>
        <v/>
      </c>
      <c r="N149" s="536">
        <f>E149/H149</f>
        <v/>
      </c>
      <c r="O149" s="536">
        <f>F149/I149</f>
        <v/>
      </c>
      <c r="P149" s="282">
        <f>(N149-O149)/O149</f>
        <v/>
      </c>
      <c r="Q149" s="536">
        <f>E149/K149</f>
        <v/>
      </c>
      <c r="R149" s="536">
        <f>F149/L149</f>
        <v/>
      </c>
      <c r="S149" s="282">
        <f>(Q149-R149)/R149</f>
        <v/>
      </c>
      <c r="T149" s="537" t="n"/>
      <c r="U149" s="537" t="n"/>
      <c r="V149" s="282">
        <f>(T149-U149)/U149</f>
        <v/>
      </c>
      <c r="W149" s="537" t="n"/>
      <c r="X149" s="537" t="n"/>
      <c r="Y149" s="282">
        <f>(W149-X149)/X149</f>
        <v/>
      </c>
      <c r="Z149" s="537">
        <f>E149/W149</f>
        <v/>
      </c>
      <c r="AA149" s="537">
        <f>F149/X149</f>
        <v/>
      </c>
      <c r="AB149" s="282">
        <f>(Z149-AA149)/AA149</f>
        <v/>
      </c>
      <c r="AC149" s="537" t="n"/>
      <c r="AD149" s="537" t="n"/>
      <c r="AE149" s="282">
        <f>(AC149-AD149)/AD149</f>
        <v/>
      </c>
      <c r="AF149" s="537" t="n"/>
      <c r="AG149" s="537" t="n"/>
      <c r="AH149">
        <f>(AF149-AG149)/AG149</f>
        <v/>
      </c>
      <c r="AI149" s="537" t="n"/>
      <c r="AJ149" s="537" t="n"/>
      <c r="AK149" s="282">
        <f>(AI149-AJ149)/AJ149</f>
        <v/>
      </c>
      <c r="AL149" s="286">
        <f>AF149/AI149</f>
        <v/>
      </c>
      <c r="AM149" s="286">
        <f>AG149/AJ149</f>
        <v/>
      </c>
      <c r="AN149" s="282">
        <f>(AL149-AM149)/AM149</f>
        <v/>
      </c>
    </row>
    <row customHeight="1" ht="15.75" r="150" s="452" spans="1:41">
      <c r="A150" s="279" t="n"/>
      <c r="B150" s="279" t="n"/>
      <c r="C150" s="280" t="n"/>
      <c r="D150" s="280" t="n"/>
      <c r="E150" s="535" t="n"/>
      <c r="F150" s="535" t="n"/>
      <c r="G150" s="282">
        <f>(E150-F150)/F150</f>
        <v/>
      </c>
      <c r="H150" s="535" t="n"/>
      <c r="I150" s="536" t="n"/>
      <c r="J150" s="282">
        <f>(H150-I150)/I150</f>
        <v/>
      </c>
      <c r="K150" s="535">
        <f>H150*1.085</f>
        <v/>
      </c>
      <c r="L150" s="535">
        <f>I150*1.085</f>
        <v/>
      </c>
      <c r="M150" s="282">
        <f>(K150-L150)/L150</f>
        <v/>
      </c>
      <c r="N150" s="536">
        <f>E150/H150</f>
        <v/>
      </c>
      <c r="O150" s="536">
        <f>F150/I150</f>
        <v/>
      </c>
      <c r="P150" s="282">
        <f>(N150-O150)/O150</f>
        <v/>
      </c>
      <c r="Q150" s="536">
        <f>E150/K150</f>
        <v/>
      </c>
      <c r="R150" s="536">
        <f>F150/L150</f>
        <v/>
      </c>
      <c r="S150" s="282">
        <f>(Q150-R150)/R150</f>
        <v/>
      </c>
      <c r="T150" s="537" t="n"/>
      <c r="U150" s="537" t="n"/>
      <c r="V150" s="282">
        <f>(T150-U150)/U150</f>
        <v/>
      </c>
      <c r="W150" s="537" t="n"/>
      <c r="X150" s="537" t="n"/>
      <c r="Y150" s="282">
        <f>(W150-X150)/X150</f>
        <v/>
      </c>
      <c r="Z150" s="537">
        <f>E150/W150</f>
        <v/>
      </c>
      <c r="AA150" s="537">
        <f>F150/X150</f>
        <v/>
      </c>
      <c r="AB150" s="282">
        <f>(Z150-AA150)/AA150</f>
        <v/>
      </c>
      <c r="AC150" s="537" t="n"/>
      <c r="AD150" s="537" t="n"/>
      <c r="AE150" s="282">
        <f>(AC150-AD150)/AD150</f>
        <v/>
      </c>
      <c r="AF150" s="537" t="n"/>
      <c r="AG150" s="537" t="n"/>
      <c r="AH150">
        <f>(AF150-AG150)/AG150</f>
        <v/>
      </c>
      <c r="AI150" s="537" t="n"/>
      <c r="AJ150" s="537" t="n"/>
      <c r="AK150" s="282">
        <f>(AI150-AJ150)/AJ150</f>
        <v/>
      </c>
      <c r="AL150" s="286">
        <f>AF150/AI150</f>
        <v/>
      </c>
      <c r="AM150" s="286">
        <f>AG150/AJ150</f>
        <v/>
      </c>
      <c r="AN150" s="282">
        <f>(AL150-AM150)/AM150</f>
        <v/>
      </c>
    </row>
    <row customHeight="1" ht="15.75" r="151" s="452" spans="1:41">
      <c r="A151" s="279" t="n"/>
      <c r="B151" s="279" t="n"/>
      <c r="C151" s="280" t="n"/>
      <c r="D151" s="297" t="s">
        <v>177</v>
      </c>
      <c r="E151" s="535" t="n">
        <v>0</v>
      </c>
      <c r="F151" s="535" t="n">
        <v>0</v>
      </c>
      <c r="G151" s="282">
        <f>(E151-F151)/F151</f>
        <v/>
      </c>
      <c r="H151" s="535" t="n">
        <v>0</v>
      </c>
      <c r="I151" s="536" t="n">
        <v>0</v>
      </c>
      <c r="J151" s="282">
        <f>(H151-I151)/I151</f>
        <v/>
      </c>
      <c r="K151" s="535">
        <f>H151*1.085</f>
        <v/>
      </c>
      <c r="L151" s="535">
        <f>I151*1.085</f>
        <v/>
      </c>
      <c r="M151" s="282">
        <f>(K151-L151)/L151</f>
        <v/>
      </c>
      <c r="N151" s="536">
        <f>E151/H151</f>
        <v/>
      </c>
      <c r="O151" s="536">
        <f>F151/I151</f>
        <v/>
      </c>
      <c r="P151" s="282">
        <f>(N151-O151)/O151</f>
        <v/>
      </c>
      <c r="Q151" s="536">
        <f>E151/K151</f>
        <v/>
      </c>
      <c r="R151" s="536">
        <f>F151/L151</f>
        <v/>
      </c>
      <c r="S151" s="282">
        <f>(Q151-R151)/R151</f>
        <v/>
      </c>
      <c r="T151" s="537" t="n">
        <v>50</v>
      </c>
      <c r="U151" s="537" t="n">
        <v>0</v>
      </c>
      <c r="V151" s="282">
        <f>(T151-U151)/U151</f>
        <v/>
      </c>
      <c r="W151" s="537" t="n">
        <v>0</v>
      </c>
      <c r="X151" s="537" t="n">
        <v>0</v>
      </c>
      <c r="Y151" s="282">
        <f>(W151-X151)/X151</f>
        <v/>
      </c>
      <c r="Z151" s="537">
        <f>E151/W151</f>
        <v/>
      </c>
      <c r="AA151" s="537">
        <f>F151/X151</f>
        <v/>
      </c>
      <c r="AB151" s="282">
        <f>(Z151-AA151)/AA151</f>
        <v/>
      </c>
      <c r="AC151" s="537" t="n">
        <v>0</v>
      </c>
      <c r="AD151" s="537" t="n">
        <v>0</v>
      </c>
      <c r="AE151" s="282">
        <f>(AC151-AD151)/AD151</f>
        <v/>
      </c>
      <c r="AF151" s="537" t="n"/>
      <c r="AG151" s="537" t="n"/>
      <c r="AH151">
        <f>(AF151-AG151)/AG151</f>
        <v/>
      </c>
      <c r="AI151" s="537" t="n"/>
      <c r="AJ151" s="537" t="n"/>
      <c r="AK151" s="282">
        <f>(AI151-AJ151)/AJ151</f>
        <v/>
      </c>
      <c r="AL151" s="286">
        <f>AF151/AI151</f>
        <v/>
      </c>
      <c r="AM151" s="286">
        <f>AG151/AJ151</f>
        <v/>
      </c>
      <c r="AN151" s="282">
        <f>(AL151-AM151)/AM151</f>
        <v/>
      </c>
    </row>
    <row customHeight="1" ht="15.75" r="152" s="452" spans="1:41">
      <c r="A152" s="49" t="s">
        <v>46</v>
      </c>
      <c r="B152" s="49" t="s">
        <v>108</v>
      </c>
      <c r="C152" s="50">
        <f>C146+7</f>
        <v/>
      </c>
      <c r="D152" s="50" t="s">
        <v>60</v>
      </c>
      <c r="E152" s="566">
        <f>SUM(E153:E157)</f>
        <v/>
      </c>
      <c r="F152" s="566">
        <f>SUM(F153:F157)</f>
        <v/>
      </c>
      <c r="G152" s="52">
        <f>(E152-F152)/F152</f>
        <v/>
      </c>
      <c r="H152" s="566">
        <f>SUM(H153:H157)</f>
        <v/>
      </c>
      <c r="I152" s="566">
        <f>SUM(I153:I157)</f>
        <v/>
      </c>
      <c r="J152" s="52">
        <f>(H152-I152)/I152</f>
        <v/>
      </c>
      <c r="K152" s="566">
        <f>H152*1.085</f>
        <v/>
      </c>
      <c r="L152" s="566">
        <f>I152*1.085</f>
        <v/>
      </c>
      <c r="M152" s="52">
        <f>(K152-L152)/L152</f>
        <v/>
      </c>
      <c r="N152" s="567">
        <f>E152/H152</f>
        <v/>
      </c>
      <c r="O152" s="567">
        <f>F152/I152</f>
        <v/>
      </c>
      <c r="P152" s="52">
        <f>(N152-O152)/O152</f>
        <v/>
      </c>
      <c r="Q152" s="567">
        <f>E152/K152</f>
        <v/>
      </c>
      <c r="R152" s="567">
        <f>F152/L152</f>
        <v/>
      </c>
      <c r="S152" s="52">
        <f>(Q152-R152)/R152</f>
        <v/>
      </c>
      <c r="T152" s="568">
        <f>SUM(T153:T157)</f>
        <v/>
      </c>
      <c r="U152" s="568">
        <f>SUM(U153:U157)</f>
        <v/>
      </c>
      <c r="V152" s="52">
        <f>(T152-U152)/U152</f>
        <v/>
      </c>
      <c r="W152" s="568">
        <f>SUM(W153:W157)</f>
        <v/>
      </c>
      <c r="X152" s="568">
        <f>SUM(X153:X157)</f>
        <v/>
      </c>
      <c r="Y152" s="52">
        <f>(W152-X152)/X152</f>
        <v/>
      </c>
      <c r="Z152" s="566">
        <f>E152/W152</f>
        <v/>
      </c>
      <c r="AA152" s="568">
        <f>F152/X152</f>
        <v/>
      </c>
      <c r="AB152" s="52">
        <f>(Z152-AA152)/AA152</f>
        <v/>
      </c>
      <c r="AC152" s="568">
        <f>SUM(AC153:AC157)</f>
        <v/>
      </c>
      <c r="AD152" s="568">
        <f>SUM(AD153:AD157)</f>
        <v/>
      </c>
      <c r="AE152" s="52">
        <f>(AC152-AD152)/AD152</f>
        <v/>
      </c>
      <c r="AF152" s="568">
        <f>SUM(AF153:AF157)</f>
        <v/>
      </c>
      <c r="AG152" s="568">
        <f>SUM(AG153:AG157)</f>
        <v/>
      </c>
      <c r="AH152" s="67">
        <f>(AF152-AG152)/AG152</f>
        <v/>
      </c>
      <c r="AI152" s="568">
        <f>SUM(AI153:AI157)</f>
        <v/>
      </c>
      <c r="AJ152" s="568">
        <f>SUM(AJ153:AJ157)</f>
        <v/>
      </c>
      <c r="AK152" s="52">
        <f>(AI152-AJ152)/AJ152</f>
        <v/>
      </c>
      <c r="AL152" s="82">
        <f>AF152/AI152</f>
        <v/>
      </c>
      <c r="AM152" s="82">
        <f>AG152/AJ152</f>
        <v/>
      </c>
      <c r="AN152" s="52">
        <f>(AL152-AM152)/AM152</f>
        <v/>
      </c>
      <c r="AO152" t="s">
        <v>182</v>
      </c>
    </row>
    <row customHeight="1" ht="15.75" r="153" s="452" spans="1:41">
      <c r="A153" s="279" t="n"/>
      <c r="B153" s="279" t="n"/>
      <c r="C153" s="280" t="n"/>
      <c r="D153" s="297" t="s">
        <v>182</v>
      </c>
      <c r="E153" s="535" t="n">
        <v>0</v>
      </c>
      <c r="F153" s="535" t="n">
        <v>0</v>
      </c>
      <c r="G153" s="282">
        <f>(E153-F153)/F153</f>
        <v/>
      </c>
      <c r="H153" s="535" t="n">
        <v>5526</v>
      </c>
      <c r="I153" s="536" t="n"/>
      <c r="J153" s="282">
        <f>(H153-I153)/I153</f>
        <v/>
      </c>
      <c r="K153" s="535">
        <f>H153*1.085</f>
        <v/>
      </c>
      <c r="L153" s="535">
        <f>I153*1.085</f>
        <v/>
      </c>
      <c r="M153" s="282">
        <f>(K153-L153)/L153</f>
        <v/>
      </c>
      <c r="N153" s="536">
        <f>E153/H153</f>
        <v/>
      </c>
      <c r="O153" s="536">
        <f>F153/I153</f>
        <v/>
      </c>
      <c r="P153" s="282">
        <f>(N153-O153)/O153</f>
        <v/>
      </c>
      <c r="Q153" s="536">
        <f>E153/K153</f>
        <v/>
      </c>
      <c r="R153" s="536">
        <f>F153/L153</f>
        <v/>
      </c>
      <c r="S153" s="282">
        <f>(Q153-R153)/R153</f>
        <v/>
      </c>
      <c r="T153" s="537" t="n">
        <v>0</v>
      </c>
      <c r="U153" s="537" t="n"/>
      <c r="V153" s="282">
        <f>(T153-U153)/U153</f>
        <v/>
      </c>
      <c r="W153" s="537" t="n"/>
      <c r="X153" s="537" t="n"/>
      <c r="Y153" s="282">
        <f>(W153-X153)/X153</f>
        <v/>
      </c>
      <c r="Z153" s="537">
        <f>E153/W153</f>
        <v/>
      </c>
      <c r="AA153" s="537">
        <f>F153/X153</f>
        <v/>
      </c>
      <c r="AB153" s="282">
        <f>(Z153-AA153)/AA153</f>
        <v/>
      </c>
      <c r="AC153" s="537" t="n">
        <v>182670</v>
      </c>
      <c r="AD153" s="537" t="n"/>
      <c r="AE153" s="282">
        <f>(AC153-AD153)/AD153</f>
        <v/>
      </c>
      <c r="AF153" s="537" t="n">
        <v>5488</v>
      </c>
      <c r="AG153" s="537" t="n"/>
      <c r="AH153">
        <f>(AF153-AG153)/AG153</f>
        <v/>
      </c>
      <c r="AI153" s="537" t="n">
        <v>571766</v>
      </c>
      <c r="AJ153" s="537" t="n"/>
      <c r="AK153" s="282">
        <f>(AI153-AJ153)/AJ153</f>
        <v/>
      </c>
      <c r="AL153" s="286">
        <f>AF153/AI153</f>
        <v/>
      </c>
      <c r="AM153" s="286">
        <f>AG153/AJ153</f>
        <v/>
      </c>
      <c r="AN153" s="282">
        <f>(AL153-AM153)/AM153</f>
        <v/>
      </c>
    </row>
    <row customHeight="1" ht="15.75" r="154" s="452" spans="1:41">
      <c r="A154" s="279" t="n"/>
      <c r="B154" s="279" t="n"/>
      <c r="C154" s="280" t="n"/>
      <c r="D154" s="280" t="n"/>
      <c r="E154" s="535" t="n"/>
      <c r="F154" s="535" t="n"/>
      <c r="G154" s="282">
        <f>(E154-F154)/F154</f>
        <v/>
      </c>
      <c r="H154" s="535" t="n"/>
      <c r="I154" s="536" t="n"/>
      <c r="J154" s="282">
        <f>(H154-I154)/I154</f>
        <v/>
      </c>
      <c r="K154" s="535">
        <f>H154*1.085</f>
        <v/>
      </c>
      <c r="L154" s="535">
        <f>I154*1.085</f>
        <v/>
      </c>
      <c r="M154" s="282">
        <f>(K154-L154)/L154</f>
        <v/>
      </c>
      <c r="N154" s="536">
        <f>E154/H154</f>
        <v/>
      </c>
      <c r="O154" s="536">
        <f>F154/I154</f>
        <v/>
      </c>
      <c r="P154" s="282">
        <f>(N154-O154)/O154</f>
        <v/>
      </c>
      <c r="Q154" s="536">
        <f>E154/K154</f>
        <v/>
      </c>
      <c r="R154" s="536">
        <f>F154/L154</f>
        <v/>
      </c>
      <c r="S154" s="282">
        <f>(Q154-R154)/R154</f>
        <v/>
      </c>
      <c r="T154" s="537" t="n"/>
      <c r="U154" s="537" t="n"/>
      <c r="V154" s="282">
        <f>(T154-U154)/U154</f>
        <v/>
      </c>
      <c r="W154" s="537" t="n"/>
      <c r="X154" s="537" t="n"/>
      <c r="Y154" s="282">
        <f>(W154-X154)/X154</f>
        <v/>
      </c>
      <c r="Z154" s="537">
        <f>E154/W154</f>
        <v/>
      </c>
      <c r="AA154" s="537">
        <f>F154/X154</f>
        <v/>
      </c>
      <c r="AB154" s="282">
        <f>(Z154-AA154)/AA154</f>
        <v/>
      </c>
      <c r="AC154" s="537" t="n"/>
      <c r="AD154" s="537" t="n"/>
      <c r="AE154" s="282">
        <f>(AC154-AD154)/AD154</f>
        <v/>
      </c>
      <c r="AF154" s="537" t="n"/>
      <c r="AG154" s="537" t="n"/>
      <c r="AH154">
        <f>(AF154-AG154)/AG154</f>
        <v/>
      </c>
      <c r="AI154" s="537" t="n"/>
      <c r="AJ154" s="537" t="n"/>
      <c r="AK154" s="282">
        <f>(AI154-AJ154)/AJ154</f>
        <v/>
      </c>
      <c r="AL154" s="286">
        <f>AF154/AI154</f>
        <v/>
      </c>
      <c r="AM154" s="286">
        <f>AG154/AJ154</f>
        <v/>
      </c>
      <c r="AN154" s="282">
        <f>(AL154-AM154)/AM154</f>
        <v/>
      </c>
    </row>
    <row customHeight="1" ht="15.75" r="155" s="452" spans="1:41">
      <c r="A155" s="279" t="n"/>
      <c r="B155" s="279" t="n"/>
      <c r="C155" s="280" t="n"/>
      <c r="D155" s="280" t="n"/>
      <c r="E155" s="535" t="n"/>
      <c r="F155" s="535" t="n"/>
      <c r="G155" s="282">
        <f>(E155-F155)/F155</f>
        <v/>
      </c>
      <c r="H155" s="535" t="n"/>
      <c r="I155" s="536" t="n"/>
      <c r="J155" s="282">
        <f>(H155-I155)/I155</f>
        <v/>
      </c>
      <c r="K155" s="535">
        <f>H155*1.085</f>
        <v/>
      </c>
      <c r="L155" s="535">
        <f>I155*1.085</f>
        <v/>
      </c>
      <c r="M155" s="282">
        <f>(K155-L155)/L155</f>
        <v/>
      </c>
      <c r="N155" s="536">
        <f>E155/H155</f>
        <v/>
      </c>
      <c r="O155" s="536">
        <f>F155/I155</f>
        <v/>
      </c>
      <c r="P155" s="282">
        <f>(N155-O155)/O155</f>
        <v/>
      </c>
      <c r="Q155" s="536">
        <f>E155/K155</f>
        <v/>
      </c>
      <c r="R155" s="536">
        <f>F155/L155</f>
        <v/>
      </c>
      <c r="S155" s="282">
        <f>(Q155-R155)/R155</f>
        <v/>
      </c>
      <c r="T155" s="537" t="n"/>
      <c r="U155" s="537" t="n"/>
      <c r="V155" s="282">
        <f>(T155-U155)/U155</f>
        <v/>
      </c>
      <c r="W155" s="537" t="n"/>
      <c r="X155" s="537" t="n"/>
      <c r="Y155" s="282">
        <f>(W155-X155)/X155</f>
        <v/>
      </c>
      <c r="Z155" s="537">
        <f>E155/W155</f>
        <v/>
      </c>
      <c r="AA155" s="537">
        <f>F155/X155</f>
        <v/>
      </c>
      <c r="AB155" s="282">
        <f>(Z155-AA155)/AA155</f>
        <v/>
      </c>
      <c r="AC155" s="537" t="n"/>
      <c r="AD155" s="537" t="n"/>
      <c r="AE155" s="282">
        <f>(AC155-AD155)/AD155</f>
        <v/>
      </c>
      <c r="AF155" s="537" t="n"/>
      <c r="AG155" s="537" t="n"/>
      <c r="AH155">
        <f>(AF155-AG155)/AG155</f>
        <v/>
      </c>
      <c r="AI155" s="537" t="n"/>
      <c r="AJ155" s="537" t="n"/>
      <c r="AK155" s="282">
        <f>(AI155-AJ155)/AJ155</f>
        <v/>
      </c>
      <c r="AL155" s="286">
        <f>AF155/AI155</f>
        <v/>
      </c>
      <c r="AM155" s="286">
        <f>AG155/AJ155</f>
        <v/>
      </c>
      <c r="AN155" s="282">
        <f>(AL155-AM155)/AM155</f>
        <v/>
      </c>
    </row>
    <row customHeight="1" ht="15.75" r="156" s="452" spans="1:41">
      <c r="A156" s="279" t="n"/>
      <c r="B156" s="279" t="n"/>
      <c r="C156" s="280" t="n"/>
      <c r="D156" s="280" t="n"/>
      <c r="E156" s="535" t="n"/>
      <c r="F156" s="535" t="n"/>
      <c r="G156" s="282">
        <f>(E156-F156)/F156</f>
        <v/>
      </c>
      <c r="H156" s="535" t="n"/>
      <c r="I156" s="536" t="n"/>
      <c r="J156" s="282">
        <f>(H156-I156)/I156</f>
        <v/>
      </c>
      <c r="K156" s="535">
        <f>H156*1.085</f>
        <v/>
      </c>
      <c r="L156" s="535">
        <f>I156*1.085</f>
        <v/>
      </c>
      <c r="M156" s="282">
        <f>(K156-L156)/L156</f>
        <v/>
      </c>
      <c r="N156" s="536">
        <f>E156/H156</f>
        <v/>
      </c>
      <c r="O156" s="536">
        <f>F156/I156</f>
        <v/>
      </c>
      <c r="P156" s="282">
        <f>(N156-O156)/O156</f>
        <v/>
      </c>
      <c r="Q156" s="536">
        <f>E156/K156</f>
        <v/>
      </c>
      <c r="R156" s="536">
        <f>F156/L156</f>
        <v/>
      </c>
      <c r="S156" s="282">
        <f>(Q156-R156)/R156</f>
        <v/>
      </c>
      <c r="T156" s="537" t="n"/>
      <c r="U156" s="537" t="n"/>
      <c r="V156" s="282">
        <f>(T156-U156)/U156</f>
        <v/>
      </c>
      <c r="W156" s="537" t="n"/>
      <c r="X156" s="537" t="n"/>
      <c r="Y156" s="282">
        <f>(W156-X156)/X156</f>
        <v/>
      </c>
      <c r="Z156" s="537">
        <f>E156/W156</f>
        <v/>
      </c>
      <c r="AA156" s="537">
        <f>F156/X156</f>
        <v/>
      </c>
      <c r="AB156" s="282">
        <f>(Z156-AA156)/AA156</f>
        <v/>
      </c>
      <c r="AC156" s="537" t="n"/>
      <c r="AD156" s="537" t="n"/>
      <c r="AE156" s="282">
        <f>(AC156-AD156)/AD156</f>
        <v/>
      </c>
      <c r="AF156" s="537" t="n"/>
      <c r="AG156" s="537" t="n"/>
      <c r="AH156">
        <f>(AF156-AG156)/AG156</f>
        <v/>
      </c>
      <c r="AI156" s="537" t="n"/>
      <c r="AJ156" s="537" t="n"/>
      <c r="AK156" s="282">
        <f>(AI156-AJ156)/AJ156</f>
        <v/>
      </c>
      <c r="AL156" s="286">
        <f>AF156/AI156</f>
        <v/>
      </c>
      <c r="AM156" s="286">
        <f>AG156/AJ156</f>
        <v/>
      </c>
      <c r="AN156" s="282">
        <f>(AL156-AM156)/AM156</f>
        <v/>
      </c>
    </row>
    <row customHeight="1" ht="15.75" r="157" s="452" spans="1:41">
      <c r="A157" s="279" t="n"/>
      <c r="B157" s="279" t="n"/>
      <c r="C157" s="280" t="n"/>
      <c r="D157" s="297" t="s">
        <v>177</v>
      </c>
      <c r="E157" s="535" t="n">
        <v>0</v>
      </c>
      <c r="F157" s="535" t="n">
        <v>0</v>
      </c>
      <c r="G157" s="282">
        <f>(E157-F157)/F157</f>
        <v/>
      </c>
      <c r="H157" s="535" t="n">
        <v>0</v>
      </c>
      <c r="I157" s="536" t="n"/>
      <c r="J157" s="282">
        <f>(H157-I157)/I157</f>
        <v/>
      </c>
      <c r="K157" s="535">
        <f>H157*1.085</f>
        <v/>
      </c>
      <c r="L157" s="535">
        <f>I157*1.085</f>
        <v/>
      </c>
      <c r="M157" s="282">
        <f>(K157-L157)/L157</f>
        <v/>
      </c>
      <c r="N157" s="536">
        <f>E157/H157</f>
        <v/>
      </c>
      <c r="O157" s="536">
        <f>F157/I157</f>
        <v/>
      </c>
      <c r="P157" s="282">
        <f>(N157-O157)/O157</f>
        <v/>
      </c>
      <c r="Q157" s="536">
        <f>E157/K157</f>
        <v/>
      </c>
      <c r="R157" s="536">
        <f>F157/L157</f>
        <v/>
      </c>
      <c r="S157" s="282">
        <f>(Q157-R157)/R157</f>
        <v/>
      </c>
      <c r="T157" s="537" t="n">
        <v>94</v>
      </c>
      <c r="U157" s="537" t="n">
        <v>0</v>
      </c>
      <c r="V157" s="282">
        <f>(T157-U157)/U157</f>
        <v/>
      </c>
      <c r="W157" s="537" t="n">
        <v>0</v>
      </c>
      <c r="X157" s="537" t="n">
        <v>0</v>
      </c>
      <c r="Y157" s="282">
        <f>(W157-X157)/X157</f>
        <v/>
      </c>
      <c r="Z157" s="537">
        <f>E157/W157</f>
        <v/>
      </c>
      <c r="AA157" s="537">
        <f>F157/X157</f>
        <v/>
      </c>
      <c r="AB157" s="282">
        <f>(Z157-AA157)/AA157</f>
        <v/>
      </c>
      <c r="AC157" s="537" t="n">
        <v>0</v>
      </c>
      <c r="AD157" s="537" t="n"/>
      <c r="AE157" s="282">
        <f>(AC157-AD157)/AD157</f>
        <v/>
      </c>
      <c r="AF157" s="537" t="n">
        <v>0</v>
      </c>
      <c r="AG157" s="537" t="n"/>
      <c r="AH157">
        <f>(AF157-AG157)/AG157</f>
        <v/>
      </c>
      <c r="AI157" s="537" t="n">
        <v>0</v>
      </c>
      <c r="AJ157" s="537" t="n"/>
      <c r="AK157" s="282">
        <f>(AI157-AJ157)/AJ157</f>
        <v/>
      </c>
      <c r="AL157" s="286">
        <f>AF157/AI157</f>
        <v/>
      </c>
      <c r="AM157" s="286">
        <f>AG157/AJ157</f>
        <v/>
      </c>
      <c r="AN157" s="282">
        <f>(AL157-AM157)/AM157</f>
        <v/>
      </c>
    </row>
    <row customHeight="1" ht="15.75" r="158" s="452" spans="1:41">
      <c r="A158" s="49" t="s">
        <v>46</v>
      </c>
      <c r="B158" s="49" t="s">
        <v>109</v>
      </c>
      <c r="C158" s="50">
        <f>C152+7</f>
        <v/>
      </c>
      <c r="D158" s="50" t="s">
        <v>60</v>
      </c>
      <c r="E158" s="566">
        <f>SUM(E159:E163)</f>
        <v/>
      </c>
      <c r="F158" s="566">
        <f>SUM(F159:F163)</f>
        <v/>
      </c>
      <c r="G158" s="52">
        <f>(E158-F158)/F158</f>
        <v/>
      </c>
      <c r="H158" s="566">
        <f>SUM(H159:H163)</f>
        <v/>
      </c>
      <c r="I158" s="566">
        <f>SUM(I159:I163)</f>
        <v/>
      </c>
      <c r="J158" s="52">
        <f>(H158-I158)/I158</f>
        <v/>
      </c>
      <c r="K158" s="566">
        <f>H158*1.085</f>
        <v/>
      </c>
      <c r="L158" s="566">
        <f>I158*1.085</f>
        <v/>
      </c>
      <c r="M158" s="52">
        <f>(K158-L158)/L158</f>
        <v/>
      </c>
      <c r="N158" s="567">
        <f>E158/H158</f>
        <v/>
      </c>
      <c r="O158" s="567">
        <f>F158/I158</f>
        <v/>
      </c>
      <c r="P158" s="52">
        <f>(N158-O158)/O158</f>
        <v/>
      </c>
      <c r="Q158" s="567">
        <f>E158/K158</f>
        <v/>
      </c>
      <c r="R158" s="567">
        <f>F158/L158</f>
        <v/>
      </c>
      <c r="S158" s="52">
        <f>(Q158-R158)/R158</f>
        <v/>
      </c>
      <c r="T158" s="568">
        <f>SUM(T159:T163)</f>
        <v/>
      </c>
      <c r="U158" s="568">
        <f>SUM(U159:U163)</f>
        <v/>
      </c>
      <c r="V158" s="52">
        <f>(T158-U158)/U158</f>
        <v/>
      </c>
      <c r="W158" s="568">
        <f>SUM(W159:W163)</f>
        <v/>
      </c>
      <c r="X158" s="568">
        <f>SUM(X159:X163)</f>
        <v/>
      </c>
      <c r="Y158" s="52">
        <f>(W158-X158)/X158</f>
        <v/>
      </c>
      <c r="Z158" s="566">
        <f>E158/W158</f>
        <v/>
      </c>
      <c r="AA158" s="568">
        <f>F158/X158</f>
        <v/>
      </c>
      <c r="AB158" s="52">
        <f>(Z158-AA158)/AA158</f>
        <v/>
      </c>
      <c r="AC158" s="568">
        <f>SUM(AC159:AC163)</f>
        <v/>
      </c>
      <c r="AD158" s="568">
        <f>SUM(AD159:AD163)</f>
        <v/>
      </c>
      <c r="AE158" s="52">
        <f>(AC158-AD158)/AD158</f>
        <v/>
      </c>
      <c r="AF158" s="568">
        <f>SUM(AF159:AF163)</f>
        <v/>
      </c>
      <c r="AG158" s="568">
        <f>SUM(AG159:AG163)</f>
        <v/>
      </c>
      <c r="AH158" s="67">
        <f>(AF158-AG158)/AG158</f>
        <v/>
      </c>
      <c r="AI158" s="568">
        <f>SUM(AI159:AI163)</f>
        <v/>
      </c>
      <c r="AJ158" s="568">
        <f>SUM(AJ159:AJ163)</f>
        <v/>
      </c>
      <c r="AK158" s="52">
        <f>(AI158-AJ158)/AJ158</f>
        <v/>
      </c>
      <c r="AL158" s="82">
        <f>AF158/AI158</f>
        <v/>
      </c>
      <c r="AM158" s="82">
        <f>AG158/AJ158</f>
        <v/>
      </c>
      <c r="AN158" s="52">
        <f>(AL158-AM158)/AM158</f>
        <v/>
      </c>
    </row>
    <row customHeight="1" ht="15.75" r="159" s="452" spans="1:41">
      <c r="A159" s="279" t="n"/>
      <c r="B159" s="279" t="n"/>
      <c r="C159" s="280" t="n"/>
      <c r="D159" s="280" t="n"/>
      <c r="E159" s="535" t="n"/>
      <c r="F159" s="535" t="n"/>
      <c r="G159" s="282">
        <f>(E159-F159)/F159</f>
        <v/>
      </c>
      <c r="H159" s="535" t="n"/>
      <c r="I159" s="536" t="n"/>
      <c r="J159" s="282">
        <f>(H159-I159)/I159</f>
        <v/>
      </c>
      <c r="K159" s="535">
        <f>H159*1.085</f>
        <v/>
      </c>
      <c r="L159" s="535">
        <f>I159*1.085</f>
        <v/>
      </c>
      <c r="M159" s="282">
        <f>(K159-L159)/L159</f>
        <v/>
      </c>
      <c r="N159" s="536">
        <f>E159/H159</f>
        <v/>
      </c>
      <c r="O159" s="536">
        <f>F159/I159</f>
        <v/>
      </c>
      <c r="P159" s="282">
        <f>(N159-O159)/O159</f>
        <v/>
      </c>
      <c r="Q159" s="536">
        <f>E159/K159</f>
        <v/>
      </c>
      <c r="R159" s="536">
        <f>F159/L159</f>
        <v/>
      </c>
      <c r="S159" s="282">
        <f>(Q159-R159)/R159</f>
        <v/>
      </c>
      <c r="T159" s="537" t="n"/>
      <c r="U159" s="537" t="n"/>
      <c r="V159" s="282">
        <f>(T159-U159)/U159</f>
        <v/>
      </c>
      <c r="W159" s="537" t="n"/>
      <c r="X159" s="537" t="n"/>
      <c r="Y159" s="282">
        <f>(W159-X159)/X159</f>
        <v/>
      </c>
      <c r="Z159" s="537">
        <f>E159/W159</f>
        <v/>
      </c>
      <c r="AA159" s="537">
        <f>F159/X159</f>
        <v/>
      </c>
      <c r="AB159" s="282">
        <f>(Z159-AA159)/AA159</f>
        <v/>
      </c>
      <c r="AC159" s="537" t="n"/>
      <c r="AD159" s="537" t="n"/>
      <c r="AE159" s="282">
        <f>(AC159-AD159)/AD159</f>
        <v/>
      </c>
      <c r="AF159" s="537" t="n"/>
      <c r="AG159" s="537" t="n"/>
      <c r="AH159">
        <f>(AF159-AG159)/AG159</f>
        <v/>
      </c>
      <c r="AI159" s="537" t="n"/>
      <c r="AJ159" s="537" t="n"/>
      <c r="AK159" s="282">
        <f>(AI159-AJ159)/AJ159</f>
        <v/>
      </c>
      <c r="AL159" s="286">
        <f>AF159/AI159</f>
        <v/>
      </c>
      <c r="AM159" s="286">
        <f>AG159/AJ159</f>
        <v/>
      </c>
      <c r="AN159" s="282">
        <f>(AL159-AM159)/AM159</f>
        <v/>
      </c>
    </row>
    <row customHeight="1" ht="15.75" r="160" s="452" spans="1:41">
      <c r="A160" s="279" t="n"/>
      <c r="B160" s="279" t="n"/>
      <c r="C160" s="280" t="n"/>
      <c r="D160" s="280" t="n"/>
      <c r="E160" s="535" t="n"/>
      <c r="F160" s="535" t="n"/>
      <c r="G160" s="282">
        <f>(E160-F160)/F160</f>
        <v/>
      </c>
      <c r="H160" s="535" t="n"/>
      <c r="I160" s="536" t="n"/>
      <c r="J160" s="282">
        <f>(H160-I160)/I160</f>
        <v/>
      </c>
      <c r="K160" s="535">
        <f>H160*1.085</f>
        <v/>
      </c>
      <c r="L160" s="535">
        <f>I160*1.085</f>
        <v/>
      </c>
      <c r="M160" s="282">
        <f>(K160-L160)/L160</f>
        <v/>
      </c>
      <c r="N160" s="536">
        <f>E160/H160</f>
        <v/>
      </c>
      <c r="O160" s="536">
        <f>F160/I160</f>
        <v/>
      </c>
      <c r="P160" s="282">
        <f>(N160-O160)/O160</f>
        <v/>
      </c>
      <c r="Q160" s="536">
        <f>E160/K160</f>
        <v/>
      </c>
      <c r="R160" s="536">
        <f>F160/L160</f>
        <v/>
      </c>
      <c r="S160" s="282">
        <f>(Q160-R160)/R160</f>
        <v/>
      </c>
      <c r="T160" s="537" t="n"/>
      <c r="U160" s="537" t="n"/>
      <c r="V160" s="282">
        <f>(T160-U160)/U160</f>
        <v/>
      </c>
      <c r="W160" s="537" t="n"/>
      <c r="X160" s="537" t="n"/>
      <c r="Y160" s="282">
        <f>(W160-X160)/X160</f>
        <v/>
      </c>
      <c r="Z160" s="537">
        <f>E160/W160</f>
        <v/>
      </c>
      <c r="AA160" s="537">
        <f>F160/X160</f>
        <v/>
      </c>
      <c r="AB160" s="282">
        <f>(Z160-AA160)/AA160</f>
        <v/>
      </c>
      <c r="AC160" s="537" t="n"/>
      <c r="AD160" s="537" t="n"/>
      <c r="AE160" s="282">
        <f>(AC160-AD160)/AD160</f>
        <v/>
      </c>
      <c r="AF160" s="537" t="n"/>
      <c r="AG160" s="537" t="n"/>
      <c r="AH160">
        <f>(AF160-AG160)/AG160</f>
        <v/>
      </c>
      <c r="AI160" s="537" t="n"/>
      <c r="AJ160" s="537" t="n"/>
      <c r="AK160" s="282">
        <f>(AI160-AJ160)/AJ160</f>
        <v/>
      </c>
      <c r="AL160" s="286">
        <f>AF160/AI160</f>
        <v/>
      </c>
      <c r="AM160" s="286">
        <f>AG160/AJ160</f>
        <v/>
      </c>
      <c r="AN160" s="282">
        <f>(AL160-AM160)/AM160</f>
        <v/>
      </c>
    </row>
    <row customHeight="1" ht="15.75" r="161" s="452" spans="1:41">
      <c r="A161" s="279" t="n"/>
      <c r="B161" s="279" t="n"/>
      <c r="C161" s="280" t="n"/>
      <c r="D161" s="280" t="n"/>
      <c r="E161" s="535" t="n"/>
      <c r="F161" s="535" t="n"/>
      <c r="G161" s="282">
        <f>(E161-F161)/F161</f>
        <v/>
      </c>
      <c r="H161" s="535" t="n"/>
      <c r="I161" s="536" t="n"/>
      <c r="J161" s="282">
        <f>(H161-I161)/I161</f>
        <v/>
      </c>
      <c r="K161" s="535">
        <f>H161*1.085</f>
        <v/>
      </c>
      <c r="L161" s="535">
        <f>I161*1.085</f>
        <v/>
      </c>
      <c r="M161" s="282">
        <f>(K161-L161)/L161</f>
        <v/>
      </c>
      <c r="N161" s="536">
        <f>E161/H161</f>
        <v/>
      </c>
      <c r="O161" s="536">
        <f>F161/I161</f>
        <v/>
      </c>
      <c r="P161" s="282">
        <f>(N161-O161)/O161</f>
        <v/>
      </c>
      <c r="Q161" s="536">
        <f>E161/K161</f>
        <v/>
      </c>
      <c r="R161" s="536">
        <f>F161/L161</f>
        <v/>
      </c>
      <c r="S161" s="282">
        <f>(Q161-R161)/R161</f>
        <v/>
      </c>
      <c r="T161" s="537" t="n"/>
      <c r="U161" s="537" t="n"/>
      <c r="V161" s="282">
        <f>(T161-U161)/U161</f>
        <v/>
      </c>
      <c r="W161" s="537" t="n"/>
      <c r="X161" s="537" t="n"/>
      <c r="Y161" s="282">
        <f>(W161-X161)/X161</f>
        <v/>
      </c>
      <c r="Z161" s="537">
        <f>E161/W161</f>
        <v/>
      </c>
      <c r="AA161" s="537">
        <f>F161/X161</f>
        <v/>
      </c>
      <c r="AB161" s="282">
        <f>(Z161-AA161)/AA161</f>
        <v/>
      </c>
      <c r="AC161" s="537" t="n"/>
      <c r="AD161" s="537" t="n"/>
      <c r="AE161" s="282">
        <f>(AC161-AD161)/AD161</f>
        <v/>
      </c>
      <c r="AF161" s="537" t="n"/>
      <c r="AG161" s="537" t="n"/>
      <c r="AH161">
        <f>(AF161-AG161)/AG161</f>
        <v/>
      </c>
      <c r="AI161" s="537" t="n"/>
      <c r="AJ161" s="537" t="n"/>
      <c r="AK161" s="282">
        <f>(AI161-AJ161)/AJ161</f>
        <v/>
      </c>
      <c r="AL161" s="286">
        <f>AF161/AI161</f>
        <v/>
      </c>
      <c r="AM161" s="286">
        <f>AG161/AJ161</f>
        <v/>
      </c>
      <c r="AN161" s="282">
        <f>(AL161-AM161)/AM161</f>
        <v/>
      </c>
    </row>
    <row customHeight="1" ht="15.75" r="162" s="452" spans="1:41">
      <c r="A162" s="279" t="n"/>
      <c r="B162" s="279" t="n"/>
      <c r="C162" s="280" t="n"/>
      <c r="D162" s="280" t="n"/>
      <c r="E162" s="535" t="n"/>
      <c r="F162" s="535" t="n"/>
      <c r="G162" s="282">
        <f>(E162-F162)/F162</f>
        <v/>
      </c>
      <c r="H162" s="535" t="n"/>
      <c r="I162" s="536" t="n"/>
      <c r="J162" s="282">
        <f>(H162-I162)/I162</f>
        <v/>
      </c>
      <c r="K162" s="535">
        <f>H162*1.085</f>
        <v/>
      </c>
      <c r="L162" s="535">
        <f>I162*1.085</f>
        <v/>
      </c>
      <c r="M162" s="282">
        <f>(K162-L162)/L162</f>
        <v/>
      </c>
      <c r="N162" s="536">
        <f>E162/H162</f>
        <v/>
      </c>
      <c r="O162" s="536">
        <f>F162/I162</f>
        <v/>
      </c>
      <c r="P162" s="282">
        <f>(N162-O162)/O162</f>
        <v/>
      </c>
      <c r="Q162" s="536">
        <f>E162/K162</f>
        <v/>
      </c>
      <c r="R162" s="536">
        <f>F162/L162</f>
        <v/>
      </c>
      <c r="S162" s="282">
        <f>(Q162-R162)/R162</f>
        <v/>
      </c>
      <c r="T162" s="537" t="n"/>
      <c r="U162" s="537" t="n"/>
      <c r="V162" s="282">
        <f>(T162-U162)/U162</f>
        <v/>
      </c>
      <c r="W162" s="537" t="n"/>
      <c r="X162" s="537" t="n"/>
      <c r="Y162" s="282">
        <f>(W162-X162)/X162</f>
        <v/>
      </c>
      <c r="Z162" s="537">
        <f>E162/W162</f>
        <v/>
      </c>
      <c r="AA162" s="537">
        <f>F162/X162</f>
        <v/>
      </c>
      <c r="AB162" s="282">
        <f>(Z162-AA162)/AA162</f>
        <v/>
      </c>
      <c r="AC162" s="537" t="n"/>
      <c r="AD162" s="537" t="n"/>
      <c r="AE162" s="282">
        <f>(AC162-AD162)/AD162</f>
        <v/>
      </c>
      <c r="AF162" s="537" t="n"/>
      <c r="AG162" s="537" t="n"/>
      <c r="AH162">
        <f>(AF162-AG162)/AG162</f>
        <v/>
      </c>
      <c r="AI162" s="537" t="n"/>
      <c r="AJ162" s="537" t="n"/>
      <c r="AK162" s="282">
        <f>(AI162-AJ162)/AJ162</f>
        <v/>
      </c>
      <c r="AL162" s="286">
        <f>AF162/AI162</f>
        <v/>
      </c>
      <c r="AM162" s="286">
        <f>AG162/AJ162</f>
        <v/>
      </c>
      <c r="AN162" s="282">
        <f>(AL162-AM162)/AM162</f>
        <v/>
      </c>
    </row>
    <row customHeight="1" ht="15.75" r="163" s="452" spans="1:41">
      <c r="A163" s="279" t="n"/>
      <c r="B163" s="279" t="n"/>
      <c r="C163" s="280" t="n"/>
      <c r="D163" s="297" t="s">
        <v>177</v>
      </c>
      <c r="E163" s="535" t="n">
        <v>0</v>
      </c>
      <c r="F163" s="535" t="n">
        <v>0</v>
      </c>
      <c r="G163" s="282">
        <f>(E163-F163)/F163</f>
        <v/>
      </c>
      <c r="H163" s="535" t="n">
        <v>0</v>
      </c>
      <c r="I163" s="536" t="n">
        <v>0</v>
      </c>
      <c r="J163" s="282">
        <f>(H163-I163)/I163</f>
        <v/>
      </c>
      <c r="K163" s="535">
        <f>H163*1.085</f>
        <v/>
      </c>
      <c r="L163" s="535">
        <f>I163*1.085</f>
        <v/>
      </c>
      <c r="M163" s="282">
        <f>(K163-L163)/L163</f>
        <v/>
      </c>
      <c r="N163" s="536">
        <f>E163/H163</f>
        <v/>
      </c>
      <c r="O163" s="536">
        <f>F163/I163</f>
        <v/>
      </c>
      <c r="P163" s="282">
        <f>(N163-O163)/O163</f>
        <v/>
      </c>
      <c r="Q163" s="536">
        <f>E163/K163</f>
        <v/>
      </c>
      <c r="R163" s="536">
        <f>F163/L163</f>
        <v/>
      </c>
      <c r="S163" s="282">
        <f>(Q163-R163)/R163</f>
        <v/>
      </c>
      <c r="T163" s="537" t="n">
        <v>40</v>
      </c>
      <c r="U163" s="537" t="n">
        <v>0</v>
      </c>
      <c r="V163" s="282">
        <f>(T163-U163)/U163</f>
        <v/>
      </c>
      <c r="W163" s="537" t="n">
        <v>0</v>
      </c>
      <c r="X163" s="537" t="n">
        <v>0</v>
      </c>
      <c r="Y163" s="282">
        <f>(W163-X163)/X163</f>
        <v/>
      </c>
      <c r="Z163" s="537">
        <f>E163/W163</f>
        <v/>
      </c>
      <c r="AA163" s="537">
        <f>F163/X163</f>
        <v/>
      </c>
      <c r="AB163" s="282">
        <f>(Z163-AA163)/AA163</f>
        <v/>
      </c>
      <c r="AC163" s="537" t="n">
        <v>0</v>
      </c>
      <c r="AD163" s="537" t="n"/>
      <c r="AE163" s="282">
        <f>(AC163-AD163)/AD163</f>
        <v/>
      </c>
      <c r="AF163" s="537" t="n"/>
      <c r="AG163" s="537" t="n"/>
      <c r="AH163">
        <f>(AF163-AG163)/AG163</f>
        <v/>
      </c>
      <c r="AI163" s="537" t="n"/>
      <c r="AJ163" s="537" t="n"/>
      <c r="AK163" s="282">
        <f>(AI163-AJ163)/AJ163</f>
        <v/>
      </c>
      <c r="AL163" s="286">
        <f>AF163/AI163</f>
        <v/>
      </c>
      <c r="AM163" s="286">
        <f>AG163/AJ163</f>
        <v/>
      </c>
      <c r="AN163" s="282">
        <f>(AL163-AM163)/AM163</f>
        <v/>
      </c>
    </row>
    <row customHeight="1" ht="15.75" r="164" s="452" spans="1:41">
      <c r="A164" s="49" t="s">
        <v>46</v>
      </c>
      <c r="B164" s="49" t="s">
        <v>110</v>
      </c>
      <c r="C164" s="50">
        <f>C158+7</f>
        <v/>
      </c>
      <c r="D164" s="50" t="s">
        <v>60</v>
      </c>
      <c r="E164" s="566">
        <f>SUM(E165:E169)</f>
        <v/>
      </c>
      <c r="F164" s="566">
        <f>SUM(F165:F169)</f>
        <v/>
      </c>
      <c r="G164" s="52">
        <f>(E164-F164)/F164</f>
        <v/>
      </c>
      <c r="H164" s="566">
        <f>SUM(H165:H169)</f>
        <v/>
      </c>
      <c r="I164" s="566">
        <f>SUM(I165:I169)</f>
        <v/>
      </c>
      <c r="J164" s="52">
        <f>(H164-I164)/I164</f>
        <v/>
      </c>
      <c r="K164" s="566">
        <f>H164*1.085</f>
        <v/>
      </c>
      <c r="L164" s="566">
        <f>I164*1.085</f>
        <v/>
      </c>
      <c r="M164" s="52">
        <f>(K164-L164)/L164</f>
        <v/>
      </c>
      <c r="N164" s="567">
        <f>E164/H164</f>
        <v/>
      </c>
      <c r="O164" s="567">
        <f>F164/I164</f>
        <v/>
      </c>
      <c r="P164" s="52">
        <f>(N164-O164)/O164</f>
        <v/>
      </c>
      <c r="Q164" s="567">
        <f>E164/K164</f>
        <v/>
      </c>
      <c r="R164" s="567">
        <f>F164/L164</f>
        <v/>
      </c>
      <c r="S164" s="52">
        <f>(Q164-R164)/R164</f>
        <v/>
      </c>
      <c r="T164" s="568">
        <f>SUM(T165:T169)</f>
        <v/>
      </c>
      <c r="U164" s="568">
        <f>SUM(U165:U169)</f>
        <v/>
      </c>
      <c r="V164" s="52">
        <f>(T164-U164)/U164</f>
        <v/>
      </c>
      <c r="W164" s="568">
        <f>SUM(W165:W169)</f>
        <v/>
      </c>
      <c r="X164" s="568">
        <f>SUM(X165:X169)</f>
        <v/>
      </c>
      <c r="Y164" s="52">
        <f>(W164-X164)/X164</f>
        <v/>
      </c>
      <c r="Z164" s="566">
        <f>E164/W164</f>
        <v/>
      </c>
      <c r="AA164" s="568">
        <f>F164/X164</f>
        <v/>
      </c>
      <c r="AB164" s="52">
        <f>(Z164-AA164)/AA164</f>
        <v/>
      </c>
      <c r="AC164" s="568">
        <f>SUM(AC165:AC169)</f>
        <v/>
      </c>
      <c r="AD164" s="568">
        <f>SUM(AD165:AD169)</f>
        <v/>
      </c>
      <c r="AE164" s="52">
        <f>(AC164-AD164)/AD164</f>
        <v/>
      </c>
      <c r="AF164" s="568">
        <f>SUM(AF165:AF169)</f>
        <v/>
      </c>
      <c r="AG164" s="568">
        <f>SUM(AG165:AG169)</f>
        <v/>
      </c>
      <c r="AH164" s="67">
        <f>(AF164-AG164)/AG164</f>
        <v/>
      </c>
      <c r="AI164" s="568">
        <f>SUM(AI165:AI169)</f>
        <v/>
      </c>
      <c r="AJ164" s="568">
        <f>SUM(AJ165:AJ169)</f>
        <v/>
      </c>
      <c r="AK164" s="52">
        <f>(AI164-AJ164)/AJ164</f>
        <v/>
      </c>
      <c r="AL164" s="82">
        <f>AF164/AI164</f>
        <v/>
      </c>
      <c r="AM164" s="82">
        <f>AG164/AJ164</f>
        <v/>
      </c>
      <c r="AN164" s="52">
        <f>(AL164-AM164)/AM164</f>
        <v/>
      </c>
    </row>
    <row customHeight="1" ht="15.75" r="165" s="452" spans="1:41">
      <c r="A165" s="279" t="n"/>
      <c r="B165" s="279" t="n"/>
      <c r="C165" s="280" t="n"/>
      <c r="D165" s="280" t="n"/>
      <c r="E165" s="535" t="n"/>
      <c r="F165" s="535" t="n"/>
      <c r="G165" s="282">
        <f>(E165-F165)/F165</f>
        <v/>
      </c>
      <c r="H165" s="535" t="n"/>
      <c r="I165" s="536" t="n"/>
      <c r="J165" s="282">
        <f>(H165-I165)/I165</f>
        <v/>
      </c>
      <c r="K165" s="535">
        <f>H165*1.085</f>
        <v/>
      </c>
      <c r="L165" s="535">
        <f>I165*1.085</f>
        <v/>
      </c>
      <c r="M165" s="282">
        <f>(K165-L165)/L165</f>
        <v/>
      </c>
      <c r="N165" s="536">
        <f>E165/H165</f>
        <v/>
      </c>
      <c r="O165" s="536">
        <f>F165/I165</f>
        <v/>
      </c>
      <c r="P165" s="282">
        <f>(N165-O165)/O165</f>
        <v/>
      </c>
      <c r="Q165" s="536">
        <f>E165/K165</f>
        <v/>
      </c>
      <c r="R165" s="536">
        <f>F165/L165</f>
        <v/>
      </c>
      <c r="S165" s="282">
        <f>(Q165-R165)/R165</f>
        <v/>
      </c>
      <c r="T165" s="537" t="n"/>
      <c r="U165" s="537" t="n"/>
      <c r="V165" s="282">
        <f>(T165-U165)/U165</f>
        <v/>
      </c>
      <c r="W165" s="537" t="n"/>
      <c r="X165" s="537" t="n"/>
      <c r="Y165" s="282">
        <f>(W165-X165)/X165</f>
        <v/>
      </c>
      <c r="Z165" s="537">
        <f>E165/W165</f>
        <v/>
      </c>
      <c r="AA165" s="537">
        <f>F165/X165</f>
        <v/>
      </c>
      <c r="AB165" s="282">
        <f>(Z165-AA165)/AA165</f>
        <v/>
      </c>
      <c r="AC165" s="537" t="n"/>
      <c r="AD165" s="537" t="n"/>
      <c r="AE165" s="282">
        <f>(AC165-AD165)/AD165</f>
        <v/>
      </c>
      <c r="AF165" s="537" t="n"/>
      <c r="AG165" s="537" t="n"/>
      <c r="AH165">
        <f>(AF165-AG165)/AG165</f>
        <v/>
      </c>
      <c r="AI165" s="537" t="n"/>
      <c r="AJ165" s="537" t="n"/>
      <c r="AK165" s="282">
        <f>(AI165-AJ165)/AJ165</f>
        <v/>
      </c>
      <c r="AL165" s="286">
        <f>AF165/AI165</f>
        <v/>
      </c>
      <c r="AM165" s="286">
        <f>AG165/AJ165</f>
        <v/>
      </c>
      <c r="AN165" s="282">
        <f>(AL165-AM165)/AM165</f>
        <v/>
      </c>
    </row>
    <row customHeight="1" ht="15.75" r="166" s="452" spans="1:41">
      <c r="A166" s="279" t="n"/>
      <c r="B166" s="279" t="n"/>
      <c r="C166" s="280" t="n"/>
      <c r="D166" s="280" t="n"/>
      <c r="E166" s="535" t="n"/>
      <c r="F166" s="535" t="n"/>
      <c r="G166" s="282">
        <f>(E166-F166)/F166</f>
        <v/>
      </c>
      <c r="H166" s="535" t="n"/>
      <c r="I166" s="536" t="n"/>
      <c r="J166" s="282">
        <f>(H166-I166)/I166</f>
        <v/>
      </c>
      <c r="K166" s="535">
        <f>H166*1.085</f>
        <v/>
      </c>
      <c r="L166" s="535">
        <f>I166*1.085</f>
        <v/>
      </c>
      <c r="M166" s="282">
        <f>(K166-L166)/L166</f>
        <v/>
      </c>
      <c r="N166" s="536">
        <f>E166/H166</f>
        <v/>
      </c>
      <c r="O166" s="536">
        <f>F166/I166</f>
        <v/>
      </c>
      <c r="P166" s="282">
        <f>(N166-O166)/O166</f>
        <v/>
      </c>
      <c r="Q166" s="536">
        <f>E166/K166</f>
        <v/>
      </c>
      <c r="R166" s="536">
        <f>F166/L166</f>
        <v/>
      </c>
      <c r="S166" s="282">
        <f>(Q166-R166)/R166</f>
        <v/>
      </c>
      <c r="T166" s="537" t="n"/>
      <c r="U166" s="537" t="n"/>
      <c r="V166" s="282">
        <f>(T166-U166)/U166</f>
        <v/>
      </c>
      <c r="W166" s="537" t="n"/>
      <c r="X166" s="537" t="n"/>
      <c r="Y166" s="282">
        <f>(W166-X166)/X166</f>
        <v/>
      </c>
      <c r="Z166" s="537">
        <f>E166/W166</f>
        <v/>
      </c>
      <c r="AA166" s="537">
        <f>F166/X166</f>
        <v/>
      </c>
      <c r="AB166" s="282">
        <f>(Z166-AA166)/AA166</f>
        <v/>
      </c>
      <c r="AC166" s="537" t="n"/>
      <c r="AD166" s="537" t="n"/>
      <c r="AE166" s="282">
        <f>(AC166-AD166)/AD166</f>
        <v/>
      </c>
      <c r="AF166" s="537" t="n"/>
      <c r="AG166" s="537" t="n"/>
      <c r="AH166">
        <f>(AF166-AG166)/AG166</f>
        <v/>
      </c>
      <c r="AI166" s="537" t="n"/>
      <c r="AJ166" s="537" t="n"/>
      <c r="AK166" s="282">
        <f>(AI166-AJ166)/AJ166</f>
        <v/>
      </c>
      <c r="AL166" s="286">
        <f>AF166/AI166</f>
        <v/>
      </c>
      <c r="AM166" s="286">
        <f>AG166/AJ166</f>
        <v/>
      </c>
      <c r="AN166" s="282">
        <f>(AL166-AM166)/AM166</f>
        <v/>
      </c>
    </row>
    <row customHeight="1" ht="15.75" r="167" s="452" spans="1:41">
      <c r="A167" s="279" t="n"/>
      <c r="B167" s="279" t="n"/>
      <c r="C167" s="280" t="n"/>
      <c r="D167" s="280" t="n"/>
      <c r="E167" s="535" t="n"/>
      <c r="F167" s="535" t="n"/>
      <c r="G167" s="282">
        <f>(E167-F167)/F167</f>
        <v/>
      </c>
      <c r="H167" s="535" t="n"/>
      <c r="I167" s="536" t="n"/>
      <c r="J167" s="282">
        <f>(H167-I167)/I167</f>
        <v/>
      </c>
      <c r="K167" s="535">
        <f>H167*1.085</f>
        <v/>
      </c>
      <c r="L167" s="535">
        <f>I167*1.085</f>
        <v/>
      </c>
      <c r="M167" s="282">
        <f>(K167-L167)/L167</f>
        <v/>
      </c>
      <c r="N167" s="536">
        <f>E167/H167</f>
        <v/>
      </c>
      <c r="O167" s="536">
        <f>F167/I167</f>
        <v/>
      </c>
      <c r="P167" s="282">
        <f>(N167-O167)/O167</f>
        <v/>
      </c>
      <c r="Q167" s="536">
        <f>E167/K167</f>
        <v/>
      </c>
      <c r="R167" s="536">
        <f>F167/L167</f>
        <v/>
      </c>
      <c r="S167" s="282">
        <f>(Q167-R167)/R167</f>
        <v/>
      </c>
      <c r="T167" s="537" t="n"/>
      <c r="U167" s="537" t="n"/>
      <c r="V167" s="282">
        <f>(T167-U167)/U167</f>
        <v/>
      </c>
      <c r="W167" s="537" t="n"/>
      <c r="X167" s="537" t="n"/>
      <c r="Y167" s="282">
        <f>(W167-X167)/X167</f>
        <v/>
      </c>
      <c r="Z167" s="537">
        <f>E167/W167</f>
        <v/>
      </c>
      <c r="AA167" s="537">
        <f>F167/X167</f>
        <v/>
      </c>
      <c r="AB167" s="282">
        <f>(Z167-AA167)/AA167</f>
        <v/>
      </c>
      <c r="AC167" s="537" t="n"/>
      <c r="AD167" s="537" t="n"/>
      <c r="AE167" s="282">
        <f>(AC167-AD167)/AD167</f>
        <v/>
      </c>
      <c r="AF167" s="537" t="n"/>
      <c r="AG167" s="537" t="n"/>
      <c r="AH167">
        <f>(AF167-AG167)/AG167</f>
        <v/>
      </c>
      <c r="AI167" s="537" t="n"/>
      <c r="AJ167" s="537" t="n"/>
      <c r="AK167" s="282">
        <f>(AI167-AJ167)/AJ167</f>
        <v/>
      </c>
      <c r="AL167" s="286">
        <f>AF167/AI167</f>
        <v/>
      </c>
      <c r="AM167" s="286">
        <f>AG167/AJ167</f>
        <v/>
      </c>
      <c r="AN167" s="282">
        <f>(AL167-AM167)/AM167</f>
        <v/>
      </c>
    </row>
    <row customHeight="1" ht="15.75" r="168" s="452" spans="1:41">
      <c r="A168" s="279" t="n"/>
      <c r="B168" s="279" t="n"/>
      <c r="C168" s="280" t="n"/>
      <c r="D168" s="280" t="n"/>
      <c r="E168" s="535" t="n"/>
      <c r="F168" s="535" t="n"/>
      <c r="G168" s="282">
        <f>(E168-F168)/F168</f>
        <v/>
      </c>
      <c r="H168" s="535" t="n"/>
      <c r="I168" s="536" t="n"/>
      <c r="J168" s="282">
        <f>(H168-I168)/I168</f>
        <v/>
      </c>
      <c r="K168" s="535">
        <f>H168*1.085</f>
        <v/>
      </c>
      <c r="L168" s="535">
        <f>I168*1.085</f>
        <v/>
      </c>
      <c r="M168" s="282">
        <f>(K168-L168)/L168</f>
        <v/>
      </c>
      <c r="N168" s="536">
        <f>E168/H168</f>
        <v/>
      </c>
      <c r="O168" s="536">
        <f>F168/I168</f>
        <v/>
      </c>
      <c r="P168" s="282">
        <f>(N168-O168)/O168</f>
        <v/>
      </c>
      <c r="Q168" s="536">
        <f>E168/K168</f>
        <v/>
      </c>
      <c r="R168" s="536">
        <f>F168/L168</f>
        <v/>
      </c>
      <c r="S168" s="282">
        <f>(Q168-R168)/R168</f>
        <v/>
      </c>
      <c r="T168" s="537" t="n"/>
      <c r="U168" s="537" t="n"/>
      <c r="V168" s="282">
        <f>(T168-U168)/U168</f>
        <v/>
      </c>
      <c r="W168" s="537" t="n"/>
      <c r="X168" s="537" t="n"/>
      <c r="Y168" s="282">
        <f>(W168-X168)/X168</f>
        <v/>
      </c>
      <c r="Z168" s="537">
        <f>E168/W168</f>
        <v/>
      </c>
      <c r="AA168" s="537">
        <f>F168/X168</f>
        <v/>
      </c>
      <c r="AB168" s="282">
        <f>(Z168-AA168)/AA168</f>
        <v/>
      </c>
      <c r="AC168" s="537" t="n"/>
      <c r="AD168" s="537" t="n"/>
      <c r="AE168" s="282">
        <f>(AC168-AD168)/AD168</f>
        <v/>
      </c>
      <c r="AF168" s="537" t="n"/>
      <c r="AG168" s="537" t="n"/>
      <c r="AH168">
        <f>(AF168-AG168)/AG168</f>
        <v/>
      </c>
      <c r="AI168" s="537" t="n"/>
      <c r="AJ168" s="537" t="n"/>
      <c r="AK168" s="282">
        <f>(AI168-AJ168)/AJ168</f>
        <v/>
      </c>
      <c r="AL168" s="286">
        <f>AF168/AI168</f>
        <v/>
      </c>
      <c r="AM168" s="286">
        <f>AG168/AJ168</f>
        <v/>
      </c>
      <c r="AN168" s="282">
        <f>(AL168-AM168)/AM168</f>
        <v/>
      </c>
    </row>
    <row customFormat="1" customHeight="1" ht="15.75" r="169" s="357" spans="1:41">
      <c r="A169" s="347" t="n"/>
      <c r="B169" s="347" t="n"/>
      <c r="C169" s="348" t="n"/>
      <c r="D169" s="349" t="s">
        <v>177</v>
      </c>
      <c r="E169" s="612" t="n">
        <v>0</v>
      </c>
      <c r="F169" s="612" t="n">
        <v>692</v>
      </c>
      <c r="G169" s="351">
        <f>(E169-F169)/F169</f>
        <v/>
      </c>
      <c r="H169" s="612" t="n">
        <v>0</v>
      </c>
      <c r="I169" s="613" t="n">
        <v>4108.17</v>
      </c>
      <c r="J169" s="351">
        <f>(H169-I169)/I169</f>
        <v/>
      </c>
      <c r="K169" s="612">
        <f>H169*1.085</f>
        <v/>
      </c>
      <c r="L169" s="612">
        <f>I169*1.085</f>
        <v/>
      </c>
      <c r="M169" s="351">
        <f>(K169-L169)/L169</f>
        <v/>
      </c>
      <c r="N169" s="613">
        <f>E169/H169</f>
        <v/>
      </c>
      <c r="O169" s="613">
        <f>F169/I169</f>
        <v/>
      </c>
      <c r="P169" s="351">
        <f>(N169-O169)/O169</f>
        <v/>
      </c>
      <c r="Q169" s="613">
        <f>E169/K169</f>
        <v/>
      </c>
      <c r="R169" s="613">
        <f>F169/L169</f>
        <v/>
      </c>
      <c r="S169" s="351">
        <f>(Q169-R169)/R169</f>
        <v/>
      </c>
      <c r="T169" s="614" t="n">
        <v>34</v>
      </c>
      <c r="U169" s="614" t="n">
        <v>2205</v>
      </c>
      <c r="V169" s="351">
        <f>(T169-U169)/U169</f>
        <v/>
      </c>
      <c r="W169" s="614" t="n">
        <v>0</v>
      </c>
      <c r="X169" s="614" t="n">
        <v>7</v>
      </c>
      <c r="Y169" s="351">
        <f>(W169-X169)/X169</f>
        <v/>
      </c>
      <c r="Z169" s="614">
        <f>E169/W169</f>
        <v/>
      </c>
      <c r="AA169" s="614">
        <f>F169/X169</f>
        <v/>
      </c>
      <c r="AB169" s="351">
        <f>(Z169-AA169)/AA169</f>
        <v/>
      </c>
      <c r="AC169" s="614" t="n">
        <v>0</v>
      </c>
      <c r="AD169" s="614" t="n">
        <v>333432</v>
      </c>
      <c r="AE169" s="351">
        <f>(AC169-AD169)/AD169</f>
        <v/>
      </c>
      <c r="AF169" s="614" t="n">
        <v>0</v>
      </c>
      <c r="AG169" s="614" t="n">
        <v>3442</v>
      </c>
      <c r="AH169" s="357">
        <f>(AF169-AG169)/AG169</f>
        <v/>
      </c>
      <c r="AI169" s="614" t="n">
        <v>0</v>
      </c>
      <c r="AJ169" s="614" t="n">
        <v>867680</v>
      </c>
      <c r="AK169" s="351">
        <f>(AI169-AJ169)/AJ169</f>
        <v/>
      </c>
      <c r="AL169" s="356">
        <f>AF169/AI169</f>
        <v/>
      </c>
      <c r="AM169" s="356">
        <f>AG169/AJ169</f>
        <v/>
      </c>
      <c r="AN169" s="351">
        <f>(AL169-AM169)/AM169</f>
        <v/>
      </c>
      <c r="AO169" s="357" t="n"/>
    </row>
    <row customHeight="1" ht="15.75" r="170" s="452" spans="1:41">
      <c r="A170" s="49" t="s">
        <v>47</v>
      </c>
      <c r="B170" s="49" t="s">
        <v>111</v>
      </c>
      <c r="C170" s="50">
        <f>C164+7</f>
        <v/>
      </c>
      <c r="D170" s="50" t="s">
        <v>60</v>
      </c>
      <c r="E170" s="566">
        <f>SUM(E171:E175)</f>
        <v/>
      </c>
      <c r="F170" s="566">
        <f>SUM(F171:F175)</f>
        <v/>
      </c>
      <c r="G170" s="52">
        <f>(E170-F170)/F170</f>
        <v/>
      </c>
      <c r="H170" s="566">
        <f>SUM(H171:H175)</f>
        <v/>
      </c>
      <c r="I170" s="566">
        <f>SUM(I171:I175)</f>
        <v/>
      </c>
      <c r="J170" s="52">
        <f>(H170-I170)/I170</f>
        <v/>
      </c>
      <c r="K170" s="566">
        <f>H170*1.085</f>
        <v/>
      </c>
      <c r="L170" s="566">
        <f>I170*1.085</f>
        <v/>
      </c>
      <c r="M170" s="52">
        <f>(K170-L170)/L170</f>
        <v/>
      </c>
      <c r="N170" s="567">
        <f>E170/H170</f>
        <v/>
      </c>
      <c r="O170" s="567">
        <f>F170/I170</f>
        <v/>
      </c>
      <c r="P170" s="52">
        <f>(N170-O170)/O170</f>
        <v/>
      </c>
      <c r="Q170" s="567">
        <f>E170/K170</f>
        <v/>
      </c>
      <c r="R170" s="567">
        <f>F170/L170</f>
        <v/>
      </c>
      <c r="S170" s="52">
        <f>(Q170-R170)/R170</f>
        <v/>
      </c>
      <c r="T170" s="568">
        <f>SUM(T171:T175)</f>
        <v/>
      </c>
      <c r="U170" s="568">
        <f>SUM(U171:U175)</f>
        <v/>
      </c>
      <c r="V170" s="52">
        <f>(T170-U170)/U170</f>
        <v/>
      </c>
      <c r="W170" s="568">
        <f>SUM(W171:W175)</f>
        <v/>
      </c>
      <c r="X170" s="568">
        <f>SUM(X171:X175)</f>
        <v/>
      </c>
      <c r="Y170" s="52">
        <f>(W170-X170)/X170</f>
        <v/>
      </c>
      <c r="Z170" s="566">
        <f>E170/W170</f>
        <v/>
      </c>
      <c r="AA170" s="568">
        <f>F170/X170</f>
        <v/>
      </c>
      <c r="AB170" s="52">
        <f>(Z170-AA170)/AA170</f>
        <v/>
      </c>
      <c r="AC170" s="568">
        <f>SUM(AC171:AC175)</f>
        <v/>
      </c>
      <c r="AD170" s="568">
        <f>SUM(AD171:AD175)</f>
        <v/>
      </c>
      <c r="AE170" s="52">
        <f>(AC170-AD170)/AD170</f>
        <v/>
      </c>
      <c r="AF170" s="568">
        <f>SUM(AF171:AF175)</f>
        <v/>
      </c>
      <c r="AG170" s="568">
        <f>SUM(AG171:AG175)</f>
        <v/>
      </c>
      <c r="AH170" s="67">
        <f>(AF170-AG170)/AG170</f>
        <v/>
      </c>
      <c r="AI170" s="568">
        <f>SUM(AI171:AI175)</f>
        <v/>
      </c>
      <c r="AJ170" s="568">
        <f>SUM(AJ171:AJ175)</f>
        <v/>
      </c>
      <c r="AK170" s="52">
        <f>(AI170-AJ170)/AJ170</f>
        <v/>
      </c>
      <c r="AL170" s="82">
        <f>AF170/AI170</f>
        <v/>
      </c>
      <c r="AM170" s="82">
        <f>AG170/AJ170</f>
        <v/>
      </c>
      <c r="AN170" s="52">
        <f>(AL170-AM170)/AM170</f>
        <v/>
      </c>
      <c r="AO170" t="s">
        <v>186</v>
      </c>
    </row>
    <row customHeight="1" ht="15.75" r="171" s="452" spans="1:41">
      <c r="A171" s="279" t="n"/>
      <c r="B171" s="279" t="n"/>
      <c r="C171" s="280" t="n"/>
      <c r="D171" s="297" t="s">
        <v>182</v>
      </c>
      <c r="E171" s="535" t="n">
        <v>0</v>
      </c>
      <c r="F171" s="535" t="n"/>
      <c r="G171" s="282">
        <f>(E171-F171)/F171</f>
        <v/>
      </c>
      <c r="H171" s="535" t="n">
        <v>4605.14</v>
      </c>
      <c r="I171" s="536" t="n"/>
      <c r="J171" s="282">
        <f>(H171-I171)/I171</f>
        <v/>
      </c>
      <c r="K171" s="535">
        <f>H171*1.085</f>
        <v/>
      </c>
      <c r="L171" s="535">
        <f>I171*1.085</f>
        <v/>
      </c>
      <c r="M171" s="282">
        <f>(K171-L171)/L171</f>
        <v/>
      </c>
      <c r="N171" s="536">
        <f>E171/H171</f>
        <v/>
      </c>
      <c r="O171" s="536">
        <f>F171/I171</f>
        <v/>
      </c>
      <c r="P171" s="282">
        <f>(N171-O171)/O171</f>
        <v/>
      </c>
      <c r="Q171" s="536">
        <f>E171/K171</f>
        <v/>
      </c>
      <c r="R171" s="536">
        <f>F171/L171</f>
        <v/>
      </c>
      <c r="S171" s="282">
        <f>(Q171-R171)/R171</f>
        <v/>
      </c>
      <c r="T171" s="537" t="n">
        <v>1186</v>
      </c>
      <c r="U171" s="537" t="n"/>
      <c r="V171" s="282">
        <f>(T171-U171)/U171</f>
        <v/>
      </c>
      <c r="W171" s="537" t="n">
        <v>0</v>
      </c>
      <c r="X171" s="537" t="n"/>
      <c r="Y171" s="282">
        <f>(W171-X171)/X171</f>
        <v/>
      </c>
      <c r="Z171" s="537">
        <f>E171/W171</f>
        <v/>
      </c>
      <c r="AA171" s="537">
        <f>F171/X171</f>
        <v/>
      </c>
      <c r="AB171" s="282">
        <f>(Z171-AA171)/AA171</f>
        <v/>
      </c>
      <c r="AC171" s="537" t="n">
        <v>212394</v>
      </c>
      <c r="AD171" s="537" t="n"/>
      <c r="AE171" s="282">
        <f>(AC171-AD171)/AD171</f>
        <v/>
      </c>
      <c r="AF171" s="537" t="n">
        <v>4594</v>
      </c>
      <c r="AG171" s="537" t="n"/>
      <c r="AH171">
        <f>(AF171-AG171)/AG171</f>
        <v/>
      </c>
      <c r="AI171" s="537" t="n">
        <v>379412</v>
      </c>
      <c r="AJ171" s="537" t="n"/>
      <c r="AK171" s="282">
        <f>(AI171-AJ171)/AJ171</f>
        <v/>
      </c>
      <c r="AL171" s="286">
        <f>AF171/AI171</f>
        <v/>
      </c>
      <c r="AM171" s="286">
        <f>AG171/AJ171</f>
        <v/>
      </c>
      <c r="AN171" s="282">
        <f>(AL171-AM171)/AM171</f>
        <v/>
      </c>
    </row>
    <row customHeight="1" ht="15.75" r="172" s="452" spans="1:41">
      <c r="A172" s="279" t="n"/>
      <c r="B172" s="279" t="n"/>
      <c r="C172" s="280" t="n"/>
      <c r="D172" s="297" t="s">
        <v>113</v>
      </c>
      <c r="E172" s="535" t="n">
        <v>385</v>
      </c>
      <c r="F172" s="535" t="n"/>
      <c r="G172" s="282">
        <f>(E172-F172)/F172</f>
        <v/>
      </c>
      <c r="H172" s="535" t="n">
        <v>1538.22</v>
      </c>
      <c r="I172" s="536" t="n"/>
      <c r="J172" s="282">
        <f>(H172-I172)/I172</f>
        <v/>
      </c>
      <c r="K172" s="535">
        <f>H172*1.085</f>
        <v/>
      </c>
      <c r="L172" s="535">
        <f>I172*1.085</f>
        <v/>
      </c>
      <c r="M172" s="282">
        <f>(K172-L172)/L172</f>
        <v/>
      </c>
      <c r="N172" s="536">
        <f>E172/H172</f>
        <v/>
      </c>
      <c r="O172" s="536">
        <f>F172/I172</f>
        <v/>
      </c>
      <c r="P172" s="282">
        <f>(N172-O172)/O172</f>
        <v/>
      </c>
      <c r="Q172" s="536">
        <f>E172/K172</f>
        <v/>
      </c>
      <c r="R172" s="536">
        <f>F172/L172</f>
        <v/>
      </c>
      <c r="S172" s="282">
        <f>(Q172-R172)/R172</f>
        <v/>
      </c>
      <c r="T172" s="537" t="n">
        <v>2238</v>
      </c>
      <c r="U172" s="537" t="n"/>
      <c r="V172" s="282">
        <f>(T172-U172)/U172</f>
        <v/>
      </c>
      <c r="W172" s="537" t="n">
        <v>3</v>
      </c>
      <c r="X172" s="537" t="n"/>
      <c r="Y172" s="282">
        <f>(W172-X172)/X172</f>
        <v/>
      </c>
      <c r="Z172" s="537">
        <f>E172/W172</f>
        <v/>
      </c>
      <c r="AA172" s="537">
        <f>F172/X172</f>
        <v/>
      </c>
      <c r="AB172" s="282">
        <f>(Z172-AA172)/AA172</f>
        <v/>
      </c>
      <c r="AC172" s="537" t="n">
        <v>215077</v>
      </c>
      <c r="AD172" s="537" t="n"/>
      <c r="AE172" s="282">
        <f>(AC172-AD172)/AD172</f>
        <v/>
      </c>
      <c r="AF172" s="537" t="n">
        <v>2308</v>
      </c>
      <c r="AG172" s="537" t="n"/>
      <c r="AH172">
        <f>(AF172-AG172)/AG172</f>
        <v/>
      </c>
      <c r="AI172" s="537" t="n">
        <v>246308</v>
      </c>
      <c r="AJ172" s="537" t="n"/>
      <c r="AK172" s="282">
        <f>(AI172-AJ172)/AJ172</f>
        <v/>
      </c>
      <c r="AL172" s="286">
        <f>AF172/AI172</f>
        <v/>
      </c>
      <c r="AM172" s="286">
        <f>AG172/AJ172</f>
        <v/>
      </c>
      <c r="AN172" s="282">
        <f>(AL172-AM172)/AM172</f>
        <v/>
      </c>
    </row>
    <row customHeight="1" ht="15.75" r="173" s="452" spans="1:41">
      <c r="A173" s="279" t="n"/>
      <c r="B173" s="279" t="n"/>
      <c r="C173" s="280" t="n"/>
      <c r="D173" s="280" t="n"/>
      <c r="E173" s="535" t="n"/>
      <c r="F173" s="535" t="n"/>
      <c r="G173" s="282">
        <f>(E173-F173)/F173</f>
        <v/>
      </c>
      <c r="H173" s="535" t="n"/>
      <c r="I173" s="536" t="n"/>
      <c r="J173" s="282">
        <f>(H173-I173)/I173</f>
        <v/>
      </c>
      <c r="K173" s="535">
        <f>H173*1.085</f>
        <v/>
      </c>
      <c r="L173" s="535">
        <f>I173*1.085</f>
        <v/>
      </c>
      <c r="M173" s="282">
        <f>(K173-L173)/L173</f>
        <v/>
      </c>
      <c r="N173" s="536">
        <f>E173/H173</f>
        <v/>
      </c>
      <c r="O173" s="536">
        <f>F173/I173</f>
        <v/>
      </c>
      <c r="P173" s="282">
        <f>(N173-O173)/O173</f>
        <v/>
      </c>
      <c r="Q173" s="536">
        <f>E173/K173</f>
        <v/>
      </c>
      <c r="R173" s="536">
        <f>F173/L173</f>
        <v/>
      </c>
      <c r="S173" s="282">
        <f>(Q173-R173)/R173</f>
        <v/>
      </c>
      <c r="T173" s="537" t="n"/>
      <c r="U173" s="537" t="n"/>
      <c r="V173" s="282">
        <f>(T173-U173)/U173</f>
        <v/>
      </c>
      <c r="W173" s="537" t="n"/>
      <c r="X173" s="537" t="n"/>
      <c r="Y173" s="282">
        <f>(W173-X173)/X173</f>
        <v/>
      </c>
      <c r="Z173" s="537">
        <f>E173/W173</f>
        <v/>
      </c>
      <c r="AA173" s="537">
        <f>F173/X173</f>
        <v/>
      </c>
      <c r="AB173" s="282">
        <f>(Z173-AA173)/AA173</f>
        <v/>
      </c>
      <c r="AC173" s="537" t="n"/>
      <c r="AD173" s="537" t="n"/>
      <c r="AE173" s="282">
        <f>(AC173-AD173)/AD173</f>
        <v/>
      </c>
      <c r="AF173" s="537" t="n"/>
      <c r="AG173" s="537" t="n"/>
      <c r="AH173">
        <f>(AF173-AG173)/AG173</f>
        <v/>
      </c>
      <c r="AI173" s="537" t="n"/>
      <c r="AJ173" s="537" t="n"/>
      <c r="AK173" s="282">
        <f>(AI173-AJ173)/AJ173</f>
        <v/>
      </c>
      <c r="AL173" s="286">
        <f>AF173/AI173</f>
        <v/>
      </c>
      <c r="AM173" s="286">
        <f>AG173/AJ173</f>
        <v/>
      </c>
      <c r="AN173" s="282">
        <f>(AL173-AM173)/AM173</f>
        <v/>
      </c>
    </row>
    <row customHeight="1" ht="15.75" r="174" s="452" spans="1:41">
      <c r="A174" s="279" t="n"/>
      <c r="B174" s="279" t="n"/>
      <c r="C174" s="280" t="n"/>
      <c r="D174" s="280" t="n"/>
      <c r="E174" s="535" t="n"/>
      <c r="F174" s="535" t="n"/>
      <c r="G174" s="282">
        <f>(E174-F174)/F174</f>
        <v/>
      </c>
      <c r="H174" s="535" t="n"/>
      <c r="I174" s="536" t="n"/>
      <c r="J174" s="282">
        <f>(H174-I174)/I174</f>
        <v/>
      </c>
      <c r="K174" s="535">
        <f>H174*1.085</f>
        <v/>
      </c>
      <c r="L174" s="535">
        <f>I174*1.085</f>
        <v/>
      </c>
      <c r="M174" s="282">
        <f>(K174-L174)/L174</f>
        <v/>
      </c>
      <c r="N174" s="536">
        <f>E174/H174</f>
        <v/>
      </c>
      <c r="O174" s="536">
        <f>F174/I174</f>
        <v/>
      </c>
      <c r="P174" s="282">
        <f>(N174-O174)/O174</f>
        <v/>
      </c>
      <c r="Q174" s="536">
        <f>E174/K174</f>
        <v/>
      </c>
      <c r="R174" s="536">
        <f>F174/L174</f>
        <v/>
      </c>
      <c r="S174" s="282">
        <f>(Q174-R174)/R174</f>
        <v/>
      </c>
      <c r="T174" s="537" t="n"/>
      <c r="U174" s="537" t="n"/>
      <c r="V174" s="282">
        <f>(T174-U174)/U174</f>
        <v/>
      </c>
      <c r="W174" s="537" t="n"/>
      <c r="X174" s="537" t="n"/>
      <c r="Y174" s="282">
        <f>(W174-X174)/X174</f>
        <v/>
      </c>
      <c r="Z174" s="537">
        <f>E174/W174</f>
        <v/>
      </c>
      <c r="AA174" s="537">
        <f>F174/X174</f>
        <v/>
      </c>
      <c r="AB174" s="282">
        <f>(Z174-AA174)/AA174</f>
        <v/>
      </c>
      <c r="AC174" s="537" t="n"/>
      <c r="AD174" s="537" t="n"/>
      <c r="AE174" s="282">
        <f>(AC174-AD174)/AD174</f>
        <v/>
      </c>
      <c r="AF174" s="537" t="n"/>
      <c r="AG174" s="537" t="n"/>
      <c r="AH174">
        <f>(AF174-AG174)/AG174</f>
        <v/>
      </c>
      <c r="AI174" s="537" t="n"/>
      <c r="AJ174" s="537" t="n"/>
      <c r="AK174" s="282">
        <f>(AI174-AJ174)/AJ174</f>
        <v/>
      </c>
      <c r="AL174" s="286">
        <f>AF174/AI174</f>
        <v/>
      </c>
      <c r="AM174" s="286">
        <f>AG174/AJ174</f>
        <v/>
      </c>
      <c r="AN174" s="282">
        <f>(AL174-AM174)/AM174</f>
        <v/>
      </c>
    </row>
    <row customHeight="1" ht="15.75" r="175" s="452" spans="1:41">
      <c r="A175" s="279" t="n"/>
      <c r="B175" s="279" t="n"/>
      <c r="C175" s="280" t="n"/>
      <c r="D175" s="297" t="s">
        <v>177</v>
      </c>
      <c r="E175" s="535" t="n">
        <v>0</v>
      </c>
      <c r="F175" s="535" t="n">
        <v>137</v>
      </c>
      <c r="G175" s="282">
        <f>(E175-F175)/F175</f>
        <v/>
      </c>
      <c r="H175" s="535" t="n"/>
      <c r="I175" s="536" t="n">
        <v>3004.68</v>
      </c>
      <c r="J175" s="282">
        <f>(H175-I175)/I175</f>
        <v/>
      </c>
      <c r="K175" s="535">
        <f>H175*1.085</f>
        <v/>
      </c>
      <c r="L175" s="535">
        <f>I175*1.085</f>
        <v/>
      </c>
      <c r="M175" s="282">
        <f>(K175-L175)/L175</f>
        <v/>
      </c>
      <c r="N175" s="536">
        <f>E175/H175</f>
        <v/>
      </c>
      <c r="O175" s="536">
        <f>F175/I175</f>
        <v/>
      </c>
      <c r="P175" s="282">
        <f>(N175-O175)/O175</f>
        <v/>
      </c>
      <c r="Q175" s="536">
        <f>E175/K175</f>
        <v/>
      </c>
      <c r="R175" s="536">
        <f>F175/L175</f>
        <v/>
      </c>
      <c r="S175" s="282">
        <f>(Q175-R175)/R175</f>
        <v/>
      </c>
      <c r="T175" s="537" t="n">
        <v>33</v>
      </c>
      <c r="U175" s="537" t="n">
        <v>794</v>
      </c>
      <c r="V175" s="282">
        <f>(T175-U175)/U175</f>
        <v/>
      </c>
      <c r="W175" s="537" t="n">
        <v>0</v>
      </c>
      <c r="X175" s="537" t="n">
        <v>2</v>
      </c>
      <c r="Y175" s="282">
        <f>(W175-X175)/X175</f>
        <v/>
      </c>
      <c r="Z175" s="537">
        <f>E175/W175</f>
        <v/>
      </c>
      <c r="AA175" s="537">
        <f>F175/X175</f>
        <v/>
      </c>
      <c r="AB175" s="282">
        <f>(Z175-AA175)/AA175</f>
        <v/>
      </c>
      <c r="AC175" s="537" t="n"/>
      <c r="AD175" s="537" t="n">
        <v>352257</v>
      </c>
      <c r="AE175" s="282">
        <f>(AC175-AD175)/AD175</f>
        <v/>
      </c>
      <c r="AF175" s="537" t="n"/>
      <c r="AG175" s="537" t="n">
        <v>2973</v>
      </c>
      <c r="AH175">
        <f>(AF175-AG175)/AG175</f>
        <v/>
      </c>
      <c r="AI175" s="537" t="n"/>
      <c r="AJ175" s="537" t="n">
        <v>541110</v>
      </c>
      <c r="AK175" s="282">
        <f>(AI175-AJ175)/AJ175</f>
        <v/>
      </c>
      <c r="AL175" s="286">
        <f>AF175/AI175</f>
        <v/>
      </c>
      <c r="AM175" s="286">
        <f>AG175/AJ175</f>
        <v/>
      </c>
      <c r="AN175" s="282">
        <f>(AL175-AM175)/AM175</f>
        <v/>
      </c>
    </row>
    <row customHeight="1" ht="15.75" r="176" s="452" spans="1:41">
      <c r="A176" s="49" t="s">
        <v>47</v>
      </c>
      <c r="B176" s="49" t="s">
        <v>112</v>
      </c>
      <c r="C176" s="50">
        <f>C170+7</f>
        <v/>
      </c>
      <c r="D176" s="50" t="s">
        <v>60</v>
      </c>
      <c r="E176" s="566">
        <f>SUM(E177:E181)</f>
        <v/>
      </c>
      <c r="F176" s="566">
        <f>SUM(F177:F181)</f>
        <v/>
      </c>
      <c r="G176" s="52">
        <f>(E176-F176)/F176</f>
        <v/>
      </c>
      <c r="H176" s="566">
        <f>SUM(H177:H181)</f>
        <v/>
      </c>
      <c r="I176" s="566">
        <f>SUM(I177:I181)</f>
        <v/>
      </c>
      <c r="J176" s="52">
        <f>(H176-I176)/I176</f>
        <v/>
      </c>
      <c r="K176" s="566">
        <f>H176*1.085</f>
        <v/>
      </c>
      <c r="L176" s="566">
        <f>I176*1.085</f>
        <v/>
      </c>
      <c r="M176" s="52">
        <f>(K176-L176)/L176</f>
        <v/>
      </c>
      <c r="N176" s="567">
        <f>E176/H176</f>
        <v/>
      </c>
      <c r="O176" s="567">
        <f>F176/I176</f>
        <v/>
      </c>
      <c r="P176" s="52">
        <f>(N176-O176)/O176</f>
        <v/>
      </c>
      <c r="Q176" s="567">
        <f>E176/K176</f>
        <v/>
      </c>
      <c r="R176" s="567">
        <f>F176/L176</f>
        <v/>
      </c>
      <c r="S176" s="52">
        <f>(Q176-R176)/R176</f>
        <v/>
      </c>
      <c r="T176" s="568">
        <f>SUM(T177:T181)</f>
        <v/>
      </c>
      <c r="U176" s="568">
        <f>SUM(U177:U181)</f>
        <v/>
      </c>
      <c r="V176" s="52">
        <f>(T176-U176)/U176</f>
        <v/>
      </c>
      <c r="W176" s="568">
        <f>SUM(W177:W181)</f>
        <v/>
      </c>
      <c r="X176" s="568">
        <f>SUM(X177:X181)</f>
        <v/>
      </c>
      <c r="Y176" s="52">
        <f>(W176-X176)/X176</f>
        <v/>
      </c>
      <c r="Z176" s="566">
        <f>E176/W176</f>
        <v/>
      </c>
      <c r="AA176" s="568">
        <f>F176/X176</f>
        <v/>
      </c>
      <c r="AB176" s="52">
        <f>(Z176-AA176)/AA176</f>
        <v/>
      </c>
      <c r="AC176" s="568">
        <f>SUM(AC177:AC181)</f>
        <v/>
      </c>
      <c r="AD176" s="568">
        <f>SUM(AD177:AD181)</f>
        <v/>
      </c>
      <c r="AE176" s="52">
        <f>(AC176-AD176)/AD176</f>
        <v/>
      </c>
      <c r="AF176" s="568">
        <f>SUM(AF177:AF181)</f>
        <v/>
      </c>
      <c r="AG176" s="568">
        <f>SUM(AG177:AG181)</f>
        <v/>
      </c>
      <c r="AH176" s="67">
        <f>(AF176-AG176)/AG176</f>
        <v/>
      </c>
      <c r="AI176" s="568">
        <f>SUM(AI177:AI181)</f>
        <v/>
      </c>
      <c r="AJ176" s="568">
        <f>SUM(AJ177:AJ181)</f>
        <v/>
      </c>
      <c r="AK176" s="52">
        <f>(AI176-AJ176)/AJ176</f>
        <v/>
      </c>
      <c r="AL176" s="82">
        <f>AF176/AI176</f>
        <v/>
      </c>
      <c r="AM176" s="82">
        <f>AG176/AJ176</f>
        <v/>
      </c>
      <c r="AN176" s="52">
        <f>(AL176-AM176)/AM176</f>
        <v/>
      </c>
      <c r="AO176" t="s">
        <v>187</v>
      </c>
    </row>
    <row customHeight="1" ht="15.75" r="177" s="452" spans="1:41">
      <c r="A177" s="279" t="n"/>
      <c r="B177" s="279" t="n"/>
      <c r="C177" s="280" t="n"/>
      <c r="D177" s="297" t="s">
        <v>113</v>
      </c>
      <c r="E177" s="535" t="n">
        <v>1097</v>
      </c>
      <c r="F177" s="535" t="n"/>
      <c r="G177" s="282">
        <f>(E177-F177)/F177</f>
        <v/>
      </c>
      <c r="H177" s="535" t="n">
        <v>3329</v>
      </c>
      <c r="I177" s="536" t="n"/>
      <c r="J177" s="282">
        <f>(H177-I177)/I177</f>
        <v/>
      </c>
      <c r="K177" s="535">
        <f>H177*1.085</f>
        <v/>
      </c>
      <c r="L177" s="535">
        <f>I177*1.085</f>
        <v/>
      </c>
      <c r="M177" s="282">
        <f>(K177-L177)/L177</f>
        <v/>
      </c>
      <c r="N177" s="536">
        <f>E177/H177</f>
        <v/>
      </c>
      <c r="O177" s="536">
        <f>F177/I177</f>
        <v/>
      </c>
      <c r="P177" s="282">
        <f>(N177-O177)/O177</f>
        <v/>
      </c>
      <c r="Q177" s="536">
        <f>E177/K177</f>
        <v/>
      </c>
      <c r="R177" s="536">
        <f>F177/L177</f>
        <v/>
      </c>
      <c r="S177" s="282">
        <f>(Q177-R177)/R177</f>
        <v/>
      </c>
      <c r="T177" s="537" t="n">
        <v>1563</v>
      </c>
      <c r="U177" s="537" t="n"/>
      <c r="V177" s="282">
        <f>(T177-U177)/U177</f>
        <v/>
      </c>
      <c r="W177" s="537" t="n">
        <v>7</v>
      </c>
      <c r="X177" s="537" t="n"/>
      <c r="Y177" s="282">
        <f>(W177-X177)/X177</f>
        <v/>
      </c>
      <c r="Z177" s="537">
        <f>E177/W177</f>
        <v/>
      </c>
      <c r="AA177" s="537">
        <f>F177/X177</f>
        <v/>
      </c>
      <c r="AB177" s="282">
        <f>(Z177-AA177)/AA177</f>
        <v/>
      </c>
      <c r="AC177" s="537" t="n"/>
      <c r="AD177" s="537" t="n"/>
      <c r="AE177" s="282">
        <f>(AC177-AD177)/AD177</f>
        <v/>
      </c>
      <c r="AF177" s="537" t="n"/>
      <c r="AG177" s="537" t="n"/>
      <c r="AH177">
        <f>(AF177-AG177)/AG177</f>
        <v/>
      </c>
      <c r="AI177" s="537" t="n"/>
      <c r="AJ177" s="537" t="n"/>
      <c r="AK177" s="282">
        <f>(AI177-AJ177)/AJ177</f>
        <v/>
      </c>
      <c r="AL177" s="286">
        <f>AF177/AI177</f>
        <v/>
      </c>
      <c r="AM177" s="286">
        <f>AG177/AJ177</f>
        <v/>
      </c>
      <c r="AN177" s="282">
        <f>(AL177-AM177)/AM177</f>
        <v/>
      </c>
    </row>
    <row customHeight="1" ht="15.75" r="178" s="452" spans="1:41">
      <c r="A178" s="279" t="n"/>
      <c r="B178" s="279" t="n"/>
      <c r="C178" s="280" t="n"/>
      <c r="D178" s="280" t="n"/>
      <c r="E178" s="535" t="n"/>
      <c r="F178" s="535" t="n"/>
      <c r="G178" s="282">
        <f>(E178-F178)/F178</f>
        <v/>
      </c>
      <c r="H178" s="535" t="n"/>
      <c r="I178" s="536" t="n"/>
      <c r="J178" s="282">
        <f>(H178-I178)/I178</f>
        <v/>
      </c>
      <c r="K178" s="535">
        <f>H178*1.085</f>
        <v/>
      </c>
      <c r="L178" s="535">
        <f>I178*1.085</f>
        <v/>
      </c>
      <c r="M178" s="282">
        <f>(K178-L178)/L178</f>
        <v/>
      </c>
      <c r="N178" s="536">
        <f>E178/H178</f>
        <v/>
      </c>
      <c r="O178" s="536">
        <f>F178/I178</f>
        <v/>
      </c>
      <c r="P178" s="282">
        <f>(N178-O178)/O178</f>
        <v/>
      </c>
      <c r="Q178" s="536">
        <f>E178/K178</f>
        <v/>
      </c>
      <c r="R178" s="536">
        <f>F178/L178</f>
        <v/>
      </c>
      <c r="S178" s="282">
        <f>(Q178-R178)/R178</f>
        <v/>
      </c>
      <c r="T178" s="537" t="n"/>
      <c r="U178" s="537" t="n"/>
      <c r="V178" s="282">
        <f>(T178-U178)/U178</f>
        <v/>
      </c>
      <c r="W178" s="537" t="n"/>
      <c r="X178" s="537" t="n"/>
      <c r="Y178" s="282">
        <f>(W178-X178)/X178</f>
        <v/>
      </c>
      <c r="Z178" s="537">
        <f>E178/W178</f>
        <v/>
      </c>
      <c r="AA178" s="537">
        <f>F178/X178</f>
        <v/>
      </c>
      <c r="AB178" s="282">
        <f>(Z178-AA178)/AA178</f>
        <v/>
      </c>
      <c r="AC178" s="537" t="n"/>
      <c r="AD178" s="537" t="n"/>
      <c r="AE178" s="282">
        <f>(AC178-AD178)/AD178</f>
        <v/>
      </c>
      <c r="AF178" s="537" t="n"/>
      <c r="AG178" s="537" t="n"/>
      <c r="AH178">
        <f>(AF178-AG178)/AG178</f>
        <v/>
      </c>
      <c r="AI178" s="537" t="n"/>
      <c r="AJ178" s="537" t="n"/>
      <c r="AK178" s="282">
        <f>(AI178-AJ178)/AJ178</f>
        <v/>
      </c>
      <c r="AL178" s="286">
        <f>AF178/AI178</f>
        <v/>
      </c>
      <c r="AM178" s="286">
        <f>AG178/AJ178</f>
        <v/>
      </c>
      <c r="AN178" s="282">
        <f>(AL178-AM178)/AM178</f>
        <v/>
      </c>
    </row>
    <row customHeight="1" ht="15.75" r="179" s="452" spans="1:41">
      <c r="A179" s="279" t="n"/>
      <c r="B179" s="279" t="n"/>
      <c r="C179" s="280" t="n"/>
      <c r="D179" s="280" t="n"/>
      <c r="E179" s="535" t="n"/>
      <c r="F179" s="535" t="n"/>
      <c r="G179" s="282">
        <f>(E179-F179)/F179</f>
        <v/>
      </c>
      <c r="H179" s="535" t="n"/>
      <c r="I179" s="536" t="n"/>
      <c r="J179" s="282">
        <f>(H179-I179)/I179</f>
        <v/>
      </c>
      <c r="K179" s="535">
        <f>H179*1.085</f>
        <v/>
      </c>
      <c r="L179" s="535">
        <f>I179*1.085</f>
        <v/>
      </c>
      <c r="M179" s="282">
        <f>(K179-L179)/L179</f>
        <v/>
      </c>
      <c r="N179" s="536">
        <f>E179/H179</f>
        <v/>
      </c>
      <c r="O179" s="536">
        <f>F179/I179</f>
        <v/>
      </c>
      <c r="P179" s="282">
        <f>(N179-O179)/O179</f>
        <v/>
      </c>
      <c r="Q179" s="536">
        <f>E179/K179</f>
        <v/>
      </c>
      <c r="R179" s="536">
        <f>F179/L179</f>
        <v/>
      </c>
      <c r="S179" s="282">
        <f>(Q179-R179)/R179</f>
        <v/>
      </c>
      <c r="T179" s="537" t="n"/>
      <c r="U179" s="537" t="n"/>
      <c r="V179" s="282">
        <f>(T179-U179)/U179</f>
        <v/>
      </c>
      <c r="W179" s="537" t="n"/>
      <c r="X179" s="537" t="n"/>
      <c r="Y179" s="282">
        <f>(W179-X179)/X179</f>
        <v/>
      </c>
      <c r="Z179" s="537">
        <f>E179/W179</f>
        <v/>
      </c>
      <c r="AA179" s="537">
        <f>F179/X179</f>
        <v/>
      </c>
      <c r="AB179" s="282">
        <f>(Z179-AA179)/AA179</f>
        <v/>
      </c>
      <c r="AC179" s="537" t="n"/>
      <c r="AD179" s="537" t="n"/>
      <c r="AE179" s="282">
        <f>(AC179-AD179)/AD179</f>
        <v/>
      </c>
      <c r="AF179" s="537" t="n"/>
      <c r="AG179" s="537" t="n"/>
      <c r="AH179">
        <f>(AF179-AG179)/AG179</f>
        <v/>
      </c>
      <c r="AI179" s="537" t="n"/>
      <c r="AJ179" s="537" t="n"/>
      <c r="AK179" s="282">
        <f>(AI179-AJ179)/AJ179</f>
        <v/>
      </c>
      <c r="AL179" s="286">
        <f>AF179/AI179</f>
        <v/>
      </c>
      <c r="AM179" s="286">
        <f>AG179/AJ179</f>
        <v/>
      </c>
      <c r="AN179" s="282">
        <f>(AL179-AM179)/AM179</f>
        <v/>
      </c>
    </row>
    <row customHeight="1" ht="15.75" r="180" s="452" spans="1:41">
      <c r="A180" s="279" t="n"/>
      <c r="B180" s="279" t="n"/>
      <c r="C180" s="280" t="n"/>
      <c r="D180" s="280" t="n"/>
      <c r="E180" s="535" t="n"/>
      <c r="F180" s="535" t="n"/>
      <c r="G180" s="282">
        <f>(E180-F180)/F180</f>
        <v/>
      </c>
      <c r="H180" s="535" t="n"/>
      <c r="I180" s="536" t="n"/>
      <c r="J180" s="282">
        <f>(H180-I180)/I180</f>
        <v/>
      </c>
      <c r="K180" s="535">
        <f>H180*1.085</f>
        <v/>
      </c>
      <c r="L180" s="535">
        <f>I180*1.085</f>
        <v/>
      </c>
      <c r="M180" s="282">
        <f>(K180-L180)/L180</f>
        <v/>
      </c>
      <c r="N180" s="536">
        <f>E180/H180</f>
        <v/>
      </c>
      <c r="O180" s="536">
        <f>F180/I180</f>
        <v/>
      </c>
      <c r="P180" s="282">
        <f>(N180-O180)/O180</f>
        <v/>
      </c>
      <c r="Q180" s="536">
        <f>E180/K180</f>
        <v/>
      </c>
      <c r="R180" s="536">
        <f>F180/L180</f>
        <v/>
      </c>
      <c r="S180" s="282">
        <f>(Q180-R180)/R180</f>
        <v/>
      </c>
      <c r="T180" s="537" t="n"/>
      <c r="U180" s="537" t="n"/>
      <c r="V180" s="282">
        <f>(T180-U180)/U180</f>
        <v/>
      </c>
      <c r="W180" s="537" t="n"/>
      <c r="X180" s="537" t="n"/>
      <c r="Y180" s="282">
        <f>(W180-X180)/X180</f>
        <v/>
      </c>
      <c r="Z180" s="537">
        <f>E180/W180</f>
        <v/>
      </c>
      <c r="AA180" s="537">
        <f>F180/X180</f>
        <v/>
      </c>
      <c r="AB180" s="282">
        <f>(Z180-AA180)/AA180</f>
        <v/>
      </c>
      <c r="AC180" s="537" t="n"/>
      <c r="AD180" s="537" t="n"/>
      <c r="AE180" s="282">
        <f>(AC180-AD180)/AD180</f>
        <v/>
      </c>
      <c r="AF180" s="537" t="n"/>
      <c r="AG180" s="537" t="n"/>
      <c r="AH180">
        <f>(AF180-AG180)/AG180</f>
        <v/>
      </c>
      <c r="AI180" s="537" t="n"/>
      <c r="AJ180" s="537" t="n"/>
      <c r="AK180" s="282">
        <f>(AI180-AJ180)/AJ180</f>
        <v/>
      </c>
      <c r="AL180" s="286">
        <f>AF180/AI180</f>
        <v/>
      </c>
      <c r="AM180" s="286">
        <f>AG180/AJ180</f>
        <v/>
      </c>
      <c r="AN180" s="282">
        <f>(AL180-AM180)/AM180</f>
        <v/>
      </c>
    </row>
    <row customHeight="1" ht="15.75" r="181" s="452" spans="1:41">
      <c r="A181" s="279" t="n"/>
      <c r="B181" s="279" t="n"/>
      <c r="C181" s="280" t="n"/>
      <c r="D181" s="297" t="s">
        <v>177</v>
      </c>
      <c r="E181" s="535" t="n">
        <v>0</v>
      </c>
      <c r="F181" s="535" t="n">
        <v>0</v>
      </c>
      <c r="G181" s="282">
        <f>(E181-F181)/F181</f>
        <v/>
      </c>
      <c r="H181" s="535" t="n">
        <v>0</v>
      </c>
      <c r="I181" s="536" t="n">
        <v>6412.27</v>
      </c>
      <c r="J181" s="282">
        <f>(H181-I181)/I181</f>
        <v/>
      </c>
      <c r="K181" s="535">
        <f>H181*1.085</f>
        <v/>
      </c>
      <c r="L181" s="535">
        <f>I181*1.085</f>
        <v/>
      </c>
      <c r="M181" s="282">
        <f>(K181-L181)/L181</f>
        <v/>
      </c>
      <c r="N181" s="536">
        <f>E181/H181</f>
        <v/>
      </c>
      <c r="O181" s="536">
        <f>F181/I181</f>
        <v/>
      </c>
      <c r="P181" s="282">
        <f>(N181-O181)/O181</f>
        <v/>
      </c>
      <c r="Q181" s="536">
        <f>E181/K181</f>
        <v/>
      </c>
      <c r="R181" s="536">
        <f>F181/L181</f>
        <v/>
      </c>
      <c r="S181" s="282">
        <f>(Q181-R181)/R181</f>
        <v/>
      </c>
      <c r="T181" s="537" t="n">
        <v>31</v>
      </c>
      <c r="U181" s="537" t="n">
        <v>29</v>
      </c>
      <c r="V181" s="282">
        <f>(T181-U181)/U181</f>
        <v/>
      </c>
      <c r="W181" s="537" t="n">
        <v>0</v>
      </c>
      <c r="X181" s="537" t="n">
        <v>0</v>
      </c>
      <c r="Y181" s="282">
        <f>(W181-X181)/X181</f>
        <v/>
      </c>
      <c r="Z181" s="537">
        <f>E181/W181</f>
        <v/>
      </c>
      <c r="AA181" s="537">
        <f>F181/X181</f>
        <v/>
      </c>
      <c r="AB181" s="282">
        <f>(Z181-AA181)/AA181</f>
        <v/>
      </c>
      <c r="AC181" s="537" t="n">
        <v>367203</v>
      </c>
      <c r="AD181" s="537" t="n">
        <v>370939</v>
      </c>
      <c r="AE181" s="282">
        <f>(AC181-AD181)/AD181</f>
        <v/>
      </c>
      <c r="AF181" s="537" t="n">
        <v>3243</v>
      </c>
      <c r="AG181" s="537" t="n">
        <v>9636</v>
      </c>
      <c r="AH181">
        <f>(AF181-AG181)/AG181</f>
        <v/>
      </c>
      <c r="AI181" s="537" t="n">
        <v>411265</v>
      </c>
      <c r="AJ181" s="537" t="n">
        <v>870065</v>
      </c>
      <c r="AK181" s="282">
        <f>(AI181-AJ181)/AJ181</f>
        <v/>
      </c>
      <c r="AL181" s="286">
        <f>AF181/AI181</f>
        <v/>
      </c>
      <c r="AM181" s="286">
        <f>AG181/AJ181</f>
        <v/>
      </c>
      <c r="AN181" s="282">
        <f>(AL181-AM181)/AM181</f>
        <v/>
      </c>
    </row>
    <row customHeight="1" ht="15.75" r="182" s="452" spans="1:41">
      <c r="A182" s="49" t="s">
        <v>47</v>
      </c>
      <c r="B182" s="49" t="s">
        <v>114</v>
      </c>
      <c r="C182" s="50">
        <f>C176+7</f>
        <v/>
      </c>
      <c r="D182" s="50" t="s">
        <v>60</v>
      </c>
      <c r="E182" s="566">
        <f>SUM(E183:E187)</f>
        <v/>
      </c>
      <c r="F182" s="566">
        <f>SUM(F183:F187)</f>
        <v/>
      </c>
      <c r="G182" s="52">
        <f>(E182-F182)/F182</f>
        <v/>
      </c>
      <c r="H182" s="566">
        <f>SUM(H183:H187)</f>
        <v/>
      </c>
      <c r="I182" s="566">
        <f>SUM(I183:I187)</f>
        <v/>
      </c>
      <c r="J182" s="52">
        <f>(H182-I182)/I182</f>
        <v/>
      </c>
      <c r="K182" s="566">
        <f>H182*1.085</f>
        <v/>
      </c>
      <c r="L182" s="566">
        <f>I182*1.085</f>
        <v/>
      </c>
      <c r="M182" s="52">
        <f>(K182-L182)/L182</f>
        <v/>
      </c>
      <c r="N182" s="567">
        <f>E182/H182</f>
        <v/>
      </c>
      <c r="O182" s="567">
        <f>F182/I182</f>
        <v/>
      </c>
      <c r="P182" s="52">
        <f>(N182-O182)/O182</f>
        <v/>
      </c>
      <c r="Q182" s="567">
        <f>E182/K182</f>
        <v/>
      </c>
      <c r="R182" s="567">
        <f>F182/L182</f>
        <v/>
      </c>
      <c r="S182" s="52">
        <f>(Q182-R182)/R182</f>
        <v/>
      </c>
      <c r="T182" s="568">
        <f>SUM(T183:T187)</f>
        <v/>
      </c>
      <c r="U182" s="568">
        <f>SUM(U183:U187)</f>
        <v/>
      </c>
      <c r="V182" s="52">
        <f>(T182-U182)/U182</f>
        <v/>
      </c>
      <c r="W182" s="568">
        <f>SUM(W183:W187)</f>
        <v/>
      </c>
      <c r="X182" s="568">
        <f>SUM(X183:X187)</f>
        <v/>
      </c>
      <c r="Y182" s="52">
        <f>(W182-X182)/X182</f>
        <v/>
      </c>
      <c r="Z182" s="566">
        <f>E182/W182</f>
        <v/>
      </c>
      <c r="AA182" s="568">
        <f>F182/X182</f>
        <v/>
      </c>
      <c r="AB182" s="52">
        <f>(Z182-AA182)/AA182</f>
        <v/>
      </c>
      <c r="AC182" s="568">
        <f>SUM(AC183:AC187)</f>
        <v/>
      </c>
      <c r="AD182" s="568">
        <f>SUM(AD183:AD187)</f>
        <v/>
      </c>
      <c r="AE182" s="52">
        <f>(AC182-AD182)/AD182</f>
        <v/>
      </c>
      <c r="AF182" s="568">
        <f>SUM(AF183:AF187)</f>
        <v/>
      </c>
      <c r="AG182" s="568">
        <f>SUM(AG183:AG187)</f>
        <v/>
      </c>
      <c r="AH182" s="67">
        <f>(AF182-AG182)/AG182</f>
        <v/>
      </c>
      <c r="AI182" s="568">
        <f>SUM(AI183:AI187)</f>
        <v/>
      </c>
      <c r="AJ182" s="568">
        <f>SUM(AJ183:AJ187)</f>
        <v/>
      </c>
      <c r="AK182" s="52">
        <f>(AI182-AJ182)/AJ182</f>
        <v/>
      </c>
      <c r="AL182" s="82">
        <f>AF182/AI182</f>
        <v/>
      </c>
      <c r="AM182" s="82">
        <f>AG182/AJ182</f>
        <v/>
      </c>
      <c r="AN182" s="52">
        <f>(AL182-AM182)/AM182</f>
        <v/>
      </c>
    </row>
    <row customHeight="1" ht="15.75" r="183" s="452" spans="1:41">
      <c r="A183" s="279" t="n"/>
      <c r="B183" s="279" t="n"/>
      <c r="C183" s="280" t="n"/>
      <c r="D183" s="280" t="n"/>
      <c r="E183" s="535" t="n"/>
      <c r="F183" s="535" t="n"/>
      <c r="G183" s="282">
        <f>(E183-F183)/F183</f>
        <v/>
      </c>
      <c r="H183" s="535" t="n"/>
      <c r="I183" s="536" t="n"/>
      <c r="J183" s="282">
        <f>(H183-I183)/I183</f>
        <v/>
      </c>
      <c r="K183" s="535">
        <f>H183*1.085</f>
        <v/>
      </c>
      <c r="L183" s="535">
        <f>I183*1.085</f>
        <v/>
      </c>
      <c r="M183" s="282">
        <f>(K183-L183)/L183</f>
        <v/>
      </c>
      <c r="N183" s="536">
        <f>E183/H183</f>
        <v/>
      </c>
      <c r="O183" s="536">
        <f>F183/I183</f>
        <v/>
      </c>
      <c r="P183" s="282">
        <f>(N183-O183)/O183</f>
        <v/>
      </c>
      <c r="Q183" s="536">
        <f>E183/K183</f>
        <v/>
      </c>
      <c r="R183" s="536">
        <f>F183/L183</f>
        <v/>
      </c>
      <c r="S183" s="282">
        <f>(Q183-R183)/R183</f>
        <v/>
      </c>
      <c r="T183" s="537" t="n"/>
      <c r="U183" s="537" t="n"/>
      <c r="V183" s="282">
        <f>(T183-U183)/U183</f>
        <v/>
      </c>
      <c r="W183" s="537" t="n"/>
      <c r="X183" s="537" t="n"/>
      <c r="Y183" s="282">
        <f>(W183-X183)/X183</f>
        <v/>
      </c>
      <c r="Z183" s="537">
        <f>E183/W183</f>
        <v/>
      </c>
      <c r="AA183" s="537">
        <f>F183/X183</f>
        <v/>
      </c>
      <c r="AB183" s="282">
        <f>(Z183-AA183)/AA183</f>
        <v/>
      </c>
      <c r="AC183" s="537" t="n"/>
      <c r="AD183" s="537" t="n"/>
      <c r="AE183" s="282">
        <f>(AC183-AD183)/AD183</f>
        <v/>
      </c>
      <c r="AF183" s="537" t="n"/>
      <c r="AG183" s="537" t="n"/>
      <c r="AH183">
        <f>(AF183-AG183)/AG183</f>
        <v/>
      </c>
      <c r="AI183" s="537" t="n"/>
      <c r="AJ183" s="537" t="n"/>
      <c r="AK183" s="282">
        <f>(AI183-AJ183)/AJ183</f>
        <v/>
      </c>
      <c r="AL183" s="286">
        <f>AF183/AI183</f>
        <v/>
      </c>
      <c r="AM183" s="286">
        <f>AG183/AJ183</f>
        <v/>
      </c>
      <c r="AN183" s="282">
        <f>(AL183-AM183)/AM183</f>
        <v/>
      </c>
    </row>
    <row customHeight="1" ht="15.75" r="184" s="452" spans="1:41">
      <c r="A184" s="279" t="n"/>
      <c r="B184" s="279" t="n"/>
      <c r="C184" s="280" t="n"/>
      <c r="D184" s="280" t="n"/>
      <c r="E184" s="535" t="n"/>
      <c r="F184" s="535" t="n"/>
      <c r="G184" s="282">
        <f>(E184-F184)/F184</f>
        <v/>
      </c>
      <c r="H184" s="535" t="n"/>
      <c r="I184" s="536" t="n"/>
      <c r="J184" s="282">
        <f>(H184-I184)/I184</f>
        <v/>
      </c>
      <c r="K184" s="535">
        <f>H184*1.085</f>
        <v/>
      </c>
      <c r="L184" s="535">
        <f>I184*1.085</f>
        <v/>
      </c>
      <c r="M184" s="282">
        <f>(K184-L184)/L184</f>
        <v/>
      </c>
      <c r="N184" s="536">
        <f>E184/H184</f>
        <v/>
      </c>
      <c r="O184" s="536">
        <f>F184/I184</f>
        <v/>
      </c>
      <c r="P184" s="282">
        <f>(N184-O184)/O184</f>
        <v/>
      </c>
      <c r="Q184" s="536">
        <f>E184/K184</f>
        <v/>
      </c>
      <c r="R184" s="536">
        <f>F184/L184</f>
        <v/>
      </c>
      <c r="S184" s="282">
        <f>(Q184-R184)/R184</f>
        <v/>
      </c>
      <c r="T184" s="537" t="n"/>
      <c r="U184" s="537" t="n"/>
      <c r="V184" s="282">
        <f>(T184-U184)/U184</f>
        <v/>
      </c>
      <c r="W184" s="537" t="n"/>
      <c r="X184" s="537" t="n"/>
      <c r="Y184" s="282">
        <f>(W184-X184)/X184</f>
        <v/>
      </c>
      <c r="Z184" s="537">
        <f>E184/W184</f>
        <v/>
      </c>
      <c r="AA184" s="537">
        <f>F184/X184</f>
        <v/>
      </c>
      <c r="AB184" s="282">
        <f>(Z184-AA184)/AA184</f>
        <v/>
      </c>
      <c r="AC184" s="537" t="n"/>
      <c r="AD184" s="537" t="n"/>
      <c r="AE184" s="282">
        <f>(AC184-AD184)/AD184</f>
        <v/>
      </c>
      <c r="AF184" s="537" t="n"/>
      <c r="AG184" s="537" t="n"/>
      <c r="AH184">
        <f>(AF184-AG184)/AG184</f>
        <v/>
      </c>
      <c r="AI184" s="537" t="n"/>
      <c r="AJ184" s="537" t="n"/>
      <c r="AK184" s="282">
        <f>(AI184-AJ184)/AJ184</f>
        <v/>
      </c>
      <c r="AL184" s="286">
        <f>AF184/AI184</f>
        <v/>
      </c>
      <c r="AM184" s="286">
        <f>AG184/AJ184</f>
        <v/>
      </c>
      <c r="AN184" s="282">
        <f>(AL184-AM184)/AM184</f>
        <v/>
      </c>
    </row>
    <row customHeight="1" ht="15.75" r="185" s="452" spans="1:41">
      <c r="A185" s="279" t="n"/>
      <c r="B185" s="279" t="n"/>
      <c r="C185" s="280" t="n"/>
      <c r="D185" s="280" t="n"/>
      <c r="E185" s="535" t="n"/>
      <c r="F185" s="535" t="n"/>
      <c r="G185" s="282">
        <f>(E185-F185)/F185</f>
        <v/>
      </c>
      <c r="H185" s="535" t="n"/>
      <c r="I185" s="536" t="n"/>
      <c r="J185" s="282">
        <f>(H185-I185)/I185</f>
        <v/>
      </c>
      <c r="K185" s="535">
        <f>H185*1.085</f>
        <v/>
      </c>
      <c r="L185" s="535">
        <f>I185*1.085</f>
        <v/>
      </c>
      <c r="M185" s="282">
        <f>(K185-L185)/L185</f>
        <v/>
      </c>
      <c r="N185" s="536">
        <f>E185/H185</f>
        <v/>
      </c>
      <c r="O185" s="536">
        <f>F185/I185</f>
        <v/>
      </c>
      <c r="P185" s="282">
        <f>(N185-O185)/O185</f>
        <v/>
      </c>
      <c r="Q185" s="536">
        <f>E185/K185</f>
        <v/>
      </c>
      <c r="R185" s="536">
        <f>F185/L185</f>
        <v/>
      </c>
      <c r="S185" s="282">
        <f>(Q185-R185)/R185</f>
        <v/>
      </c>
      <c r="T185" s="537" t="n"/>
      <c r="U185" s="537" t="n"/>
      <c r="V185" s="282">
        <f>(T185-U185)/U185</f>
        <v/>
      </c>
      <c r="W185" s="537" t="n"/>
      <c r="X185" s="537" t="n"/>
      <c r="Y185" s="282">
        <f>(W185-X185)/X185</f>
        <v/>
      </c>
      <c r="Z185" s="537">
        <f>E185/W185</f>
        <v/>
      </c>
      <c r="AA185" s="537">
        <f>F185/X185</f>
        <v/>
      </c>
      <c r="AB185" s="282">
        <f>(Z185-AA185)/AA185</f>
        <v/>
      </c>
      <c r="AC185" s="537" t="n"/>
      <c r="AD185" s="537" t="n"/>
      <c r="AE185" s="282">
        <f>(AC185-AD185)/AD185</f>
        <v/>
      </c>
      <c r="AF185" s="537" t="n"/>
      <c r="AG185" s="537" t="n"/>
      <c r="AH185">
        <f>(AF185-AG185)/AG185</f>
        <v/>
      </c>
      <c r="AI185" s="537" t="n"/>
      <c r="AJ185" s="537" t="n"/>
      <c r="AK185" s="282">
        <f>(AI185-AJ185)/AJ185</f>
        <v/>
      </c>
      <c r="AL185" s="286">
        <f>AF185/AI185</f>
        <v/>
      </c>
      <c r="AM185" s="286">
        <f>AG185/AJ185</f>
        <v/>
      </c>
      <c r="AN185" s="282">
        <f>(AL185-AM185)/AM185</f>
        <v/>
      </c>
    </row>
    <row customHeight="1" ht="15.75" r="186" s="452" spans="1:41">
      <c r="A186" s="279" t="n"/>
      <c r="B186" s="279" t="n"/>
      <c r="C186" s="280" t="n"/>
      <c r="D186" s="280" t="n"/>
      <c r="E186" s="535" t="n"/>
      <c r="F186" s="535" t="n"/>
      <c r="G186" s="282">
        <f>(E186-F186)/F186</f>
        <v/>
      </c>
      <c r="H186" s="535" t="n"/>
      <c r="I186" s="536" t="n"/>
      <c r="J186" s="282">
        <f>(H186-I186)/I186</f>
        <v/>
      </c>
      <c r="K186" s="535">
        <f>H186*1.085</f>
        <v/>
      </c>
      <c r="L186" s="535">
        <f>I186*1.085</f>
        <v/>
      </c>
      <c r="M186" s="282">
        <f>(K186-L186)/L186</f>
        <v/>
      </c>
      <c r="N186" s="536">
        <f>E186/H186</f>
        <v/>
      </c>
      <c r="O186" s="536">
        <f>F186/I186</f>
        <v/>
      </c>
      <c r="P186" s="282">
        <f>(N186-O186)/O186</f>
        <v/>
      </c>
      <c r="Q186" s="536">
        <f>E186/K186</f>
        <v/>
      </c>
      <c r="R186" s="536">
        <f>F186/L186</f>
        <v/>
      </c>
      <c r="S186" s="282">
        <f>(Q186-R186)/R186</f>
        <v/>
      </c>
      <c r="T186" s="537" t="n"/>
      <c r="U186" s="537" t="n"/>
      <c r="V186" s="282">
        <f>(T186-U186)/U186</f>
        <v/>
      </c>
      <c r="W186" s="537" t="n"/>
      <c r="X186" s="537" t="n"/>
      <c r="Y186" s="282">
        <f>(W186-X186)/X186</f>
        <v/>
      </c>
      <c r="Z186" s="537">
        <f>E186/W186</f>
        <v/>
      </c>
      <c r="AA186" s="537">
        <f>F186/X186</f>
        <v/>
      </c>
      <c r="AB186" s="282">
        <f>(Z186-AA186)/AA186</f>
        <v/>
      </c>
      <c r="AC186" s="537" t="n"/>
      <c r="AD186" s="537" t="n"/>
      <c r="AE186" s="282">
        <f>(AC186-AD186)/AD186</f>
        <v/>
      </c>
      <c r="AF186" s="537" t="n"/>
      <c r="AG186" s="537" t="n"/>
      <c r="AH186">
        <f>(AF186-AG186)/AG186</f>
        <v/>
      </c>
      <c r="AI186" s="537" t="n"/>
      <c r="AJ186" s="537" t="n"/>
      <c r="AK186" s="282">
        <f>(AI186-AJ186)/AJ186</f>
        <v/>
      </c>
      <c r="AL186" s="286">
        <f>AF186/AI186</f>
        <v/>
      </c>
      <c r="AM186" s="286">
        <f>AG186/AJ186</f>
        <v/>
      </c>
      <c r="AN186" s="282">
        <f>(AL186-AM186)/AM186</f>
        <v/>
      </c>
    </row>
    <row customHeight="1" ht="15.75" r="187" s="452" spans="1:41">
      <c r="A187" s="279" t="n"/>
      <c r="B187" s="279" t="n"/>
      <c r="C187" s="280" t="n"/>
      <c r="D187" s="297" t="s">
        <v>177</v>
      </c>
      <c r="E187" s="535" t="n">
        <v>0</v>
      </c>
      <c r="F187" s="535" t="n">
        <v>0</v>
      </c>
      <c r="G187" s="282">
        <f>(E187-F187)/F187</f>
        <v/>
      </c>
      <c r="H187" s="535" t="n">
        <v>0</v>
      </c>
      <c r="I187" s="536" t="n">
        <v>2758.45</v>
      </c>
      <c r="J187" s="282">
        <f>(H187-I187)/I187</f>
        <v/>
      </c>
      <c r="K187" s="535">
        <f>H187*1.085</f>
        <v/>
      </c>
      <c r="L187" s="535">
        <f>I187*1.085</f>
        <v/>
      </c>
      <c r="M187" s="282">
        <f>(K187-L187)/L187</f>
        <v/>
      </c>
      <c r="N187" s="536">
        <f>E187/H187</f>
        <v/>
      </c>
      <c r="O187" s="536">
        <f>F187/I187</f>
        <v/>
      </c>
      <c r="P187" s="282">
        <f>(N187-O187)/O187</f>
        <v/>
      </c>
      <c r="Q187" s="536">
        <f>E187/K187</f>
        <v/>
      </c>
      <c r="R187" s="536">
        <f>F187/L187</f>
        <v/>
      </c>
      <c r="S187" s="282">
        <f>(Q187-R187)/R187</f>
        <v/>
      </c>
      <c r="T187" s="537" t="n">
        <v>43</v>
      </c>
      <c r="U187" s="537" t="n">
        <v>19</v>
      </c>
      <c r="V187" s="282">
        <f>(T187-U187)/U187</f>
        <v/>
      </c>
      <c r="W187" s="537" t="n">
        <v>0</v>
      </c>
      <c r="X187" s="537" t="n">
        <v>0</v>
      </c>
      <c r="Y187" s="282">
        <f>(W187-X187)/X187</f>
        <v/>
      </c>
      <c r="Z187" s="537">
        <f>E187/W187</f>
        <v/>
      </c>
      <c r="AA187" s="537">
        <f>F187/X187</f>
        <v/>
      </c>
      <c r="AB187" s="282">
        <f>(Z187-AA187)/AA187</f>
        <v/>
      </c>
      <c r="AC187" s="537" t="n"/>
      <c r="AD187" s="537" t="n">
        <v>223231</v>
      </c>
      <c r="AE187" s="282">
        <f>(AC187-AD187)/AD187</f>
        <v/>
      </c>
      <c r="AF187" s="537" t="n"/>
      <c r="AG187" s="537" t="n">
        <v>3084</v>
      </c>
      <c r="AH187">
        <f>(AF187-AG187)/AG187</f>
        <v/>
      </c>
      <c r="AI187" s="537" t="n"/>
      <c r="AJ187" s="537" t="n">
        <v>319323</v>
      </c>
      <c r="AK187" s="282">
        <f>(AI187-AJ187)/AJ187</f>
        <v/>
      </c>
      <c r="AL187" s="286">
        <f>AF187/AI187</f>
        <v/>
      </c>
      <c r="AM187" s="286">
        <f>AG187/AJ187</f>
        <v/>
      </c>
      <c r="AN187" s="282">
        <f>(AL187-AM187)/AM187</f>
        <v/>
      </c>
    </row>
    <row customHeight="1" ht="15.75" r="188" s="452" spans="1:41">
      <c r="A188" s="49" t="s">
        <v>47</v>
      </c>
      <c r="B188" s="49" t="s">
        <v>116</v>
      </c>
      <c r="C188" s="50">
        <f>C182+7</f>
        <v/>
      </c>
      <c r="D188" s="50" t="s">
        <v>60</v>
      </c>
      <c r="E188" s="566">
        <f>SUM(E189:E193)</f>
        <v/>
      </c>
      <c r="F188" s="566">
        <f>SUM(F189:F193)</f>
        <v/>
      </c>
      <c r="G188" s="52">
        <f>(E188-F188)/F188</f>
        <v/>
      </c>
      <c r="H188" s="566">
        <f>SUM(H189:H193)</f>
        <v/>
      </c>
      <c r="I188" s="566">
        <f>SUM(I189:I193)</f>
        <v/>
      </c>
      <c r="J188" s="52">
        <f>(H188-I188)/I188</f>
        <v/>
      </c>
      <c r="K188" s="566">
        <f>H188*1.085</f>
        <v/>
      </c>
      <c r="L188" s="566">
        <f>I188*1.085</f>
        <v/>
      </c>
      <c r="M188" s="52">
        <f>(K188-L188)/L188</f>
        <v/>
      </c>
      <c r="N188" s="567">
        <f>E188/H188</f>
        <v/>
      </c>
      <c r="O188" s="567">
        <f>F188/I188</f>
        <v/>
      </c>
      <c r="P188" s="52">
        <f>(N188-O188)/O188</f>
        <v/>
      </c>
      <c r="Q188" s="567">
        <f>E188/K188</f>
        <v/>
      </c>
      <c r="R188" s="567">
        <f>F188/L188</f>
        <v/>
      </c>
      <c r="S188" s="52">
        <f>(Q188-R188)/R188</f>
        <v/>
      </c>
      <c r="T188" s="568">
        <f>SUM(T189:T193)</f>
        <v/>
      </c>
      <c r="U188" s="568">
        <f>SUM(U189:U193)</f>
        <v/>
      </c>
      <c r="V188" s="52">
        <f>(T188-U188)/U188</f>
        <v/>
      </c>
      <c r="W188" s="568">
        <f>SUM(W189:W193)</f>
        <v/>
      </c>
      <c r="X188" s="568">
        <f>SUM(X189:X193)</f>
        <v/>
      </c>
      <c r="Y188" s="52">
        <f>(W188-X188)/X188</f>
        <v/>
      </c>
      <c r="Z188" s="566">
        <f>E188/W188</f>
        <v/>
      </c>
      <c r="AA188" s="568">
        <f>F188/X188</f>
        <v/>
      </c>
      <c r="AB188" s="52">
        <f>(Z188-AA188)/AA188</f>
        <v/>
      </c>
      <c r="AC188" s="568">
        <f>SUM(AC189:AC193)</f>
        <v/>
      </c>
      <c r="AD188" s="568">
        <f>SUM(AD189:AD193)</f>
        <v/>
      </c>
      <c r="AE188" s="52">
        <f>(AC188-AD188)/AD188</f>
        <v/>
      </c>
      <c r="AF188" s="568">
        <f>SUM(AF189:AF193)</f>
        <v/>
      </c>
      <c r="AG188" s="568">
        <f>SUM(AG189:AG193)</f>
        <v/>
      </c>
      <c r="AH188" s="67">
        <f>(AF188-AG188)/AG188</f>
        <v/>
      </c>
      <c r="AI188" s="568">
        <f>SUM(AI189:AI193)</f>
        <v/>
      </c>
      <c r="AJ188" s="568">
        <f>SUM(AJ189:AJ193)</f>
        <v/>
      </c>
      <c r="AK188" s="52">
        <f>(AI188-AJ188)/AJ188</f>
        <v/>
      </c>
      <c r="AL188" s="82">
        <f>AF188/AI188</f>
        <v/>
      </c>
      <c r="AM188" s="82">
        <f>AG188/AJ188</f>
        <v/>
      </c>
      <c r="AN188" s="52">
        <f>(AL188-AM188)/AM188</f>
        <v/>
      </c>
    </row>
    <row customHeight="1" ht="15.75" r="189" s="452" spans="1:41">
      <c r="A189" s="279" t="n"/>
      <c r="B189" s="279" t="n"/>
      <c r="C189" s="280" t="n"/>
      <c r="D189" s="280" t="n"/>
      <c r="E189" s="535" t="n"/>
      <c r="F189" s="535" t="n"/>
      <c r="G189" s="282">
        <f>(E189-F189)/F189</f>
        <v/>
      </c>
      <c r="H189" s="535" t="n"/>
      <c r="I189" s="536" t="n"/>
      <c r="J189" s="282">
        <f>(H189-I189)/I189</f>
        <v/>
      </c>
      <c r="K189" s="535">
        <f>H189*1.085</f>
        <v/>
      </c>
      <c r="L189" s="535">
        <f>I189*1.085</f>
        <v/>
      </c>
      <c r="M189" s="282">
        <f>(K189-L189)/L189</f>
        <v/>
      </c>
      <c r="N189" s="536">
        <f>E189/H189</f>
        <v/>
      </c>
      <c r="O189" s="536">
        <f>F189/I189</f>
        <v/>
      </c>
      <c r="P189" s="282">
        <f>(N189-O189)/O189</f>
        <v/>
      </c>
      <c r="Q189" s="536">
        <f>E189/K189</f>
        <v/>
      </c>
      <c r="R189" s="536">
        <f>F189/L189</f>
        <v/>
      </c>
      <c r="S189" s="282">
        <f>(Q189-R189)/R189</f>
        <v/>
      </c>
      <c r="T189" s="537" t="n"/>
      <c r="U189" s="537" t="n"/>
      <c r="V189" s="282">
        <f>(T189-U189)/U189</f>
        <v/>
      </c>
      <c r="W189" s="537" t="n"/>
      <c r="X189" s="537" t="n"/>
      <c r="Y189" s="282">
        <f>(W189-X189)/X189</f>
        <v/>
      </c>
      <c r="Z189" s="537">
        <f>E189/W189</f>
        <v/>
      </c>
      <c r="AA189" s="537">
        <f>F189/X189</f>
        <v/>
      </c>
      <c r="AB189" s="282">
        <f>(Z189-AA189)/AA189</f>
        <v/>
      </c>
      <c r="AC189" s="537" t="n"/>
      <c r="AD189" s="537" t="n"/>
      <c r="AE189" s="282">
        <f>(AC189-AD189)/AD189</f>
        <v/>
      </c>
      <c r="AF189" s="537" t="n"/>
      <c r="AG189" s="537" t="n"/>
      <c r="AH189">
        <f>(AF189-AG189)/AG189</f>
        <v/>
      </c>
      <c r="AI189" s="537" t="n"/>
      <c r="AJ189" s="537" t="n"/>
      <c r="AK189" s="282">
        <f>(AI189-AJ189)/AJ189</f>
        <v/>
      </c>
      <c r="AL189" s="286">
        <f>AF189/AI189</f>
        <v/>
      </c>
      <c r="AM189" s="286">
        <f>AG189/AJ189</f>
        <v/>
      </c>
      <c r="AN189" s="282">
        <f>(AL189-AM189)/AM189</f>
        <v/>
      </c>
    </row>
    <row customHeight="1" ht="15.75" r="190" s="452" spans="1:41">
      <c r="A190" s="279" t="n"/>
      <c r="B190" s="279" t="n"/>
      <c r="C190" s="280" t="n"/>
      <c r="D190" s="280" t="n"/>
      <c r="E190" s="535" t="n"/>
      <c r="F190" s="535" t="n"/>
      <c r="G190" s="282">
        <f>(E190-F190)/F190</f>
        <v/>
      </c>
      <c r="H190" s="535" t="n"/>
      <c r="I190" s="536" t="n"/>
      <c r="J190" s="282">
        <f>(H190-I190)/I190</f>
        <v/>
      </c>
      <c r="K190" s="535">
        <f>H190*1.085</f>
        <v/>
      </c>
      <c r="L190" s="535">
        <f>I190*1.085</f>
        <v/>
      </c>
      <c r="M190" s="282">
        <f>(K190-L190)/L190</f>
        <v/>
      </c>
      <c r="N190" s="536">
        <f>E190/H190</f>
        <v/>
      </c>
      <c r="O190" s="536">
        <f>F190/I190</f>
        <v/>
      </c>
      <c r="P190" s="282">
        <f>(N190-O190)/O190</f>
        <v/>
      </c>
      <c r="Q190" s="536">
        <f>E190/K190</f>
        <v/>
      </c>
      <c r="R190" s="536">
        <f>F190/L190</f>
        <v/>
      </c>
      <c r="S190" s="282">
        <f>(Q190-R190)/R190</f>
        <v/>
      </c>
      <c r="T190" s="537" t="n"/>
      <c r="U190" s="537" t="n"/>
      <c r="V190" s="282">
        <f>(T190-U190)/U190</f>
        <v/>
      </c>
      <c r="W190" s="537" t="n"/>
      <c r="X190" s="537" t="n"/>
      <c r="Y190" s="282">
        <f>(W190-X190)/X190</f>
        <v/>
      </c>
      <c r="Z190" s="537">
        <f>E190/W190</f>
        <v/>
      </c>
      <c r="AA190" s="537">
        <f>F190/X190</f>
        <v/>
      </c>
      <c r="AB190" s="282">
        <f>(Z190-AA190)/AA190</f>
        <v/>
      </c>
      <c r="AC190" s="537" t="n"/>
      <c r="AD190" s="537" t="n"/>
      <c r="AE190" s="282">
        <f>(AC190-AD190)/AD190</f>
        <v/>
      </c>
      <c r="AF190" s="537" t="n"/>
      <c r="AG190" s="537" t="n"/>
      <c r="AH190">
        <f>(AF190-AG190)/AG190</f>
        <v/>
      </c>
      <c r="AI190" s="537" t="n"/>
      <c r="AJ190" s="537" t="n"/>
      <c r="AK190" s="282">
        <f>(AI190-AJ190)/AJ190</f>
        <v/>
      </c>
      <c r="AL190" s="286">
        <f>AF190/AI190</f>
        <v/>
      </c>
      <c r="AM190" s="286">
        <f>AG190/AJ190</f>
        <v/>
      </c>
      <c r="AN190" s="282">
        <f>(AL190-AM190)/AM190</f>
        <v/>
      </c>
    </row>
    <row customHeight="1" ht="15.75" r="191" s="452" spans="1:41">
      <c r="A191" s="279" t="n"/>
      <c r="B191" s="279" t="n"/>
      <c r="C191" s="280" t="n"/>
      <c r="D191" s="280" t="n"/>
      <c r="E191" s="535" t="n"/>
      <c r="F191" s="535" t="n"/>
      <c r="G191" s="282">
        <f>(E191-F191)/F191</f>
        <v/>
      </c>
      <c r="H191" s="535" t="n"/>
      <c r="I191" s="536" t="n"/>
      <c r="J191" s="282">
        <f>(H191-I191)/I191</f>
        <v/>
      </c>
      <c r="K191" s="535">
        <f>H191*1.085</f>
        <v/>
      </c>
      <c r="L191" s="535">
        <f>I191*1.085</f>
        <v/>
      </c>
      <c r="M191" s="282">
        <f>(K191-L191)/L191</f>
        <v/>
      </c>
      <c r="N191" s="536">
        <f>E191/H191</f>
        <v/>
      </c>
      <c r="O191" s="536">
        <f>F191/I191</f>
        <v/>
      </c>
      <c r="P191" s="282">
        <f>(N191-O191)/O191</f>
        <v/>
      </c>
      <c r="Q191" s="536">
        <f>E191/K191</f>
        <v/>
      </c>
      <c r="R191" s="536">
        <f>F191/L191</f>
        <v/>
      </c>
      <c r="S191" s="282">
        <f>(Q191-R191)/R191</f>
        <v/>
      </c>
      <c r="T191" s="537" t="n"/>
      <c r="U191" s="537" t="n"/>
      <c r="V191" s="282">
        <f>(T191-U191)/U191</f>
        <v/>
      </c>
      <c r="W191" s="537" t="n"/>
      <c r="X191" s="537" t="n"/>
      <c r="Y191" s="282">
        <f>(W191-X191)/X191</f>
        <v/>
      </c>
      <c r="Z191" s="537">
        <f>E191/W191</f>
        <v/>
      </c>
      <c r="AA191" s="537">
        <f>F191/X191</f>
        <v/>
      </c>
      <c r="AB191" s="282">
        <f>(Z191-AA191)/AA191</f>
        <v/>
      </c>
      <c r="AC191" s="537" t="n"/>
      <c r="AD191" s="537" t="n"/>
      <c r="AE191" s="282">
        <f>(AC191-AD191)/AD191</f>
        <v/>
      </c>
      <c r="AF191" s="537" t="n"/>
      <c r="AG191" s="537" t="n"/>
      <c r="AH191">
        <f>(AF191-AG191)/AG191</f>
        <v/>
      </c>
      <c r="AI191" s="537" t="n"/>
      <c r="AJ191" s="537" t="n"/>
      <c r="AK191" s="282">
        <f>(AI191-AJ191)/AJ191</f>
        <v/>
      </c>
      <c r="AL191" s="286">
        <f>AF191/AI191</f>
        <v/>
      </c>
      <c r="AM191" s="286">
        <f>AG191/AJ191</f>
        <v/>
      </c>
      <c r="AN191" s="282">
        <f>(AL191-AM191)/AM191</f>
        <v/>
      </c>
    </row>
    <row customHeight="1" ht="15.75" r="192" s="452" spans="1:41">
      <c r="A192" s="279" t="n"/>
      <c r="B192" s="279" t="n"/>
      <c r="C192" s="280" t="n"/>
      <c r="D192" s="280" t="n"/>
      <c r="E192" s="535" t="n"/>
      <c r="F192" s="535" t="n"/>
      <c r="G192" s="282">
        <f>(E192-F192)/F192</f>
        <v/>
      </c>
      <c r="H192" s="535" t="n"/>
      <c r="I192" s="536" t="n"/>
      <c r="J192" s="282">
        <f>(H192-I192)/I192</f>
        <v/>
      </c>
      <c r="K192" s="535">
        <f>H192*1.085</f>
        <v/>
      </c>
      <c r="L192" s="535">
        <f>I192*1.085</f>
        <v/>
      </c>
      <c r="M192" s="282">
        <f>(K192-L192)/L192</f>
        <v/>
      </c>
      <c r="N192" s="536">
        <f>E192/H192</f>
        <v/>
      </c>
      <c r="O192" s="536">
        <f>F192/I192</f>
        <v/>
      </c>
      <c r="P192" s="282">
        <f>(N192-O192)/O192</f>
        <v/>
      </c>
      <c r="Q192" s="536">
        <f>E192/K192</f>
        <v/>
      </c>
      <c r="R192" s="536">
        <f>F192/L192</f>
        <v/>
      </c>
      <c r="S192" s="282">
        <f>(Q192-R192)/R192</f>
        <v/>
      </c>
      <c r="T192" s="537" t="n"/>
      <c r="U192" s="537" t="n"/>
      <c r="V192" s="282">
        <f>(T192-U192)/U192</f>
        <v/>
      </c>
      <c r="W192" s="537" t="n"/>
      <c r="X192" s="537" t="n"/>
      <c r="Y192" s="282">
        <f>(W192-X192)/X192</f>
        <v/>
      </c>
      <c r="Z192" s="537">
        <f>E192/W192</f>
        <v/>
      </c>
      <c r="AA192" s="537">
        <f>F192/X192</f>
        <v/>
      </c>
      <c r="AB192" s="282">
        <f>(Z192-AA192)/AA192</f>
        <v/>
      </c>
      <c r="AC192" s="537" t="n"/>
      <c r="AD192" s="537" t="n"/>
      <c r="AE192" s="282">
        <f>(AC192-AD192)/AD192</f>
        <v/>
      </c>
      <c r="AF192" s="537" t="n"/>
      <c r="AG192" s="537" t="n"/>
      <c r="AH192">
        <f>(AF192-AG192)/AG192</f>
        <v/>
      </c>
      <c r="AI192" s="537" t="n"/>
      <c r="AJ192" s="537" t="n"/>
      <c r="AK192" s="282">
        <f>(AI192-AJ192)/AJ192</f>
        <v/>
      </c>
      <c r="AL192" s="286">
        <f>AF192/AI192</f>
        <v/>
      </c>
      <c r="AM192" s="286">
        <f>AG192/AJ192</f>
        <v/>
      </c>
      <c r="AN192" s="282">
        <f>(AL192-AM192)/AM192</f>
        <v/>
      </c>
    </row>
    <row customFormat="1" customHeight="1" ht="15.75" r="193" s="357" spans="1:41">
      <c r="A193" s="347" t="n"/>
      <c r="B193" s="347" t="n"/>
      <c r="C193" s="348" t="n"/>
      <c r="D193" s="349" t="s">
        <v>177</v>
      </c>
      <c r="E193" s="612" t="n">
        <v>0</v>
      </c>
      <c r="F193" s="612" t="n">
        <v>0</v>
      </c>
      <c r="G193" s="351">
        <f>(E193-F193)/F193</f>
        <v/>
      </c>
      <c r="H193" s="612" t="n">
        <v>0</v>
      </c>
      <c r="I193" s="613" t="n">
        <v>0</v>
      </c>
      <c r="J193" s="351">
        <f>(H193-I193)/I193</f>
        <v/>
      </c>
      <c r="K193" s="612">
        <f>H193*1.085</f>
        <v/>
      </c>
      <c r="L193" s="612">
        <f>I193*1.085</f>
        <v/>
      </c>
      <c r="M193" s="351">
        <f>(K193-L193)/L193</f>
        <v/>
      </c>
      <c r="N193" s="613">
        <f>E193/H193</f>
        <v/>
      </c>
      <c r="O193" s="613">
        <f>F193/I193</f>
        <v/>
      </c>
      <c r="P193" s="351">
        <f>(N193-O193)/O193</f>
        <v/>
      </c>
      <c r="Q193" s="613">
        <f>E193/K193</f>
        <v/>
      </c>
      <c r="R193" s="613">
        <f>F193/L193</f>
        <v/>
      </c>
      <c r="S193" s="351">
        <f>(Q193-R193)/R193</f>
        <v/>
      </c>
      <c r="T193" s="614" t="n">
        <v>36</v>
      </c>
      <c r="U193" s="614" t="n">
        <v>74</v>
      </c>
      <c r="V193" s="351">
        <f>(T193-U193)/U193</f>
        <v/>
      </c>
      <c r="W193" s="614" t="n">
        <v>0</v>
      </c>
      <c r="X193" s="614" t="n">
        <v>0</v>
      </c>
      <c r="Y193" s="351">
        <f>(W193-X193)/X193</f>
        <v/>
      </c>
      <c r="Z193" s="614">
        <f>E193/W193</f>
        <v/>
      </c>
      <c r="AA193" s="614">
        <f>F193/X193</f>
        <v/>
      </c>
      <c r="AB193" s="351">
        <f>(Z193-AA193)/AA193</f>
        <v/>
      </c>
      <c r="AC193" s="614" t="n">
        <v>0</v>
      </c>
      <c r="AD193" s="614" t="n">
        <v>0</v>
      </c>
      <c r="AE193" s="351">
        <f>(AC193-AD193)/AD193</f>
        <v/>
      </c>
      <c r="AF193" s="614" t="n">
        <v>0</v>
      </c>
      <c r="AG193" s="614" t="n">
        <v>0</v>
      </c>
      <c r="AH193" s="357">
        <f>(AF193-AG193)/AG193</f>
        <v/>
      </c>
      <c r="AI193" s="614" t="n">
        <v>0</v>
      </c>
      <c r="AJ193" s="614" t="n">
        <v>0</v>
      </c>
      <c r="AK193" s="351">
        <f>(AI193-AJ193)/AJ193</f>
        <v/>
      </c>
      <c r="AL193" s="356">
        <f>AF193/AI193</f>
        <v/>
      </c>
      <c r="AM193" s="356">
        <f>AG193/AJ193</f>
        <v/>
      </c>
      <c r="AN193" s="351">
        <f>(AL193-AM193)/AM193</f>
        <v/>
      </c>
      <c r="AO193" s="357" t="n"/>
    </row>
    <row customHeight="1" ht="15.75" r="194" s="452" spans="1:41">
      <c r="A194" s="49" t="s">
        <v>48</v>
      </c>
      <c r="B194" s="49" t="s">
        <v>117</v>
      </c>
      <c r="C194" s="50">
        <f>C188+7</f>
        <v/>
      </c>
      <c r="D194" s="50" t="s">
        <v>60</v>
      </c>
      <c r="E194" s="566">
        <f>SUM(E195:E199)</f>
        <v/>
      </c>
      <c r="F194" s="566">
        <f>SUM(F195:F199)</f>
        <v/>
      </c>
      <c r="G194" s="52">
        <f>(E194-F194)/F194</f>
        <v/>
      </c>
      <c r="H194" s="566">
        <f>SUM(H195:H199)</f>
        <v/>
      </c>
      <c r="I194" s="566">
        <f>SUM(I195:I199)</f>
        <v/>
      </c>
      <c r="J194" s="52">
        <f>(H194-I194)/I194</f>
        <v/>
      </c>
      <c r="K194" s="566">
        <f>H194*1.085</f>
        <v/>
      </c>
      <c r="L194" s="566">
        <f>I194*1.085</f>
        <v/>
      </c>
      <c r="M194" s="52">
        <f>(K194-L194)/L194</f>
        <v/>
      </c>
      <c r="N194" s="567">
        <f>E194/H194</f>
        <v/>
      </c>
      <c r="O194" s="567">
        <f>F194/I194</f>
        <v/>
      </c>
      <c r="P194" s="52">
        <f>(N194-O194)/O194</f>
        <v/>
      </c>
      <c r="Q194" s="567">
        <f>E194/K194</f>
        <v/>
      </c>
      <c r="R194" s="567">
        <f>F194/L194</f>
        <v/>
      </c>
      <c r="S194" s="52">
        <f>(Q194-R194)/R194</f>
        <v/>
      </c>
      <c r="T194" s="568">
        <f>SUM(T195:T199)</f>
        <v/>
      </c>
      <c r="U194" s="568">
        <f>SUM(U195:U199)</f>
        <v/>
      </c>
      <c r="V194" s="52">
        <f>(T194-U194)/U194</f>
        <v/>
      </c>
      <c r="W194" s="568">
        <f>SUM(W195:W199)</f>
        <v/>
      </c>
      <c r="X194" s="568">
        <f>SUM(X195:X199)</f>
        <v/>
      </c>
      <c r="Y194" s="52">
        <f>(W194-X194)/X194</f>
        <v/>
      </c>
      <c r="Z194" s="566">
        <f>E194/W194</f>
        <v/>
      </c>
      <c r="AA194" s="568">
        <f>F194/X194</f>
        <v/>
      </c>
      <c r="AB194" s="52">
        <f>(Z194-AA194)/AA194</f>
        <v/>
      </c>
      <c r="AC194" s="568">
        <f>SUM(AC195:AC199)</f>
        <v/>
      </c>
      <c r="AD194" s="568">
        <f>SUM(AD195:AD199)</f>
        <v/>
      </c>
      <c r="AE194" s="52">
        <f>(AC194-AD194)/AD194</f>
        <v/>
      </c>
      <c r="AF194" s="568">
        <f>SUM(AF195:AF199)</f>
        <v/>
      </c>
      <c r="AG194" s="568">
        <f>SUM(AG195:AG199)</f>
        <v/>
      </c>
      <c r="AH194" s="67">
        <f>(AF194-AG194)/AG194</f>
        <v/>
      </c>
      <c r="AI194" s="568">
        <f>SUM(AI195:AI199)</f>
        <v/>
      </c>
      <c r="AJ194" s="568">
        <f>SUM(AJ195:AJ199)</f>
        <v/>
      </c>
      <c r="AK194" s="52">
        <f>(AI194-AJ194)/AJ194</f>
        <v/>
      </c>
      <c r="AL194" s="82">
        <f>AF194/AI194</f>
        <v/>
      </c>
      <c r="AM194" s="82">
        <f>AG194/AJ194</f>
        <v/>
      </c>
      <c r="AN194" s="52">
        <f>(AL194-AM194)/AM194</f>
        <v/>
      </c>
    </row>
    <row customHeight="1" ht="15.75" r="195" s="452" spans="1:41">
      <c r="A195" s="279" t="n"/>
      <c r="B195" s="279" t="n"/>
      <c r="C195" s="280" t="n"/>
      <c r="D195" s="280" t="n"/>
      <c r="E195" s="535" t="n"/>
      <c r="F195" s="535" t="n"/>
      <c r="G195" s="282">
        <f>(E195-F195)/F195</f>
        <v/>
      </c>
      <c r="H195" s="535" t="n"/>
      <c r="I195" s="536" t="n"/>
      <c r="J195" s="282">
        <f>(H195-I195)/I195</f>
        <v/>
      </c>
      <c r="K195" s="535">
        <f>H195*1.085</f>
        <v/>
      </c>
      <c r="L195" s="535">
        <f>I195*1.085</f>
        <v/>
      </c>
      <c r="M195" s="282">
        <f>(K195-L195)/L195</f>
        <v/>
      </c>
      <c r="N195" s="536">
        <f>E195/H195</f>
        <v/>
      </c>
      <c r="O195" s="536">
        <f>F195/I195</f>
        <v/>
      </c>
      <c r="P195" s="282">
        <f>(N195-O195)/O195</f>
        <v/>
      </c>
      <c r="Q195" s="536">
        <f>E195/K195</f>
        <v/>
      </c>
      <c r="R195" s="536">
        <f>F195/L195</f>
        <v/>
      </c>
      <c r="S195" s="282">
        <f>(Q195-R195)/R195</f>
        <v/>
      </c>
      <c r="T195" s="537" t="n"/>
      <c r="U195" s="537" t="n"/>
      <c r="V195" s="282">
        <f>(T195-U195)/U195</f>
        <v/>
      </c>
      <c r="W195" s="537" t="n"/>
      <c r="X195" s="537" t="n"/>
      <c r="Y195" s="282">
        <f>(W195-X195)/X195</f>
        <v/>
      </c>
      <c r="Z195" s="537">
        <f>E195/W195</f>
        <v/>
      </c>
      <c r="AA195" s="537">
        <f>F195/X195</f>
        <v/>
      </c>
      <c r="AB195" s="282">
        <f>(Z195-AA195)/AA195</f>
        <v/>
      </c>
      <c r="AC195" s="537" t="n"/>
      <c r="AD195" s="537" t="n"/>
      <c r="AE195" s="282">
        <f>(AC195-AD195)/AD195</f>
        <v/>
      </c>
      <c r="AF195" s="537" t="n"/>
      <c r="AG195" s="537" t="n"/>
      <c r="AH195">
        <f>(AF195-AG195)/AG195</f>
        <v/>
      </c>
      <c r="AI195" s="537" t="n"/>
      <c r="AJ195" s="537" t="n"/>
      <c r="AK195" s="282">
        <f>(AI195-AJ195)/AJ195</f>
        <v/>
      </c>
      <c r="AL195" s="286">
        <f>AF195/AI195</f>
        <v/>
      </c>
      <c r="AM195" s="286">
        <f>AG195/AJ195</f>
        <v/>
      </c>
      <c r="AN195" s="282">
        <f>(AL195-AM195)/AM195</f>
        <v/>
      </c>
    </row>
    <row customHeight="1" ht="15.75" r="196" s="452" spans="1:41">
      <c r="A196" s="279" t="n"/>
      <c r="B196" s="279" t="n"/>
      <c r="C196" s="280" t="n"/>
      <c r="D196" s="280" t="n"/>
      <c r="E196" s="535" t="n"/>
      <c r="F196" s="535" t="n"/>
      <c r="G196" s="282">
        <f>(E196-F196)/F196</f>
        <v/>
      </c>
      <c r="H196" s="535" t="n"/>
      <c r="I196" s="536" t="n"/>
      <c r="J196" s="282">
        <f>(H196-I196)/I196</f>
        <v/>
      </c>
      <c r="K196" s="535">
        <f>H196*1.085</f>
        <v/>
      </c>
      <c r="L196" s="535">
        <f>I196*1.085</f>
        <v/>
      </c>
      <c r="M196" s="282">
        <f>(K196-L196)/L196</f>
        <v/>
      </c>
      <c r="N196" s="536">
        <f>E196/H196</f>
        <v/>
      </c>
      <c r="O196" s="536">
        <f>F196/I196</f>
        <v/>
      </c>
      <c r="P196" s="282">
        <f>(N196-O196)/O196</f>
        <v/>
      </c>
      <c r="Q196" s="536">
        <f>E196/K196</f>
        <v/>
      </c>
      <c r="R196" s="536">
        <f>F196/L196</f>
        <v/>
      </c>
      <c r="S196" s="282">
        <f>(Q196-R196)/R196</f>
        <v/>
      </c>
      <c r="T196" s="537" t="n"/>
      <c r="U196" s="537" t="n"/>
      <c r="V196" s="282">
        <f>(T196-U196)/U196</f>
        <v/>
      </c>
      <c r="W196" s="537" t="n"/>
      <c r="X196" s="537" t="n"/>
      <c r="Y196" s="282">
        <f>(W196-X196)/X196</f>
        <v/>
      </c>
      <c r="Z196" s="537">
        <f>E196/W196</f>
        <v/>
      </c>
      <c r="AA196" s="537">
        <f>F196/X196</f>
        <v/>
      </c>
      <c r="AB196" s="282">
        <f>(Z196-AA196)/AA196</f>
        <v/>
      </c>
      <c r="AC196" s="537" t="n"/>
      <c r="AD196" s="537" t="n"/>
      <c r="AE196" s="282">
        <f>(AC196-AD196)/AD196</f>
        <v/>
      </c>
      <c r="AF196" s="537" t="n"/>
      <c r="AG196" s="537" t="n"/>
      <c r="AH196">
        <f>(AF196-AG196)/AG196</f>
        <v/>
      </c>
      <c r="AI196" s="537" t="n"/>
      <c r="AJ196" s="537" t="n"/>
      <c r="AK196" s="282">
        <f>(AI196-AJ196)/AJ196</f>
        <v/>
      </c>
      <c r="AL196" s="286">
        <f>AF196/AI196</f>
        <v/>
      </c>
      <c r="AM196" s="286">
        <f>AG196/AJ196</f>
        <v/>
      </c>
      <c r="AN196" s="282">
        <f>(AL196-AM196)/AM196</f>
        <v/>
      </c>
    </row>
    <row customHeight="1" ht="15.75" r="197" s="452" spans="1:41">
      <c r="A197" s="279" t="n"/>
      <c r="B197" s="279" t="n"/>
      <c r="C197" s="280" t="n"/>
      <c r="D197" s="280" t="n"/>
      <c r="E197" s="535" t="n"/>
      <c r="F197" s="535" t="n"/>
      <c r="G197" s="282">
        <f>(E197-F197)/F197</f>
        <v/>
      </c>
      <c r="H197" s="535" t="n"/>
      <c r="I197" s="536" t="n"/>
      <c r="J197" s="282">
        <f>(H197-I197)/I197</f>
        <v/>
      </c>
      <c r="K197" s="535">
        <f>H197*1.085</f>
        <v/>
      </c>
      <c r="L197" s="535">
        <f>I197*1.085</f>
        <v/>
      </c>
      <c r="M197" s="282">
        <f>(K197-L197)/L197</f>
        <v/>
      </c>
      <c r="N197" s="536">
        <f>E197/H197</f>
        <v/>
      </c>
      <c r="O197" s="536">
        <f>F197/I197</f>
        <v/>
      </c>
      <c r="P197" s="282">
        <f>(N197-O197)/O197</f>
        <v/>
      </c>
      <c r="Q197" s="536">
        <f>E197/K197</f>
        <v/>
      </c>
      <c r="R197" s="536">
        <f>F197/L197</f>
        <v/>
      </c>
      <c r="S197" s="282">
        <f>(Q197-R197)/R197</f>
        <v/>
      </c>
      <c r="T197" s="537" t="n"/>
      <c r="U197" s="537" t="n"/>
      <c r="V197" s="282">
        <f>(T197-U197)/U197</f>
        <v/>
      </c>
      <c r="W197" s="537" t="n"/>
      <c r="X197" s="537" t="n"/>
      <c r="Y197" s="282">
        <f>(W197-X197)/X197</f>
        <v/>
      </c>
      <c r="Z197" s="537">
        <f>E197/W197</f>
        <v/>
      </c>
      <c r="AA197" s="537">
        <f>F197/X197</f>
        <v/>
      </c>
      <c r="AB197" s="282">
        <f>(Z197-AA197)/AA197</f>
        <v/>
      </c>
      <c r="AC197" s="537" t="n"/>
      <c r="AD197" s="537" t="n"/>
      <c r="AE197" s="282">
        <f>(AC197-AD197)/AD197</f>
        <v/>
      </c>
      <c r="AF197" s="537" t="n"/>
      <c r="AG197" s="537" t="n"/>
      <c r="AH197">
        <f>(AF197-AG197)/AG197</f>
        <v/>
      </c>
      <c r="AI197" s="537" t="n"/>
      <c r="AJ197" s="537" t="n"/>
      <c r="AK197" s="282">
        <f>(AI197-AJ197)/AJ197</f>
        <v/>
      </c>
      <c r="AL197" s="286">
        <f>AF197/AI197</f>
        <v/>
      </c>
      <c r="AM197" s="286">
        <f>AG197/AJ197</f>
        <v/>
      </c>
      <c r="AN197" s="282">
        <f>(AL197-AM197)/AM197</f>
        <v/>
      </c>
    </row>
    <row customHeight="1" ht="15.75" r="198" s="452" spans="1:41">
      <c r="A198" s="279" t="n"/>
      <c r="B198" s="279" t="n"/>
      <c r="C198" s="280" t="n"/>
      <c r="D198" s="280" t="n"/>
      <c r="E198" s="535" t="n"/>
      <c r="F198" s="535" t="n"/>
      <c r="G198" s="282">
        <f>(E198-F198)/F198</f>
        <v/>
      </c>
      <c r="H198" s="535" t="n"/>
      <c r="I198" s="536" t="n"/>
      <c r="J198" s="282">
        <f>(H198-I198)/I198</f>
        <v/>
      </c>
      <c r="K198" s="535">
        <f>H198*1.085</f>
        <v/>
      </c>
      <c r="L198" s="535">
        <f>I198*1.085</f>
        <v/>
      </c>
      <c r="M198" s="282">
        <f>(K198-L198)/L198</f>
        <v/>
      </c>
      <c r="N198" s="536">
        <f>E198/H198</f>
        <v/>
      </c>
      <c r="O198" s="536">
        <f>F198/I198</f>
        <v/>
      </c>
      <c r="P198" s="282">
        <f>(N198-O198)/O198</f>
        <v/>
      </c>
      <c r="Q198" s="536">
        <f>E198/K198</f>
        <v/>
      </c>
      <c r="R198" s="536">
        <f>F198/L198</f>
        <v/>
      </c>
      <c r="S198" s="282">
        <f>(Q198-R198)/R198</f>
        <v/>
      </c>
      <c r="T198" s="537" t="n"/>
      <c r="U198" s="537" t="n"/>
      <c r="V198" s="282">
        <f>(T198-U198)/U198</f>
        <v/>
      </c>
      <c r="W198" s="537" t="n"/>
      <c r="X198" s="537" t="n"/>
      <c r="Y198" s="282">
        <f>(W198-X198)/X198</f>
        <v/>
      </c>
      <c r="Z198" s="537">
        <f>E198/W198</f>
        <v/>
      </c>
      <c r="AA198" s="537">
        <f>F198/X198</f>
        <v/>
      </c>
      <c r="AB198" s="282">
        <f>(Z198-AA198)/AA198</f>
        <v/>
      </c>
      <c r="AC198" s="537" t="n"/>
      <c r="AD198" s="537" t="n"/>
      <c r="AE198" s="282">
        <f>(AC198-AD198)/AD198</f>
        <v/>
      </c>
      <c r="AF198" s="537" t="n"/>
      <c r="AG198" s="537" t="n"/>
      <c r="AH198">
        <f>(AF198-AG198)/AG198</f>
        <v/>
      </c>
      <c r="AI198" s="537" t="n"/>
      <c r="AJ198" s="537" t="n"/>
      <c r="AK198" s="282">
        <f>(AI198-AJ198)/AJ198</f>
        <v/>
      </c>
      <c r="AL198" s="286">
        <f>AF198/AI198</f>
        <v/>
      </c>
      <c r="AM198" s="286">
        <f>AG198/AJ198</f>
        <v/>
      </c>
      <c r="AN198" s="282">
        <f>(AL198-AM198)/AM198</f>
        <v/>
      </c>
    </row>
    <row customHeight="1" ht="15.75" r="199" s="452" spans="1:41">
      <c r="A199" s="279" t="n"/>
      <c r="B199" s="279" t="n"/>
      <c r="C199" s="280" t="n"/>
      <c r="D199" s="297" t="s">
        <v>177</v>
      </c>
      <c r="E199" s="535" t="n">
        <v>0</v>
      </c>
      <c r="F199" s="535" t="n">
        <v>226</v>
      </c>
      <c r="G199" s="282">
        <f>(E199-F199)/F199</f>
        <v/>
      </c>
      <c r="H199" s="535" t="n">
        <v>0</v>
      </c>
      <c r="I199" s="536" t="n">
        <v>3016.42</v>
      </c>
      <c r="J199" s="282">
        <f>(H199-I199)/I199</f>
        <v/>
      </c>
      <c r="K199" s="535">
        <f>H199*1.085</f>
        <v/>
      </c>
      <c r="L199" s="535">
        <f>I199*1.085</f>
        <v/>
      </c>
      <c r="M199" s="282">
        <f>(K199-L199)/L199</f>
        <v/>
      </c>
      <c r="N199" s="536">
        <f>E199/H199</f>
        <v/>
      </c>
      <c r="O199" s="536">
        <f>F199/I199</f>
        <v/>
      </c>
      <c r="P199" s="282">
        <f>(N199-O199)/O199</f>
        <v/>
      </c>
      <c r="Q199" s="536">
        <f>E199/K199</f>
        <v/>
      </c>
      <c r="R199" s="536">
        <f>F199/L199</f>
        <v/>
      </c>
      <c r="S199" s="282">
        <f>(Q199-R199)/R199</f>
        <v/>
      </c>
      <c r="T199" s="537" t="n">
        <v>33</v>
      </c>
      <c r="U199" s="537" t="n">
        <v>2487</v>
      </c>
      <c r="V199" s="282">
        <f>(T199-U199)/U199</f>
        <v/>
      </c>
      <c r="W199" s="537" t="n">
        <v>0</v>
      </c>
      <c r="X199" s="537" t="n">
        <v>2</v>
      </c>
      <c r="Y199" s="282">
        <f>(W199-X199)/X199</f>
        <v/>
      </c>
      <c r="Z199" s="537">
        <f>E199/W199</f>
        <v/>
      </c>
      <c r="AA199" s="537">
        <f>F199/X199</f>
        <v/>
      </c>
      <c r="AB199" s="282">
        <f>(Z199-AA199)/AA199</f>
        <v/>
      </c>
      <c r="AC199" s="537" t="n">
        <v>0</v>
      </c>
      <c r="AD199" s="537" t="n">
        <v>380416</v>
      </c>
      <c r="AE199" s="282">
        <f>(AC199-AD199)/AD199</f>
        <v/>
      </c>
      <c r="AF199" s="537" t="n">
        <v>0</v>
      </c>
      <c r="AG199" s="537" t="n">
        <v>4108</v>
      </c>
      <c r="AH199">
        <f>(AF199-AG199)/AG199</f>
        <v/>
      </c>
      <c r="AI199" s="537" t="n">
        <v>0</v>
      </c>
      <c r="AJ199" s="537" t="n">
        <v>559580</v>
      </c>
      <c r="AK199" s="282">
        <f>(AI199-AJ199)/AJ199</f>
        <v/>
      </c>
      <c r="AL199" s="286">
        <f>AF199/AI199</f>
        <v/>
      </c>
      <c r="AM199" s="286">
        <f>AG199/AJ199</f>
        <v/>
      </c>
      <c r="AN199" s="282">
        <f>(AL199-AM199)/AM199</f>
        <v/>
      </c>
    </row>
    <row customHeight="1" ht="15.75" r="200" s="452" spans="1:41">
      <c r="A200" s="49" t="s">
        <v>48</v>
      </c>
      <c r="B200" s="49" t="s">
        <v>118</v>
      </c>
      <c r="C200" s="50">
        <f>C194+7</f>
        <v/>
      </c>
      <c r="D200" s="50" t="s">
        <v>60</v>
      </c>
      <c r="E200" s="566">
        <f>SUM(E201:E205)</f>
        <v/>
      </c>
      <c r="F200" s="566">
        <f>SUM(F201:F205)</f>
        <v/>
      </c>
      <c r="G200" s="52">
        <f>(E200-F200)/F200</f>
        <v/>
      </c>
      <c r="H200" s="566">
        <f>SUM(H201:H205)</f>
        <v/>
      </c>
      <c r="I200" s="566">
        <f>SUM(I201:I205)</f>
        <v/>
      </c>
      <c r="J200" s="52">
        <f>(H200-I200)/I200</f>
        <v/>
      </c>
      <c r="K200" s="566">
        <f>H200*1.085</f>
        <v/>
      </c>
      <c r="L200" s="566">
        <f>I200*1.085</f>
        <v/>
      </c>
      <c r="M200" s="52">
        <f>(K200-L200)/L200</f>
        <v/>
      </c>
      <c r="N200" s="567">
        <f>E200/H200</f>
        <v/>
      </c>
      <c r="O200" s="567">
        <f>F200/I200</f>
        <v/>
      </c>
      <c r="P200" s="52">
        <f>(N200-O200)/O200</f>
        <v/>
      </c>
      <c r="Q200" s="567">
        <f>E200/K200</f>
        <v/>
      </c>
      <c r="R200" s="567">
        <f>F200/L200</f>
        <v/>
      </c>
      <c r="S200" s="52">
        <f>(Q200-R200)/R200</f>
        <v/>
      </c>
      <c r="T200" s="568">
        <f>SUM(T201:T205)</f>
        <v/>
      </c>
      <c r="U200" s="568">
        <f>SUM(U201:U205)</f>
        <v/>
      </c>
      <c r="V200" s="52">
        <f>(T200-U200)/U200</f>
        <v/>
      </c>
      <c r="W200" s="568">
        <f>SUM(W201:W205)</f>
        <v/>
      </c>
      <c r="X200" s="568">
        <f>SUM(X201:X205)</f>
        <v/>
      </c>
      <c r="Y200" s="52">
        <f>(W200-X200)/X200</f>
        <v/>
      </c>
      <c r="Z200" s="566">
        <f>E200/W200</f>
        <v/>
      </c>
      <c r="AA200" s="568">
        <f>F200/X200</f>
        <v/>
      </c>
      <c r="AB200" s="52">
        <f>(Z200-AA200)/AA200</f>
        <v/>
      </c>
      <c r="AC200" s="568">
        <f>SUM(AC201:AC205)</f>
        <v/>
      </c>
      <c r="AD200" s="568">
        <f>SUM(AD201:AD205)</f>
        <v/>
      </c>
      <c r="AE200" s="52">
        <f>(AC200-AD200)/AD200</f>
        <v/>
      </c>
      <c r="AF200" s="568">
        <f>SUM(AF201:AF205)</f>
        <v/>
      </c>
      <c r="AG200" s="568">
        <f>SUM(AG201:AG205)</f>
        <v/>
      </c>
      <c r="AH200" s="67">
        <f>(AF200-AG200)/AG200</f>
        <v/>
      </c>
      <c r="AI200" s="568">
        <f>SUM(AI201:AI205)</f>
        <v/>
      </c>
      <c r="AJ200" s="568">
        <f>SUM(AJ201:AJ205)</f>
        <v/>
      </c>
      <c r="AK200" s="52">
        <f>(AI200-AJ200)/AJ200</f>
        <v/>
      </c>
      <c r="AL200" s="82">
        <f>AF200/AI200</f>
        <v/>
      </c>
      <c r="AM200" s="82">
        <f>AG200/AJ200</f>
        <v/>
      </c>
      <c r="AN200" s="52">
        <f>(AL200-AM200)/AM200</f>
        <v/>
      </c>
    </row>
    <row customHeight="1" ht="15.75" r="201" s="452" spans="1:41">
      <c r="A201" s="279" t="n"/>
      <c r="B201" s="279" t="n"/>
      <c r="C201" s="280" t="n"/>
      <c r="D201" s="280" t="n"/>
      <c r="E201" s="535" t="n"/>
      <c r="F201" s="535" t="n"/>
      <c r="G201" s="282">
        <f>(E201-F201)/F201</f>
        <v/>
      </c>
      <c r="H201" s="535" t="n"/>
      <c r="I201" s="536" t="n"/>
      <c r="J201" s="282">
        <f>(H201-I201)/I201</f>
        <v/>
      </c>
      <c r="K201" s="535">
        <f>H201*1.085</f>
        <v/>
      </c>
      <c r="L201" s="535">
        <f>I201*1.085</f>
        <v/>
      </c>
      <c r="M201" s="282">
        <f>(K201-L201)/L201</f>
        <v/>
      </c>
      <c r="N201" s="536">
        <f>E201/H201</f>
        <v/>
      </c>
      <c r="O201" s="536">
        <f>F201/I201</f>
        <v/>
      </c>
      <c r="P201" s="282">
        <f>(N201-O201)/O201</f>
        <v/>
      </c>
      <c r="Q201" s="536">
        <f>E201/K201</f>
        <v/>
      </c>
      <c r="R201" s="536">
        <f>F201/L201</f>
        <v/>
      </c>
      <c r="S201" s="282">
        <f>(Q201-R201)/R201</f>
        <v/>
      </c>
      <c r="T201" s="537" t="n"/>
      <c r="U201" s="537" t="n"/>
      <c r="V201" s="282">
        <f>(T201-U201)/U201</f>
        <v/>
      </c>
      <c r="W201" s="537" t="n"/>
      <c r="X201" s="537" t="n"/>
      <c r="Y201" s="282">
        <f>(W201-X201)/X201</f>
        <v/>
      </c>
      <c r="Z201" s="537">
        <f>E201/W201</f>
        <v/>
      </c>
      <c r="AA201" s="537">
        <f>F201/X201</f>
        <v/>
      </c>
      <c r="AB201" s="282">
        <f>(Z201-AA201)/AA201</f>
        <v/>
      </c>
      <c r="AC201" s="537" t="n"/>
      <c r="AD201" s="537" t="n"/>
      <c r="AE201" s="282">
        <f>(AC201-AD201)/AD201</f>
        <v/>
      </c>
      <c r="AF201" s="537" t="n"/>
      <c r="AG201" s="537" t="n"/>
      <c r="AH201">
        <f>(AF201-AG201)/AG201</f>
        <v/>
      </c>
      <c r="AI201" s="537" t="n"/>
      <c r="AJ201" s="537" t="n"/>
      <c r="AK201" s="282">
        <f>(AI201-AJ201)/AJ201</f>
        <v/>
      </c>
      <c r="AL201" s="286">
        <f>AF201/AI201</f>
        <v/>
      </c>
      <c r="AM201" s="286">
        <f>AG201/AJ201</f>
        <v/>
      </c>
      <c r="AN201" s="282">
        <f>(AL201-AM201)/AM201</f>
        <v/>
      </c>
    </row>
    <row customHeight="1" ht="15.75" r="202" s="452" spans="1:41">
      <c r="A202" s="279" t="n"/>
      <c r="B202" s="279" t="n"/>
      <c r="C202" s="280" t="n"/>
      <c r="D202" s="280" t="n"/>
      <c r="E202" s="535" t="n"/>
      <c r="F202" s="535" t="n"/>
      <c r="G202" s="282">
        <f>(E202-F202)/F202</f>
        <v/>
      </c>
      <c r="H202" s="535" t="n"/>
      <c r="I202" s="536" t="n"/>
      <c r="J202" s="282">
        <f>(H202-I202)/I202</f>
        <v/>
      </c>
      <c r="K202" s="535">
        <f>H202*1.085</f>
        <v/>
      </c>
      <c r="L202" s="535">
        <f>I202*1.085</f>
        <v/>
      </c>
      <c r="M202" s="282">
        <f>(K202-L202)/L202</f>
        <v/>
      </c>
      <c r="N202" s="536">
        <f>E202/H202</f>
        <v/>
      </c>
      <c r="O202" s="536">
        <f>F202/I202</f>
        <v/>
      </c>
      <c r="P202" s="282">
        <f>(N202-O202)/O202</f>
        <v/>
      </c>
      <c r="Q202" s="536">
        <f>E202/K202</f>
        <v/>
      </c>
      <c r="R202" s="536">
        <f>F202/L202</f>
        <v/>
      </c>
      <c r="S202" s="282">
        <f>(Q202-R202)/R202</f>
        <v/>
      </c>
      <c r="T202" s="537" t="n"/>
      <c r="U202" s="537" t="n"/>
      <c r="V202" s="282">
        <f>(T202-U202)/U202</f>
        <v/>
      </c>
      <c r="W202" s="537" t="n"/>
      <c r="X202" s="537" t="n"/>
      <c r="Y202" s="282">
        <f>(W202-X202)/X202</f>
        <v/>
      </c>
      <c r="Z202" s="537">
        <f>E202/W202</f>
        <v/>
      </c>
      <c r="AA202" s="537">
        <f>F202/X202</f>
        <v/>
      </c>
      <c r="AB202" s="282">
        <f>(Z202-AA202)/AA202</f>
        <v/>
      </c>
      <c r="AC202" s="537" t="n"/>
      <c r="AD202" s="537" t="n"/>
      <c r="AE202" s="282">
        <f>(AC202-AD202)/AD202</f>
        <v/>
      </c>
      <c r="AF202" s="537" t="n"/>
      <c r="AG202" s="537" t="n"/>
      <c r="AH202">
        <f>(AF202-AG202)/AG202</f>
        <v/>
      </c>
      <c r="AI202" s="537" t="n"/>
      <c r="AJ202" s="537" t="n"/>
      <c r="AK202" s="282">
        <f>(AI202-AJ202)/AJ202</f>
        <v/>
      </c>
      <c r="AL202" s="286">
        <f>AF202/AI202</f>
        <v/>
      </c>
      <c r="AM202" s="286">
        <f>AG202/AJ202</f>
        <v/>
      </c>
      <c r="AN202" s="282">
        <f>(AL202-AM202)/AM202</f>
        <v/>
      </c>
    </row>
    <row customHeight="1" ht="15.75" r="203" s="452" spans="1:41">
      <c r="A203" s="279" t="n"/>
      <c r="B203" s="279" t="n"/>
      <c r="C203" s="280" t="n"/>
      <c r="D203" s="280" t="n"/>
      <c r="E203" s="535" t="n"/>
      <c r="F203" s="535" t="n"/>
      <c r="G203" s="282">
        <f>(E203-F203)/F203</f>
        <v/>
      </c>
      <c r="H203" s="535" t="n"/>
      <c r="I203" s="536" t="n"/>
      <c r="J203" s="282">
        <f>(H203-I203)/I203</f>
        <v/>
      </c>
      <c r="K203" s="535">
        <f>H203*1.085</f>
        <v/>
      </c>
      <c r="L203" s="535">
        <f>I203*1.085</f>
        <v/>
      </c>
      <c r="M203" s="282">
        <f>(K203-L203)/L203</f>
        <v/>
      </c>
      <c r="N203" s="536">
        <f>E203/H203</f>
        <v/>
      </c>
      <c r="O203" s="536">
        <f>F203/I203</f>
        <v/>
      </c>
      <c r="P203" s="282">
        <f>(N203-O203)/O203</f>
        <v/>
      </c>
      <c r="Q203" s="536">
        <f>E203/K203</f>
        <v/>
      </c>
      <c r="R203" s="536">
        <f>F203/L203</f>
        <v/>
      </c>
      <c r="S203" s="282">
        <f>(Q203-R203)/R203</f>
        <v/>
      </c>
      <c r="T203" s="537" t="n"/>
      <c r="U203" s="537" t="n"/>
      <c r="V203" s="282">
        <f>(T203-U203)/U203</f>
        <v/>
      </c>
      <c r="W203" s="537" t="n"/>
      <c r="X203" s="537" t="n"/>
      <c r="Y203" s="282">
        <f>(W203-X203)/X203</f>
        <v/>
      </c>
      <c r="Z203" s="537">
        <f>E203/W203</f>
        <v/>
      </c>
      <c r="AA203" s="537">
        <f>F203/X203</f>
        <v/>
      </c>
      <c r="AB203" s="282">
        <f>(Z203-AA203)/AA203</f>
        <v/>
      </c>
      <c r="AC203" s="537" t="n"/>
      <c r="AD203" s="537" t="n"/>
      <c r="AE203" s="282">
        <f>(AC203-AD203)/AD203</f>
        <v/>
      </c>
      <c r="AF203" s="537" t="n"/>
      <c r="AG203" s="537" t="n"/>
      <c r="AH203">
        <f>(AF203-AG203)/AG203</f>
        <v/>
      </c>
      <c r="AI203" s="537" t="n"/>
      <c r="AJ203" s="537" t="n"/>
      <c r="AK203" s="282">
        <f>(AI203-AJ203)/AJ203</f>
        <v/>
      </c>
      <c r="AL203" s="286">
        <f>AF203/AI203</f>
        <v/>
      </c>
      <c r="AM203" s="286">
        <f>AG203/AJ203</f>
        <v/>
      </c>
      <c r="AN203" s="282">
        <f>(AL203-AM203)/AM203</f>
        <v/>
      </c>
    </row>
    <row customHeight="1" ht="15.75" r="204" s="452" spans="1:41">
      <c r="A204" s="279" t="n"/>
      <c r="B204" s="279" t="n"/>
      <c r="C204" s="280" t="n"/>
      <c r="D204" s="280" t="n"/>
      <c r="E204" s="535" t="n"/>
      <c r="F204" s="535" t="n"/>
      <c r="G204" s="282">
        <f>(E204-F204)/F204</f>
        <v/>
      </c>
      <c r="H204" s="535" t="n"/>
      <c r="I204" s="536" t="n"/>
      <c r="J204" s="282">
        <f>(H204-I204)/I204</f>
        <v/>
      </c>
      <c r="K204" s="535">
        <f>H204*1.085</f>
        <v/>
      </c>
      <c r="L204" s="535">
        <f>I204*1.085</f>
        <v/>
      </c>
      <c r="M204" s="282">
        <f>(K204-L204)/L204</f>
        <v/>
      </c>
      <c r="N204" s="536">
        <f>E204/H204</f>
        <v/>
      </c>
      <c r="O204" s="536">
        <f>F204/I204</f>
        <v/>
      </c>
      <c r="P204" s="282">
        <f>(N204-O204)/O204</f>
        <v/>
      </c>
      <c r="Q204" s="536">
        <f>E204/K204</f>
        <v/>
      </c>
      <c r="R204" s="536">
        <f>F204/L204</f>
        <v/>
      </c>
      <c r="S204" s="282">
        <f>(Q204-R204)/R204</f>
        <v/>
      </c>
      <c r="T204" s="537" t="n"/>
      <c r="U204" s="537" t="n"/>
      <c r="V204" s="282">
        <f>(T204-U204)/U204</f>
        <v/>
      </c>
      <c r="W204" s="537" t="n"/>
      <c r="X204" s="537" t="n"/>
      <c r="Y204" s="282">
        <f>(W204-X204)/X204</f>
        <v/>
      </c>
      <c r="Z204" s="537">
        <f>E204/W204</f>
        <v/>
      </c>
      <c r="AA204" s="537">
        <f>F204/X204</f>
        <v/>
      </c>
      <c r="AB204" s="282">
        <f>(Z204-AA204)/AA204</f>
        <v/>
      </c>
      <c r="AC204" s="537" t="n"/>
      <c r="AD204" s="537" t="n"/>
      <c r="AE204" s="282">
        <f>(AC204-AD204)/AD204</f>
        <v/>
      </c>
      <c r="AF204" s="537" t="n"/>
      <c r="AG204" s="537" t="n"/>
      <c r="AH204">
        <f>(AF204-AG204)/AG204</f>
        <v/>
      </c>
      <c r="AI204" s="537" t="n"/>
      <c r="AJ204" s="537" t="n"/>
      <c r="AK204" s="282">
        <f>(AI204-AJ204)/AJ204</f>
        <v/>
      </c>
      <c r="AL204" s="286">
        <f>AF204/AI204</f>
        <v/>
      </c>
      <c r="AM204" s="286">
        <f>AG204/AJ204</f>
        <v/>
      </c>
      <c r="AN204" s="282">
        <f>(AL204-AM204)/AM204</f>
        <v/>
      </c>
    </row>
    <row customHeight="1" ht="15.75" r="205" s="452" spans="1:41">
      <c r="A205" s="279" t="n"/>
      <c r="B205" s="279" t="n"/>
      <c r="C205" s="280" t="n"/>
      <c r="D205" s="297" t="s">
        <v>177</v>
      </c>
      <c r="E205" s="535" t="n"/>
      <c r="F205" s="535" t="n">
        <v>617</v>
      </c>
      <c r="G205" s="282">
        <f>(E205-F205)/F205</f>
        <v/>
      </c>
      <c r="H205" s="535" t="n"/>
      <c r="I205" s="536" t="n">
        <v>6962.5</v>
      </c>
      <c r="J205" s="282">
        <f>(H205-I205)/I205</f>
        <v/>
      </c>
      <c r="K205" s="535">
        <f>H205*1.085</f>
        <v/>
      </c>
      <c r="L205" s="535">
        <f>I205*1.085</f>
        <v/>
      </c>
      <c r="M205" s="282">
        <f>(K205-L205)/L205</f>
        <v/>
      </c>
      <c r="N205" s="536">
        <f>E205/H205</f>
        <v/>
      </c>
      <c r="O205" s="536">
        <f>F205/I205</f>
        <v/>
      </c>
      <c r="P205" s="282">
        <f>(N205-O205)/O205</f>
        <v/>
      </c>
      <c r="Q205" s="536">
        <f>E205/K205</f>
        <v/>
      </c>
      <c r="R205" s="536">
        <f>F205/L205</f>
        <v/>
      </c>
      <c r="S205" s="282">
        <f>(Q205-R205)/R205</f>
        <v/>
      </c>
      <c r="T205" s="537" t="n">
        <v>14</v>
      </c>
      <c r="U205" s="537" t="n">
        <v>3498</v>
      </c>
      <c r="V205" s="282">
        <f>(T205-U205)/U205</f>
        <v/>
      </c>
      <c r="W205" s="537" t="n"/>
      <c r="X205" s="537" t="n">
        <v>5</v>
      </c>
      <c r="Y205" s="282">
        <f>(W205-X205)/X205</f>
        <v/>
      </c>
      <c r="Z205" s="537">
        <f>E205/W205</f>
        <v/>
      </c>
      <c r="AA205" s="537">
        <f>F205/X205</f>
        <v/>
      </c>
      <c r="AB205" s="282">
        <f>(Z205-AA205)/AA205</f>
        <v/>
      </c>
      <c r="AC205" s="537" t="n"/>
      <c r="AD205" s="537" t="n">
        <v>598383</v>
      </c>
      <c r="AE205" s="282">
        <f>(AC205-AD205)/AD205</f>
        <v/>
      </c>
      <c r="AF205" s="537" t="n"/>
      <c r="AG205" s="537" t="n">
        <v>11454</v>
      </c>
      <c r="AH205">
        <f>(AF205-AG205)/AG205</f>
        <v/>
      </c>
      <c r="AI205" s="537" t="n"/>
      <c r="AJ205" s="537" t="n">
        <v>1120146</v>
      </c>
      <c r="AK205" s="282">
        <f>(AI205-AJ205)/AJ205</f>
        <v/>
      </c>
      <c r="AL205" s="286">
        <f>AF205/AI205</f>
        <v/>
      </c>
      <c r="AM205" s="286">
        <f>AG205/AJ205</f>
        <v/>
      </c>
      <c r="AN205" s="282">
        <f>(AL205-AM205)/AM205</f>
        <v/>
      </c>
    </row>
    <row customHeight="1" ht="15.75" r="206" s="452" spans="1:41">
      <c r="A206" s="49" t="s">
        <v>48</v>
      </c>
      <c r="B206" s="49" t="s">
        <v>119</v>
      </c>
      <c r="C206" s="50">
        <f>C200+7</f>
        <v/>
      </c>
      <c r="D206" s="50" t="s">
        <v>60</v>
      </c>
      <c r="E206" s="566">
        <f>SUM(E207:E211)</f>
        <v/>
      </c>
      <c r="F206" s="566">
        <f>SUM(F207:F211)</f>
        <v/>
      </c>
      <c r="G206" s="52">
        <f>(E206-F206)/F206</f>
        <v/>
      </c>
      <c r="H206" s="566">
        <f>SUM(H207:H211)</f>
        <v/>
      </c>
      <c r="I206" s="566">
        <f>SUM(I207:I211)</f>
        <v/>
      </c>
      <c r="J206" s="52">
        <f>(H206-I206)/I206</f>
        <v/>
      </c>
      <c r="K206" s="566">
        <f>H206*1.085</f>
        <v/>
      </c>
      <c r="L206" s="566">
        <f>I206*1.085</f>
        <v/>
      </c>
      <c r="M206" s="52">
        <f>(K206-L206)/L206</f>
        <v/>
      </c>
      <c r="N206" s="567">
        <f>E206/H206</f>
        <v/>
      </c>
      <c r="O206" s="567">
        <f>F206/I206</f>
        <v/>
      </c>
      <c r="P206" s="52">
        <f>(N206-O206)/O206</f>
        <v/>
      </c>
      <c r="Q206" s="567">
        <f>E206/K206</f>
        <v/>
      </c>
      <c r="R206" s="567">
        <f>F206/L206</f>
        <v/>
      </c>
      <c r="S206" s="52">
        <f>(Q206-R206)/R206</f>
        <v/>
      </c>
      <c r="T206" s="568">
        <f>SUM(T207:T211)</f>
        <v/>
      </c>
      <c r="U206" s="568">
        <f>SUM(U207:U211)</f>
        <v/>
      </c>
      <c r="V206" s="52">
        <f>(T206-U206)/U206</f>
        <v/>
      </c>
      <c r="W206" s="568">
        <f>SUM(W207:W211)</f>
        <v/>
      </c>
      <c r="X206" s="568">
        <f>SUM(X207:X211)</f>
        <v/>
      </c>
      <c r="Y206" s="52">
        <f>(W206-X206)/X206</f>
        <v/>
      </c>
      <c r="Z206" s="566">
        <f>E206/W206</f>
        <v/>
      </c>
      <c r="AA206" s="568">
        <f>F206/X206</f>
        <v/>
      </c>
      <c r="AB206" s="52">
        <f>(Z206-AA206)/AA206</f>
        <v/>
      </c>
      <c r="AC206" s="568">
        <f>SUM(AC207:AC211)</f>
        <v/>
      </c>
      <c r="AD206" s="568">
        <f>SUM(AD207:AD211)</f>
        <v/>
      </c>
      <c r="AE206" s="52">
        <f>(AC206-AD206)/AD206</f>
        <v/>
      </c>
      <c r="AF206" s="568">
        <f>SUM(AF207:AF211)</f>
        <v/>
      </c>
      <c r="AG206" s="568">
        <f>SUM(AG207:AG211)</f>
        <v/>
      </c>
      <c r="AH206" s="67">
        <f>(AF206-AG206)/AG206</f>
        <v/>
      </c>
      <c r="AI206" s="568">
        <f>SUM(AI207:AI211)</f>
        <v/>
      </c>
      <c r="AJ206" s="568">
        <f>SUM(AJ207:AJ211)</f>
        <v/>
      </c>
      <c r="AK206" s="52">
        <f>(AI206-AJ206)/AJ206</f>
        <v/>
      </c>
      <c r="AL206" s="82">
        <f>AF206/AI206</f>
        <v/>
      </c>
      <c r="AM206" s="82">
        <f>AG206/AJ206</f>
        <v/>
      </c>
      <c r="AN206" s="52">
        <f>(AL206-AM206)/AM206</f>
        <v/>
      </c>
    </row>
    <row customHeight="1" ht="15.75" r="207" s="452" spans="1:41">
      <c r="A207" s="279" t="n"/>
      <c r="B207" s="279" t="n"/>
      <c r="C207" s="280" t="n"/>
      <c r="D207" s="280" t="n"/>
      <c r="E207" s="535" t="n"/>
      <c r="F207" s="535" t="n"/>
      <c r="G207" s="282">
        <f>(E207-F207)/F207</f>
        <v/>
      </c>
      <c r="H207" s="535" t="n"/>
      <c r="I207" s="536" t="n"/>
      <c r="J207" s="282">
        <f>(H207-I207)/I207</f>
        <v/>
      </c>
      <c r="K207" s="535">
        <f>H207*1.085</f>
        <v/>
      </c>
      <c r="L207" s="535">
        <f>I207*1.085</f>
        <v/>
      </c>
      <c r="M207" s="282">
        <f>(K207-L207)/L207</f>
        <v/>
      </c>
      <c r="N207" s="536">
        <f>E207/H207</f>
        <v/>
      </c>
      <c r="O207" s="536">
        <f>F207/I207</f>
        <v/>
      </c>
      <c r="P207" s="282">
        <f>(N207-O207)/O207</f>
        <v/>
      </c>
      <c r="Q207" s="536">
        <f>E207/K207</f>
        <v/>
      </c>
      <c r="R207" s="536">
        <f>F207/L207</f>
        <v/>
      </c>
      <c r="S207" s="282">
        <f>(Q207-R207)/R207</f>
        <v/>
      </c>
      <c r="T207" s="537" t="n"/>
      <c r="U207" s="537" t="n"/>
      <c r="V207" s="282">
        <f>(T207-U207)/U207</f>
        <v/>
      </c>
      <c r="W207" s="537" t="n"/>
      <c r="X207" s="537" t="n"/>
      <c r="Y207" s="282">
        <f>(W207-X207)/X207</f>
        <v/>
      </c>
      <c r="Z207" s="537">
        <f>E207/W207</f>
        <v/>
      </c>
      <c r="AA207" s="537">
        <f>F207/X207</f>
        <v/>
      </c>
      <c r="AB207" s="282">
        <f>(Z207-AA207)/AA207</f>
        <v/>
      </c>
      <c r="AC207" s="537" t="n"/>
      <c r="AD207" s="537" t="n"/>
      <c r="AE207" s="282">
        <f>(AC207-AD207)/AD207</f>
        <v/>
      </c>
      <c r="AF207" s="537" t="n"/>
      <c r="AG207" s="537" t="n"/>
      <c r="AH207">
        <f>(AF207-AG207)/AG207</f>
        <v/>
      </c>
      <c r="AI207" s="537" t="n"/>
      <c r="AJ207" s="537" t="n"/>
      <c r="AK207" s="282">
        <f>(AI207-AJ207)/AJ207</f>
        <v/>
      </c>
      <c r="AL207" s="286">
        <f>AF207/AI207</f>
        <v/>
      </c>
      <c r="AM207" s="286">
        <f>AG207/AJ207</f>
        <v/>
      </c>
      <c r="AN207" s="282">
        <f>(AL207-AM207)/AM207</f>
        <v/>
      </c>
    </row>
    <row customHeight="1" ht="15.75" r="208" s="452" spans="1:41">
      <c r="A208" s="279" t="n"/>
      <c r="B208" s="279" t="n"/>
      <c r="C208" s="280" t="n"/>
      <c r="D208" s="280" t="n"/>
      <c r="E208" s="535" t="n"/>
      <c r="F208" s="535" t="n"/>
      <c r="G208" s="282">
        <f>(E208-F208)/F208</f>
        <v/>
      </c>
      <c r="H208" s="535" t="n"/>
      <c r="I208" s="536" t="n"/>
      <c r="J208" s="282">
        <f>(H208-I208)/I208</f>
        <v/>
      </c>
      <c r="K208" s="535">
        <f>H208*1.085</f>
        <v/>
      </c>
      <c r="L208" s="535">
        <f>I208*1.085</f>
        <v/>
      </c>
      <c r="M208" s="282">
        <f>(K208-L208)/L208</f>
        <v/>
      </c>
      <c r="N208" s="536">
        <f>E208/H208</f>
        <v/>
      </c>
      <c r="O208" s="536">
        <f>F208/I208</f>
        <v/>
      </c>
      <c r="P208" s="282">
        <f>(N208-O208)/O208</f>
        <v/>
      </c>
      <c r="Q208" s="536">
        <f>E208/K208</f>
        <v/>
      </c>
      <c r="R208" s="536">
        <f>F208/L208</f>
        <v/>
      </c>
      <c r="S208" s="282">
        <f>(Q208-R208)/R208</f>
        <v/>
      </c>
      <c r="T208" s="537" t="n"/>
      <c r="U208" s="537" t="n"/>
      <c r="V208" s="282">
        <f>(T208-U208)/U208</f>
        <v/>
      </c>
      <c r="W208" s="537" t="n"/>
      <c r="X208" s="537" t="n"/>
      <c r="Y208" s="282">
        <f>(W208-X208)/X208</f>
        <v/>
      </c>
      <c r="Z208" s="537">
        <f>E208/W208</f>
        <v/>
      </c>
      <c r="AA208" s="537">
        <f>F208/X208</f>
        <v/>
      </c>
      <c r="AB208" s="282">
        <f>(Z208-AA208)/AA208</f>
        <v/>
      </c>
      <c r="AC208" s="537" t="n"/>
      <c r="AD208" s="537" t="n"/>
      <c r="AE208" s="282">
        <f>(AC208-AD208)/AD208</f>
        <v/>
      </c>
      <c r="AF208" s="537" t="n"/>
      <c r="AG208" s="537" t="n"/>
      <c r="AH208">
        <f>(AF208-AG208)/AG208</f>
        <v/>
      </c>
      <c r="AI208" s="537" t="n"/>
      <c r="AJ208" s="537" t="n"/>
      <c r="AK208" s="282">
        <f>(AI208-AJ208)/AJ208</f>
        <v/>
      </c>
      <c r="AL208" s="286">
        <f>AF208/AI208</f>
        <v/>
      </c>
      <c r="AM208" s="286">
        <f>AG208/AJ208</f>
        <v/>
      </c>
      <c r="AN208" s="282">
        <f>(AL208-AM208)/AM208</f>
        <v/>
      </c>
    </row>
    <row customHeight="1" ht="15.75" r="209" s="452" spans="1:41">
      <c r="A209" s="279" t="n"/>
      <c r="B209" s="279" t="n"/>
      <c r="C209" s="280" t="n"/>
      <c r="D209" s="280" t="n"/>
      <c r="E209" s="535" t="n"/>
      <c r="F209" s="535" t="n"/>
      <c r="G209" s="282">
        <f>(E209-F209)/F209</f>
        <v/>
      </c>
      <c r="H209" s="535" t="n"/>
      <c r="I209" s="536" t="n"/>
      <c r="J209" s="282">
        <f>(H209-I209)/I209</f>
        <v/>
      </c>
      <c r="K209" s="535">
        <f>H209*1.085</f>
        <v/>
      </c>
      <c r="L209" s="535">
        <f>I209*1.085</f>
        <v/>
      </c>
      <c r="M209" s="282">
        <f>(K209-L209)/L209</f>
        <v/>
      </c>
      <c r="N209" s="536">
        <f>E209/H209</f>
        <v/>
      </c>
      <c r="O209" s="536">
        <f>F209/I209</f>
        <v/>
      </c>
      <c r="P209" s="282">
        <f>(N209-O209)/O209</f>
        <v/>
      </c>
      <c r="Q209" s="536">
        <f>E209/K209</f>
        <v/>
      </c>
      <c r="R209" s="536">
        <f>F209/L209</f>
        <v/>
      </c>
      <c r="S209" s="282">
        <f>(Q209-R209)/R209</f>
        <v/>
      </c>
      <c r="T209" s="537" t="n"/>
      <c r="U209" s="537" t="n"/>
      <c r="V209" s="282">
        <f>(T209-U209)/U209</f>
        <v/>
      </c>
      <c r="W209" s="537" t="n"/>
      <c r="X209" s="537" t="n"/>
      <c r="Y209" s="282">
        <f>(W209-X209)/X209</f>
        <v/>
      </c>
      <c r="Z209" s="537">
        <f>E209/W209</f>
        <v/>
      </c>
      <c r="AA209" s="537">
        <f>F209/X209</f>
        <v/>
      </c>
      <c r="AB209" s="282">
        <f>(Z209-AA209)/AA209</f>
        <v/>
      </c>
      <c r="AC209" s="537" t="n"/>
      <c r="AD209" s="537" t="n"/>
      <c r="AE209" s="282">
        <f>(AC209-AD209)/AD209</f>
        <v/>
      </c>
      <c r="AF209" s="537" t="n"/>
      <c r="AG209" s="537" t="n"/>
      <c r="AH209">
        <f>(AF209-AG209)/AG209</f>
        <v/>
      </c>
      <c r="AI209" s="537" t="n"/>
      <c r="AJ209" s="537" t="n"/>
      <c r="AK209" s="282">
        <f>(AI209-AJ209)/AJ209</f>
        <v/>
      </c>
      <c r="AL209" s="286">
        <f>AF209/AI209</f>
        <v/>
      </c>
      <c r="AM209" s="286">
        <f>AG209/AJ209</f>
        <v/>
      </c>
      <c r="AN209" s="282">
        <f>(AL209-AM209)/AM209</f>
        <v/>
      </c>
    </row>
    <row customHeight="1" ht="15.75" r="210" s="452" spans="1:41">
      <c r="A210" s="279" t="n"/>
      <c r="B210" s="279" t="n"/>
      <c r="C210" s="280" t="n"/>
      <c r="D210" s="280" t="n"/>
      <c r="E210" s="535" t="n"/>
      <c r="F210" s="535" t="n"/>
      <c r="G210" s="282">
        <f>(E210-F210)/F210</f>
        <v/>
      </c>
      <c r="H210" s="535" t="n"/>
      <c r="I210" s="536" t="n"/>
      <c r="J210" s="282">
        <f>(H210-I210)/I210</f>
        <v/>
      </c>
      <c r="K210" s="535">
        <f>H210*1.085</f>
        <v/>
      </c>
      <c r="L210" s="535">
        <f>I210*1.085</f>
        <v/>
      </c>
      <c r="M210" s="282">
        <f>(K210-L210)/L210</f>
        <v/>
      </c>
      <c r="N210" s="536">
        <f>E210/H210</f>
        <v/>
      </c>
      <c r="O210" s="536">
        <f>F210/I210</f>
        <v/>
      </c>
      <c r="P210" s="282">
        <f>(N210-O210)/O210</f>
        <v/>
      </c>
      <c r="Q210" s="536">
        <f>E210/K210</f>
        <v/>
      </c>
      <c r="R210" s="536">
        <f>F210/L210</f>
        <v/>
      </c>
      <c r="S210" s="282">
        <f>(Q210-R210)/R210</f>
        <v/>
      </c>
      <c r="T210" s="537" t="n"/>
      <c r="U210" s="537" t="n"/>
      <c r="V210" s="282">
        <f>(T210-U210)/U210</f>
        <v/>
      </c>
      <c r="W210" s="537" t="n"/>
      <c r="X210" s="537" t="n"/>
      <c r="Y210" s="282">
        <f>(W210-X210)/X210</f>
        <v/>
      </c>
      <c r="Z210" s="537">
        <f>E210/W210</f>
        <v/>
      </c>
      <c r="AA210" s="537">
        <f>F210/X210</f>
        <v/>
      </c>
      <c r="AB210" s="282">
        <f>(Z210-AA210)/AA210</f>
        <v/>
      </c>
      <c r="AC210" s="537" t="n"/>
      <c r="AD210" s="537" t="n"/>
      <c r="AE210" s="282">
        <f>(AC210-AD210)/AD210</f>
        <v/>
      </c>
      <c r="AF210" s="537" t="n"/>
      <c r="AG210" s="537" t="n"/>
      <c r="AH210">
        <f>(AF210-AG210)/AG210</f>
        <v/>
      </c>
      <c r="AI210" s="537" t="n"/>
      <c r="AJ210" s="537" t="n"/>
      <c r="AK210" s="282">
        <f>(AI210-AJ210)/AJ210</f>
        <v/>
      </c>
      <c r="AL210" s="286">
        <f>AF210/AI210</f>
        <v/>
      </c>
      <c r="AM210" s="286">
        <f>AG210/AJ210</f>
        <v/>
      </c>
      <c r="AN210" s="282">
        <f>(AL210-AM210)/AM210</f>
        <v/>
      </c>
    </row>
    <row customHeight="1" ht="15.75" r="211" s="452" spans="1:41">
      <c r="A211" s="279" t="n"/>
      <c r="B211" s="279" t="n"/>
      <c r="C211" s="280" t="n"/>
      <c r="D211" s="297" t="s">
        <v>177</v>
      </c>
      <c r="E211" s="535" t="n"/>
      <c r="F211" s="535" t="n">
        <v>152</v>
      </c>
      <c r="G211" s="282">
        <f>(E211-F211)/F211</f>
        <v/>
      </c>
      <c r="H211" s="535" t="n"/>
      <c r="I211" s="536" t="n">
        <v>6820.43</v>
      </c>
      <c r="J211" s="282">
        <f>(H211-I211)/I211</f>
        <v/>
      </c>
      <c r="K211" s="535">
        <f>H211*1.085</f>
        <v/>
      </c>
      <c r="L211" s="535">
        <f>I211*1.085</f>
        <v/>
      </c>
      <c r="M211" s="282">
        <f>(K211-L211)/L211</f>
        <v/>
      </c>
      <c r="N211" s="536">
        <f>E211/H211</f>
        <v/>
      </c>
      <c r="O211" s="536">
        <f>F211/I211</f>
        <v/>
      </c>
      <c r="P211" s="282">
        <f>(N211-O211)/O211</f>
        <v/>
      </c>
      <c r="Q211" s="536">
        <f>E211/K211</f>
        <v/>
      </c>
      <c r="R211" s="536">
        <f>F211/L211</f>
        <v/>
      </c>
      <c r="S211" s="282">
        <f>(Q211-R211)/R211</f>
        <v/>
      </c>
      <c r="T211" s="537" t="n"/>
      <c r="U211" s="537" t="n">
        <v>1901</v>
      </c>
      <c r="V211" s="282">
        <f>(T211-U211)/U211</f>
        <v/>
      </c>
      <c r="W211" s="537" t="n"/>
      <c r="X211" s="537" t="n">
        <v>2</v>
      </c>
      <c r="Y211" s="282">
        <f>(W211-X211)/X211</f>
        <v/>
      </c>
      <c r="Z211" s="537">
        <f>E211/W211</f>
        <v/>
      </c>
      <c r="AA211" s="537">
        <f>F211/X211</f>
        <v/>
      </c>
      <c r="AB211" s="282">
        <f>(Z211-AA211)/AA211</f>
        <v/>
      </c>
      <c r="AC211" s="537" t="n"/>
      <c r="AD211" s="537" t="n">
        <v>580092</v>
      </c>
      <c r="AE211" s="282">
        <f>(AC211-AD211)/AD211</f>
        <v/>
      </c>
      <c r="AF211" s="537" t="n"/>
      <c r="AG211" s="537" t="n">
        <v>9380</v>
      </c>
      <c r="AH211">
        <f>(AF211-AG211)/AG211</f>
        <v/>
      </c>
      <c r="AI211" s="537" t="n"/>
      <c r="AJ211" s="537" t="n">
        <v>1081843</v>
      </c>
      <c r="AK211" s="282">
        <f>(AI211-AJ211)/AJ211</f>
        <v/>
      </c>
      <c r="AL211" s="286">
        <f>AF211/AI211</f>
        <v/>
      </c>
      <c r="AM211" s="286">
        <f>AG211/AJ211</f>
        <v/>
      </c>
      <c r="AN211" s="282">
        <f>(AL211-AM211)/AM211</f>
        <v/>
      </c>
    </row>
    <row customHeight="1" ht="15.75" r="212" s="452" spans="1:41">
      <c r="A212" s="49" t="s">
        <v>48</v>
      </c>
      <c r="B212" s="49" t="s">
        <v>120</v>
      </c>
      <c r="C212" s="50">
        <f>C206+7</f>
        <v/>
      </c>
      <c r="D212" s="50" t="s">
        <v>60</v>
      </c>
      <c r="E212" s="566">
        <f>SUM(E213:E217)</f>
        <v/>
      </c>
      <c r="F212" s="566">
        <f>SUM(F213:F217)</f>
        <v/>
      </c>
      <c r="G212" s="52">
        <f>(E212-F212)/F212</f>
        <v/>
      </c>
      <c r="H212" s="566">
        <f>SUM(H213:H217)</f>
        <v/>
      </c>
      <c r="I212" s="566">
        <f>SUM(I213:I217)</f>
        <v/>
      </c>
      <c r="J212" s="52">
        <f>(H212-I212)/I212</f>
        <v/>
      </c>
      <c r="K212" s="566">
        <f>H212*1.085</f>
        <v/>
      </c>
      <c r="L212" s="566">
        <f>I212*1.085</f>
        <v/>
      </c>
      <c r="M212" s="52">
        <f>(K212-L212)/L212</f>
        <v/>
      </c>
      <c r="N212" s="567">
        <f>E212/H212</f>
        <v/>
      </c>
      <c r="O212" s="567">
        <f>F212/I212</f>
        <v/>
      </c>
      <c r="P212" s="52">
        <f>(N212-O212)/O212</f>
        <v/>
      </c>
      <c r="Q212" s="567">
        <f>E212/K212</f>
        <v/>
      </c>
      <c r="R212" s="567">
        <f>F212/L212</f>
        <v/>
      </c>
      <c r="S212" s="52">
        <f>(Q212-R212)/R212</f>
        <v/>
      </c>
      <c r="T212" s="568">
        <f>SUM(T213:T217)</f>
        <v/>
      </c>
      <c r="U212" s="568">
        <f>SUM(U213:U217)</f>
        <v/>
      </c>
      <c r="V212" s="52">
        <f>(T212-U212)/U212</f>
        <v/>
      </c>
      <c r="W212" s="568">
        <f>SUM(W213:W217)</f>
        <v/>
      </c>
      <c r="X212" s="568">
        <f>SUM(X213:X217)</f>
        <v/>
      </c>
      <c r="Y212" s="52">
        <f>(W212-X212)/X212</f>
        <v/>
      </c>
      <c r="Z212" s="566">
        <f>E212/W212</f>
        <v/>
      </c>
      <c r="AA212" s="568">
        <f>F212/X212</f>
        <v/>
      </c>
      <c r="AB212" s="52">
        <f>(Z212-AA212)/AA212</f>
        <v/>
      </c>
      <c r="AC212" s="568">
        <f>SUM(AC213:AC217)</f>
        <v/>
      </c>
      <c r="AD212" s="568">
        <f>SUM(AD213:AD217)</f>
        <v/>
      </c>
      <c r="AE212" s="52">
        <f>(AC212-AD212)/AD212</f>
        <v/>
      </c>
      <c r="AF212" s="568">
        <f>SUM(AF213:AF217)</f>
        <v/>
      </c>
      <c r="AG212" s="568">
        <f>SUM(AG213:AG217)</f>
        <v/>
      </c>
      <c r="AH212" s="67">
        <f>(AF212-AG212)/AG212</f>
        <v/>
      </c>
      <c r="AI212" s="568">
        <f>SUM(AI213:AI217)</f>
        <v/>
      </c>
      <c r="AJ212" s="568">
        <f>SUM(AJ213:AJ217)</f>
        <v/>
      </c>
      <c r="AK212" s="52">
        <f>(AI212-AJ212)/AJ212</f>
        <v/>
      </c>
      <c r="AL212" s="82">
        <f>AF212/AI212</f>
        <v/>
      </c>
      <c r="AM212" s="82">
        <f>AG212/AJ212</f>
        <v/>
      </c>
      <c r="AN212" s="52">
        <f>(AL212-AM212)/AM212</f>
        <v/>
      </c>
    </row>
    <row customHeight="1" ht="15.75" r="213" s="452" spans="1:41">
      <c r="A213" s="279" t="n"/>
      <c r="B213" s="279" t="n"/>
      <c r="C213" s="280" t="n"/>
      <c r="D213" s="280" t="n"/>
      <c r="E213" s="535" t="n"/>
      <c r="F213" s="535" t="n"/>
      <c r="G213" s="282">
        <f>(E213-F213)/F213</f>
        <v/>
      </c>
      <c r="H213" s="535" t="n"/>
      <c r="I213" s="536" t="n"/>
      <c r="J213" s="282">
        <f>(H213-I213)/I213</f>
        <v/>
      </c>
      <c r="K213" s="535">
        <f>H213*1.085</f>
        <v/>
      </c>
      <c r="L213" s="535">
        <f>I213*1.085</f>
        <v/>
      </c>
      <c r="M213" s="282">
        <f>(K213-L213)/L213</f>
        <v/>
      </c>
      <c r="N213" s="536">
        <f>E213/H213</f>
        <v/>
      </c>
      <c r="O213" s="536">
        <f>F213/I213</f>
        <v/>
      </c>
      <c r="P213" s="282">
        <f>(N213-O213)/O213</f>
        <v/>
      </c>
      <c r="Q213" s="536">
        <f>E213/K213</f>
        <v/>
      </c>
      <c r="R213" s="536">
        <f>F213/L213</f>
        <v/>
      </c>
      <c r="S213" s="282">
        <f>(Q213-R213)/R213</f>
        <v/>
      </c>
      <c r="T213" s="537" t="n"/>
      <c r="U213" s="537" t="n"/>
      <c r="V213" s="282">
        <f>(T213-U213)/U213</f>
        <v/>
      </c>
      <c r="W213" s="537" t="n"/>
      <c r="X213" s="537" t="n"/>
      <c r="Y213" s="282">
        <f>(W213-X213)/X213</f>
        <v/>
      </c>
      <c r="Z213" s="537">
        <f>E213/W213</f>
        <v/>
      </c>
      <c r="AA213" s="537">
        <f>F213/X213</f>
        <v/>
      </c>
      <c r="AB213" s="282">
        <f>(Z213-AA213)/AA213</f>
        <v/>
      </c>
      <c r="AC213" s="537" t="n"/>
      <c r="AD213" s="537" t="n"/>
      <c r="AE213" s="282">
        <f>(AC213-AD213)/AD213</f>
        <v/>
      </c>
      <c r="AF213" s="537" t="n"/>
      <c r="AG213" s="537" t="n"/>
      <c r="AH213">
        <f>(AF213-AG213)/AG213</f>
        <v/>
      </c>
      <c r="AI213" s="537" t="n"/>
      <c r="AJ213" s="537" t="n"/>
      <c r="AK213" s="282">
        <f>(AI213-AJ213)/AJ213</f>
        <v/>
      </c>
      <c r="AL213" s="286">
        <f>AF213/AI213</f>
        <v/>
      </c>
      <c r="AM213" s="286">
        <f>AG213/AJ213</f>
        <v/>
      </c>
      <c r="AN213" s="282">
        <f>(AL213-AM213)/AM213</f>
        <v/>
      </c>
    </row>
    <row customHeight="1" ht="15.75" r="214" s="452" spans="1:41">
      <c r="A214" s="279" t="n"/>
      <c r="B214" s="279" t="n"/>
      <c r="C214" s="280" t="n"/>
      <c r="D214" s="280" t="n"/>
      <c r="E214" s="535" t="n"/>
      <c r="F214" s="535" t="n"/>
      <c r="G214" s="282">
        <f>(E214-F214)/F214</f>
        <v/>
      </c>
      <c r="H214" s="535" t="n"/>
      <c r="I214" s="536" t="n"/>
      <c r="J214" s="282">
        <f>(H214-I214)/I214</f>
        <v/>
      </c>
      <c r="K214" s="535">
        <f>H214*1.085</f>
        <v/>
      </c>
      <c r="L214" s="535">
        <f>I214*1.085</f>
        <v/>
      </c>
      <c r="M214" s="282">
        <f>(K214-L214)/L214</f>
        <v/>
      </c>
      <c r="N214" s="536">
        <f>E214/H214</f>
        <v/>
      </c>
      <c r="O214" s="536">
        <f>F214/I214</f>
        <v/>
      </c>
      <c r="P214" s="282">
        <f>(N214-O214)/O214</f>
        <v/>
      </c>
      <c r="Q214" s="536">
        <f>E214/K214</f>
        <v/>
      </c>
      <c r="R214" s="536">
        <f>F214/L214</f>
        <v/>
      </c>
      <c r="S214" s="282">
        <f>(Q214-R214)/R214</f>
        <v/>
      </c>
      <c r="T214" s="537" t="n"/>
      <c r="U214" s="537" t="n"/>
      <c r="V214" s="282">
        <f>(T214-U214)/U214</f>
        <v/>
      </c>
      <c r="W214" s="537" t="n"/>
      <c r="X214" s="537" t="n"/>
      <c r="Y214" s="282">
        <f>(W214-X214)/X214</f>
        <v/>
      </c>
      <c r="Z214" s="537">
        <f>E214/W214</f>
        <v/>
      </c>
      <c r="AA214" s="537">
        <f>F214/X214</f>
        <v/>
      </c>
      <c r="AB214" s="282">
        <f>(Z214-AA214)/AA214</f>
        <v/>
      </c>
      <c r="AC214" s="537" t="n"/>
      <c r="AD214" s="537" t="n"/>
      <c r="AE214" s="282">
        <f>(AC214-AD214)/AD214</f>
        <v/>
      </c>
      <c r="AF214" s="537" t="n"/>
      <c r="AG214" s="537" t="n"/>
      <c r="AH214">
        <f>(AF214-AG214)/AG214</f>
        <v/>
      </c>
      <c r="AI214" s="537" t="n"/>
      <c r="AJ214" s="537" t="n"/>
      <c r="AK214" s="282">
        <f>(AI214-AJ214)/AJ214</f>
        <v/>
      </c>
      <c r="AL214" s="286">
        <f>AF214/AI214</f>
        <v/>
      </c>
      <c r="AM214" s="286">
        <f>AG214/AJ214</f>
        <v/>
      </c>
      <c r="AN214" s="282">
        <f>(AL214-AM214)/AM214</f>
        <v/>
      </c>
    </row>
    <row customHeight="1" ht="15.75" r="215" s="452" spans="1:41">
      <c r="A215" s="279" t="n"/>
      <c r="B215" s="279" t="n"/>
      <c r="C215" s="280" t="n"/>
      <c r="D215" s="280" t="n"/>
      <c r="E215" s="535" t="n"/>
      <c r="F215" s="535" t="n"/>
      <c r="G215" s="282">
        <f>(E215-F215)/F215</f>
        <v/>
      </c>
      <c r="H215" s="535" t="n"/>
      <c r="I215" s="536" t="n"/>
      <c r="J215" s="282">
        <f>(H215-I215)/I215</f>
        <v/>
      </c>
      <c r="K215" s="535">
        <f>H215*1.085</f>
        <v/>
      </c>
      <c r="L215" s="535">
        <f>I215*1.085</f>
        <v/>
      </c>
      <c r="M215" s="282">
        <f>(K215-L215)/L215</f>
        <v/>
      </c>
      <c r="N215" s="536">
        <f>E215/H215</f>
        <v/>
      </c>
      <c r="O215" s="536">
        <f>F215/I215</f>
        <v/>
      </c>
      <c r="P215" s="282">
        <f>(N215-O215)/O215</f>
        <v/>
      </c>
      <c r="Q215" s="536">
        <f>E215/K215</f>
        <v/>
      </c>
      <c r="R215" s="536">
        <f>F215/L215</f>
        <v/>
      </c>
      <c r="S215" s="282">
        <f>(Q215-R215)/R215</f>
        <v/>
      </c>
      <c r="T215" s="537" t="n"/>
      <c r="U215" s="537" t="n"/>
      <c r="V215" s="282">
        <f>(T215-U215)/U215</f>
        <v/>
      </c>
      <c r="W215" s="537" t="n"/>
      <c r="X215" s="537" t="n"/>
      <c r="Y215" s="282">
        <f>(W215-X215)/X215</f>
        <v/>
      </c>
      <c r="Z215" s="537">
        <f>E215/W215</f>
        <v/>
      </c>
      <c r="AA215" s="537">
        <f>F215/X215</f>
        <v/>
      </c>
      <c r="AB215" s="282">
        <f>(Z215-AA215)/AA215</f>
        <v/>
      </c>
      <c r="AC215" s="537" t="n"/>
      <c r="AD215" s="537" t="n"/>
      <c r="AE215" s="282">
        <f>(AC215-AD215)/AD215</f>
        <v/>
      </c>
      <c r="AF215" s="537" t="n"/>
      <c r="AG215" s="537" t="n"/>
      <c r="AH215">
        <f>(AF215-AG215)/AG215</f>
        <v/>
      </c>
      <c r="AI215" s="537" t="n"/>
      <c r="AJ215" s="537" t="n"/>
      <c r="AK215" s="282">
        <f>(AI215-AJ215)/AJ215</f>
        <v/>
      </c>
      <c r="AL215" s="286">
        <f>AF215/AI215</f>
        <v/>
      </c>
      <c r="AM215" s="286">
        <f>AG215/AJ215</f>
        <v/>
      </c>
      <c r="AN215" s="282">
        <f>(AL215-AM215)/AM215</f>
        <v/>
      </c>
    </row>
    <row customHeight="1" ht="15.75" r="216" s="452" spans="1:41">
      <c r="A216" s="279" t="n"/>
      <c r="B216" s="279" t="n"/>
      <c r="C216" s="280" t="n"/>
      <c r="D216" s="280" t="n"/>
      <c r="E216" s="535" t="n"/>
      <c r="F216" s="535" t="n"/>
      <c r="G216" s="282">
        <f>(E216-F216)/F216</f>
        <v/>
      </c>
      <c r="H216" s="535" t="n"/>
      <c r="I216" s="536" t="n"/>
      <c r="J216" s="282">
        <f>(H216-I216)/I216</f>
        <v/>
      </c>
      <c r="K216" s="535">
        <f>H216*1.085</f>
        <v/>
      </c>
      <c r="L216" s="535">
        <f>I216*1.085</f>
        <v/>
      </c>
      <c r="M216" s="282">
        <f>(K216-L216)/L216</f>
        <v/>
      </c>
      <c r="N216" s="536">
        <f>E216/H216</f>
        <v/>
      </c>
      <c r="O216" s="536">
        <f>F216/I216</f>
        <v/>
      </c>
      <c r="P216" s="282">
        <f>(N216-O216)/O216</f>
        <v/>
      </c>
      <c r="Q216" s="536">
        <f>E216/K216</f>
        <v/>
      </c>
      <c r="R216" s="536">
        <f>F216/L216</f>
        <v/>
      </c>
      <c r="S216" s="282">
        <f>(Q216-R216)/R216</f>
        <v/>
      </c>
      <c r="T216" s="537" t="n"/>
      <c r="U216" s="537" t="n"/>
      <c r="V216" s="282">
        <f>(T216-U216)/U216</f>
        <v/>
      </c>
      <c r="W216" s="537" t="n"/>
      <c r="X216" s="537" t="n"/>
      <c r="Y216" s="282">
        <f>(W216-X216)/X216</f>
        <v/>
      </c>
      <c r="Z216" s="537">
        <f>E216/W216</f>
        <v/>
      </c>
      <c r="AA216" s="537">
        <f>F216/X216</f>
        <v/>
      </c>
      <c r="AB216" s="282">
        <f>(Z216-AA216)/AA216</f>
        <v/>
      </c>
      <c r="AC216" s="537" t="n"/>
      <c r="AD216" s="537" t="n"/>
      <c r="AE216" s="282">
        <f>(AC216-AD216)/AD216</f>
        <v/>
      </c>
      <c r="AF216" s="537" t="n"/>
      <c r="AG216" s="537" t="n"/>
      <c r="AH216">
        <f>(AF216-AG216)/AG216</f>
        <v/>
      </c>
      <c r="AI216" s="537" t="n"/>
      <c r="AJ216" s="537" t="n"/>
      <c r="AK216" s="282">
        <f>(AI216-AJ216)/AJ216</f>
        <v/>
      </c>
      <c r="AL216" s="286">
        <f>AF216/AI216</f>
        <v/>
      </c>
      <c r="AM216" s="286">
        <f>AG216/AJ216</f>
        <v/>
      </c>
      <c r="AN216" s="282">
        <f>(AL216-AM216)/AM216</f>
        <v/>
      </c>
    </row>
    <row customFormat="1" customHeight="1" ht="15.75" r="217" s="357" spans="1:41">
      <c r="A217" s="347" t="n"/>
      <c r="B217" s="347" t="n"/>
      <c r="C217" s="348" t="n"/>
      <c r="D217" s="349" t="s">
        <v>177</v>
      </c>
      <c r="E217" s="612" t="n">
        <v>0</v>
      </c>
      <c r="F217" s="612" t="n">
        <v>0</v>
      </c>
      <c r="G217" s="351">
        <f>(E217-F217)/F217</f>
        <v/>
      </c>
      <c r="H217" s="612" t="n">
        <v>0</v>
      </c>
      <c r="I217" s="613" t="n">
        <v>0</v>
      </c>
      <c r="J217" s="351">
        <f>(H217-I217)/I217</f>
        <v/>
      </c>
      <c r="K217" s="612">
        <f>H217*1.085</f>
        <v/>
      </c>
      <c r="L217" s="612">
        <f>I217*1.085</f>
        <v/>
      </c>
      <c r="M217" s="351">
        <f>(K217-L217)/L217</f>
        <v/>
      </c>
      <c r="N217" s="613">
        <f>E217/H217</f>
        <v/>
      </c>
      <c r="O217" s="613">
        <f>F217/I217</f>
        <v/>
      </c>
      <c r="P217" s="351">
        <f>(N217-O217)/O217</f>
        <v/>
      </c>
      <c r="Q217" s="613">
        <f>E217/K217</f>
        <v/>
      </c>
      <c r="R217" s="613">
        <f>F217/L217</f>
        <v/>
      </c>
      <c r="S217" s="351">
        <f>(Q217-R217)/R217</f>
        <v/>
      </c>
      <c r="T217" s="614" t="n">
        <v>14</v>
      </c>
      <c r="U217" s="614" t="n">
        <v>6</v>
      </c>
      <c r="V217" s="351">
        <f>(T217-U217)/U217</f>
        <v/>
      </c>
      <c r="W217" s="614" t="n">
        <v>0</v>
      </c>
      <c r="X217" s="614" t="n">
        <v>0</v>
      </c>
      <c r="Y217" s="351">
        <f>(W217-X217)/X217</f>
        <v/>
      </c>
      <c r="Z217" s="614">
        <f>E217/W217</f>
        <v/>
      </c>
      <c r="AA217" s="614">
        <f>F217/X217</f>
        <v/>
      </c>
      <c r="AB217" s="351">
        <f>(Z217-AA217)/AA217</f>
        <v/>
      </c>
      <c r="AC217" s="614" t="n">
        <v>0</v>
      </c>
      <c r="AD217" s="614" t="n">
        <v>0</v>
      </c>
      <c r="AE217" s="351">
        <f>(AC217-AD217)/AD217</f>
        <v/>
      </c>
      <c r="AF217" s="614" t="n">
        <v>0</v>
      </c>
      <c r="AG217" s="614" t="n">
        <v>0</v>
      </c>
      <c r="AH217" s="357">
        <f>(AF217-AG217)/AG217</f>
        <v/>
      </c>
      <c r="AI217" s="614" t="n">
        <v>0</v>
      </c>
      <c r="AJ217" s="614" t="n">
        <v>0</v>
      </c>
      <c r="AK217" s="351">
        <f>(AI217-AJ217)/AJ217</f>
        <v/>
      </c>
      <c r="AL217" s="356">
        <f>AF217/AI217</f>
        <v/>
      </c>
      <c r="AM217" s="356">
        <f>AG217/AJ217</f>
        <v/>
      </c>
      <c r="AN217" s="351">
        <f>(AL217-AM217)/AM217</f>
        <v/>
      </c>
      <c r="AO217" s="357" t="n"/>
    </row>
    <row customHeight="1" ht="15.75" r="218" s="452" spans="1:41">
      <c r="A218" s="49" t="s">
        <v>49</v>
      </c>
      <c r="B218" s="49" t="s">
        <v>121</v>
      </c>
      <c r="C218" s="50">
        <f>C212+7</f>
        <v/>
      </c>
      <c r="D218" s="50" t="s">
        <v>60</v>
      </c>
      <c r="E218" s="566">
        <f>SUM(E219:E223)</f>
        <v/>
      </c>
      <c r="F218" s="566">
        <f>SUM(F219:F223)</f>
        <v/>
      </c>
      <c r="G218" s="52">
        <f>(E218-F218)/F218</f>
        <v/>
      </c>
      <c r="H218" s="566">
        <f>SUM(H219:H223)</f>
        <v/>
      </c>
      <c r="I218" s="566">
        <f>SUM(I219:I223)</f>
        <v/>
      </c>
      <c r="J218" s="52">
        <f>(H218-I218)/I218</f>
        <v/>
      </c>
      <c r="K218" s="566">
        <f>H218*1.085</f>
        <v/>
      </c>
      <c r="L218" s="566">
        <f>I218*1.085</f>
        <v/>
      </c>
      <c r="M218" s="52">
        <f>(K218-L218)/L218</f>
        <v/>
      </c>
      <c r="N218" s="567">
        <f>E218/H218</f>
        <v/>
      </c>
      <c r="O218" s="567">
        <f>F218/I218</f>
        <v/>
      </c>
      <c r="P218" s="52">
        <f>(N218-O218)/O218</f>
        <v/>
      </c>
      <c r="Q218" s="567">
        <f>E218/K218</f>
        <v/>
      </c>
      <c r="R218" s="567">
        <f>F218/L218</f>
        <v/>
      </c>
      <c r="S218" s="52">
        <f>(Q218-R218)/R218</f>
        <v/>
      </c>
      <c r="T218" s="568">
        <f>SUM(T219:T223)</f>
        <v/>
      </c>
      <c r="U218" s="568">
        <f>SUM(U219:U223)</f>
        <v/>
      </c>
      <c r="V218" s="52">
        <f>(T218-U218)/U218</f>
        <v/>
      </c>
      <c r="W218" s="568">
        <f>SUM(W219:W223)</f>
        <v/>
      </c>
      <c r="X218" s="568">
        <f>SUM(X219:X223)</f>
        <v/>
      </c>
      <c r="Y218" s="52">
        <f>(W218-X218)/X218</f>
        <v/>
      </c>
      <c r="Z218" s="566">
        <f>E218/W218</f>
        <v/>
      </c>
      <c r="AA218" s="568">
        <f>F218/X218</f>
        <v/>
      </c>
      <c r="AB218" s="52">
        <f>(Z218-AA218)/AA218</f>
        <v/>
      </c>
      <c r="AC218" s="568">
        <f>SUM(AC219:AC223)</f>
        <v/>
      </c>
      <c r="AD218" s="568">
        <f>SUM(AD219:AD223)</f>
        <v/>
      </c>
      <c r="AE218" s="52">
        <f>(AC218-AD218)/AD218</f>
        <v/>
      </c>
      <c r="AF218" s="568">
        <f>SUM(AF219:AF223)</f>
        <v/>
      </c>
      <c r="AG218" s="568">
        <f>SUM(AG219:AG223)</f>
        <v/>
      </c>
      <c r="AH218" s="67">
        <f>(AF218-AG218)/AG218</f>
        <v/>
      </c>
      <c r="AI218" s="568">
        <f>SUM(AI219:AI223)</f>
        <v/>
      </c>
      <c r="AJ218" s="568">
        <f>SUM(AJ219:AJ223)</f>
        <v/>
      </c>
      <c r="AK218" s="52">
        <f>(AI218-AJ218)/AJ218</f>
        <v/>
      </c>
      <c r="AL218" s="82">
        <f>AF218/AI218</f>
        <v/>
      </c>
      <c r="AM218" s="82">
        <f>AG218/AJ218</f>
        <v/>
      </c>
      <c r="AN218" s="52">
        <f>(AL218-AM218)/AM218</f>
        <v/>
      </c>
    </row>
    <row customHeight="1" ht="15.75" r="219" s="452" spans="1:41">
      <c r="A219" s="279" t="n"/>
      <c r="B219" s="279" t="n"/>
      <c r="C219" s="280" t="n"/>
      <c r="D219" s="280" t="n"/>
      <c r="E219" s="535" t="n"/>
      <c r="F219" s="535" t="n"/>
      <c r="G219" s="282">
        <f>(E219-F219)/F219</f>
        <v/>
      </c>
      <c r="H219" s="535" t="n"/>
      <c r="I219" s="536" t="n"/>
      <c r="J219" s="282">
        <f>(H219-I219)/I219</f>
        <v/>
      </c>
      <c r="K219" s="535">
        <f>H219*1.085</f>
        <v/>
      </c>
      <c r="L219" s="535">
        <f>I219*1.085</f>
        <v/>
      </c>
      <c r="M219" s="282">
        <f>(K219-L219)/L219</f>
        <v/>
      </c>
      <c r="N219" s="536">
        <f>E219/H219</f>
        <v/>
      </c>
      <c r="O219" s="536">
        <f>F219/I219</f>
        <v/>
      </c>
      <c r="P219" s="282">
        <f>(N219-O219)/O219</f>
        <v/>
      </c>
      <c r="Q219" s="536">
        <f>E219/K219</f>
        <v/>
      </c>
      <c r="R219" s="536">
        <f>F219/L219</f>
        <v/>
      </c>
      <c r="S219" s="282">
        <f>(Q219-R219)/R219</f>
        <v/>
      </c>
      <c r="T219" s="537" t="n"/>
      <c r="U219" s="537" t="n"/>
      <c r="V219" s="282">
        <f>(T219-U219)/U219</f>
        <v/>
      </c>
      <c r="W219" s="537" t="n"/>
      <c r="X219" s="537" t="n"/>
      <c r="Y219" s="282">
        <f>(W219-X219)/X219</f>
        <v/>
      </c>
      <c r="Z219" s="537">
        <f>E219/W219</f>
        <v/>
      </c>
      <c r="AA219" s="537">
        <f>F219/X219</f>
        <v/>
      </c>
      <c r="AB219" s="282">
        <f>(Z219-AA219)/AA219</f>
        <v/>
      </c>
      <c r="AC219" s="537" t="n"/>
      <c r="AD219" s="537" t="n"/>
      <c r="AE219" s="282">
        <f>(AC219-AD219)/AD219</f>
        <v/>
      </c>
      <c r="AF219" s="537" t="n"/>
      <c r="AG219" s="537" t="n"/>
      <c r="AH219">
        <f>(AF219-AG219)/AG219</f>
        <v/>
      </c>
      <c r="AI219" s="537" t="n"/>
      <c r="AJ219" s="537" t="n"/>
      <c r="AK219" s="282">
        <f>(AI219-AJ219)/AJ219</f>
        <v/>
      </c>
      <c r="AL219" s="286">
        <f>AF219/AI219</f>
        <v/>
      </c>
      <c r="AM219" s="286">
        <f>AG219/AJ219</f>
        <v/>
      </c>
      <c r="AN219" s="282">
        <f>(AL219-AM219)/AM219</f>
        <v/>
      </c>
    </row>
    <row customHeight="1" ht="15.75" r="220" s="452" spans="1:41">
      <c r="A220" s="279" t="n"/>
      <c r="B220" s="279" t="n"/>
      <c r="C220" s="280" t="n"/>
      <c r="D220" s="280" t="n"/>
      <c r="E220" s="535" t="n"/>
      <c r="F220" s="535" t="n"/>
      <c r="G220" s="282">
        <f>(E220-F220)/F220</f>
        <v/>
      </c>
      <c r="H220" s="535" t="n"/>
      <c r="I220" s="536" t="n"/>
      <c r="J220" s="282">
        <f>(H220-I220)/I220</f>
        <v/>
      </c>
      <c r="K220" s="535">
        <f>H220*1.085</f>
        <v/>
      </c>
      <c r="L220" s="535">
        <f>I220*1.085</f>
        <v/>
      </c>
      <c r="M220" s="282">
        <f>(K220-L220)/L220</f>
        <v/>
      </c>
      <c r="N220" s="536">
        <f>E220/H220</f>
        <v/>
      </c>
      <c r="O220" s="536">
        <f>F220/I220</f>
        <v/>
      </c>
      <c r="P220" s="282">
        <f>(N220-O220)/O220</f>
        <v/>
      </c>
      <c r="Q220" s="536">
        <f>E220/K220</f>
        <v/>
      </c>
      <c r="R220" s="536">
        <f>F220/L220</f>
        <v/>
      </c>
      <c r="S220" s="282">
        <f>(Q220-R220)/R220</f>
        <v/>
      </c>
      <c r="T220" s="537" t="n"/>
      <c r="U220" s="537" t="n"/>
      <c r="V220" s="282">
        <f>(T220-U220)/U220</f>
        <v/>
      </c>
      <c r="W220" s="537" t="n"/>
      <c r="X220" s="537" t="n"/>
      <c r="Y220" s="282">
        <f>(W220-X220)/X220</f>
        <v/>
      </c>
      <c r="Z220" s="537">
        <f>E220/W220</f>
        <v/>
      </c>
      <c r="AA220" s="537">
        <f>F220/X220</f>
        <v/>
      </c>
      <c r="AB220" s="282">
        <f>(Z220-AA220)/AA220</f>
        <v/>
      </c>
      <c r="AC220" s="537" t="n"/>
      <c r="AD220" s="537" t="n"/>
      <c r="AE220" s="282">
        <f>(AC220-AD220)/AD220</f>
        <v/>
      </c>
      <c r="AF220" s="537" t="n"/>
      <c r="AG220" s="537" t="n"/>
      <c r="AH220">
        <f>(AF220-AG220)/AG220</f>
        <v/>
      </c>
      <c r="AI220" s="537" t="n"/>
      <c r="AJ220" s="537" t="n"/>
      <c r="AK220" s="282">
        <f>(AI220-AJ220)/AJ220</f>
        <v/>
      </c>
      <c r="AL220" s="286">
        <f>AF220/AI220</f>
        <v/>
      </c>
      <c r="AM220" s="286">
        <f>AG220/AJ220</f>
        <v/>
      </c>
      <c r="AN220" s="282">
        <f>(AL220-AM220)/AM220</f>
        <v/>
      </c>
    </row>
    <row customHeight="1" ht="15.75" r="221" s="452" spans="1:41">
      <c r="A221" s="279" t="n"/>
      <c r="B221" s="279" t="n"/>
      <c r="C221" s="280" t="n"/>
      <c r="D221" s="280" t="n"/>
      <c r="E221" s="535" t="n"/>
      <c r="F221" s="535" t="n"/>
      <c r="G221" s="282">
        <f>(E221-F221)/F221</f>
        <v/>
      </c>
      <c r="H221" s="535" t="n"/>
      <c r="I221" s="536" t="n"/>
      <c r="J221" s="282">
        <f>(H221-I221)/I221</f>
        <v/>
      </c>
      <c r="K221" s="535">
        <f>H221*1.085</f>
        <v/>
      </c>
      <c r="L221" s="535">
        <f>I221*1.085</f>
        <v/>
      </c>
      <c r="M221" s="282">
        <f>(K221-L221)/L221</f>
        <v/>
      </c>
      <c r="N221" s="536">
        <f>E221/H221</f>
        <v/>
      </c>
      <c r="O221" s="536">
        <f>F221/I221</f>
        <v/>
      </c>
      <c r="P221" s="282">
        <f>(N221-O221)/O221</f>
        <v/>
      </c>
      <c r="Q221" s="536">
        <f>E221/K221</f>
        <v/>
      </c>
      <c r="R221" s="536">
        <f>F221/L221</f>
        <v/>
      </c>
      <c r="S221" s="282">
        <f>(Q221-R221)/R221</f>
        <v/>
      </c>
      <c r="T221" s="537" t="n"/>
      <c r="U221" s="537" t="n"/>
      <c r="V221" s="282">
        <f>(T221-U221)/U221</f>
        <v/>
      </c>
      <c r="W221" s="537" t="n"/>
      <c r="X221" s="537" t="n"/>
      <c r="Y221" s="282">
        <f>(W221-X221)/X221</f>
        <v/>
      </c>
      <c r="Z221" s="537">
        <f>E221/W221</f>
        <v/>
      </c>
      <c r="AA221" s="537">
        <f>F221/X221</f>
        <v/>
      </c>
      <c r="AB221" s="282">
        <f>(Z221-AA221)/AA221</f>
        <v/>
      </c>
      <c r="AC221" s="537" t="n"/>
      <c r="AD221" s="537" t="n"/>
      <c r="AE221" s="282">
        <f>(AC221-AD221)/AD221</f>
        <v/>
      </c>
      <c r="AF221" s="537" t="n"/>
      <c r="AG221" s="537" t="n"/>
      <c r="AH221">
        <f>(AF221-AG221)/AG221</f>
        <v/>
      </c>
      <c r="AI221" s="537" t="n"/>
      <c r="AJ221" s="537" t="n"/>
      <c r="AK221" s="282">
        <f>(AI221-AJ221)/AJ221</f>
        <v/>
      </c>
      <c r="AL221" s="286">
        <f>AF221/AI221</f>
        <v/>
      </c>
      <c r="AM221" s="286">
        <f>AG221/AJ221</f>
        <v/>
      </c>
      <c r="AN221" s="282">
        <f>(AL221-AM221)/AM221</f>
        <v/>
      </c>
    </row>
    <row customHeight="1" ht="15.75" r="222" s="452" spans="1:41">
      <c r="A222" s="279" t="n"/>
      <c r="B222" s="279" t="n"/>
      <c r="C222" s="280" t="n"/>
      <c r="D222" s="280" t="n"/>
      <c r="E222" s="535" t="n"/>
      <c r="F222" s="535" t="n"/>
      <c r="G222" s="282">
        <f>(E222-F222)/F222</f>
        <v/>
      </c>
      <c r="H222" s="535" t="n"/>
      <c r="I222" s="536" t="n"/>
      <c r="J222" s="282">
        <f>(H222-I222)/I222</f>
        <v/>
      </c>
      <c r="K222" s="535">
        <f>H222*1.085</f>
        <v/>
      </c>
      <c r="L222" s="535">
        <f>I222*1.085</f>
        <v/>
      </c>
      <c r="M222" s="282">
        <f>(K222-L222)/L222</f>
        <v/>
      </c>
      <c r="N222" s="536">
        <f>E222/H222</f>
        <v/>
      </c>
      <c r="O222" s="536">
        <f>F222/I222</f>
        <v/>
      </c>
      <c r="P222" s="282">
        <f>(N222-O222)/O222</f>
        <v/>
      </c>
      <c r="Q222" s="536">
        <f>E222/K222</f>
        <v/>
      </c>
      <c r="R222" s="536">
        <f>F222/L222</f>
        <v/>
      </c>
      <c r="S222" s="282">
        <f>(Q222-R222)/R222</f>
        <v/>
      </c>
      <c r="T222" s="537" t="n"/>
      <c r="U222" s="537" t="n"/>
      <c r="V222" s="282">
        <f>(T222-U222)/U222</f>
        <v/>
      </c>
      <c r="W222" s="537" t="n"/>
      <c r="X222" s="537" t="n"/>
      <c r="Y222" s="282">
        <f>(W222-X222)/X222</f>
        <v/>
      </c>
      <c r="Z222" s="537">
        <f>E222/W222</f>
        <v/>
      </c>
      <c r="AA222" s="537">
        <f>F222/X222</f>
        <v/>
      </c>
      <c r="AB222" s="282">
        <f>(Z222-AA222)/AA222</f>
        <v/>
      </c>
      <c r="AC222" s="537" t="n"/>
      <c r="AD222" s="537" t="n"/>
      <c r="AE222" s="282">
        <f>(AC222-AD222)/AD222</f>
        <v/>
      </c>
      <c r="AF222" s="537" t="n"/>
      <c r="AG222" s="537" t="n"/>
      <c r="AH222">
        <f>(AF222-AG222)/AG222</f>
        <v/>
      </c>
      <c r="AI222" s="537" t="n"/>
      <c r="AJ222" s="537" t="n"/>
      <c r="AK222" s="282">
        <f>(AI222-AJ222)/AJ222</f>
        <v/>
      </c>
      <c r="AL222" s="286">
        <f>AF222/AI222</f>
        <v/>
      </c>
      <c r="AM222" s="286">
        <f>AG222/AJ222</f>
        <v/>
      </c>
      <c r="AN222" s="282">
        <f>(AL222-AM222)/AM222</f>
        <v/>
      </c>
    </row>
    <row customHeight="1" ht="15.75" r="223" s="452" spans="1:41">
      <c r="A223" s="279" t="n"/>
      <c r="B223" s="279" t="n"/>
      <c r="C223" s="280" t="n"/>
      <c r="D223" s="297" t="s">
        <v>177</v>
      </c>
      <c r="E223" s="535" t="n">
        <v>0</v>
      </c>
      <c r="F223" s="535" t="n">
        <v>0</v>
      </c>
      <c r="G223" s="282">
        <f>(E223-F223)/F223</f>
        <v/>
      </c>
      <c r="H223" s="535" t="n">
        <v>0</v>
      </c>
      <c r="I223" s="536" t="n">
        <v>4273.86</v>
      </c>
      <c r="J223" s="282">
        <f>(H223-I223)/I223</f>
        <v/>
      </c>
      <c r="K223" s="535">
        <f>H223*1.085</f>
        <v/>
      </c>
      <c r="L223" s="535">
        <f>I223*1.085</f>
        <v/>
      </c>
      <c r="M223" s="282">
        <f>(K223-L223)/L223</f>
        <v/>
      </c>
      <c r="N223" s="536">
        <f>E223/H223</f>
        <v/>
      </c>
      <c r="O223" s="536">
        <f>F223/I223</f>
        <v/>
      </c>
      <c r="P223" s="282">
        <f>(N223-O223)/O223</f>
        <v/>
      </c>
      <c r="Q223" s="536">
        <f>E223/K223</f>
        <v/>
      </c>
      <c r="R223" s="536">
        <f>F223/L223</f>
        <v/>
      </c>
      <c r="S223" s="282">
        <f>(Q223-R223)/R223</f>
        <v/>
      </c>
      <c r="T223" s="537" t="n">
        <v>12</v>
      </c>
      <c r="U223" s="537" t="n">
        <v>143</v>
      </c>
      <c r="V223" s="282">
        <f>(T223-U223)/U223</f>
        <v/>
      </c>
      <c r="W223" s="537" t="n">
        <v>0</v>
      </c>
      <c r="X223" s="537" t="n">
        <v>0</v>
      </c>
      <c r="Y223" s="282">
        <f>(W223-X223)/X223</f>
        <v/>
      </c>
      <c r="Z223" s="537">
        <f>E223/W223</f>
        <v/>
      </c>
      <c r="AA223" s="537">
        <f>F223/X223</f>
        <v/>
      </c>
      <c r="AB223" s="282">
        <f>(Z223-AA223)/AA223</f>
        <v/>
      </c>
      <c r="AC223" s="537" t="n">
        <v>0</v>
      </c>
      <c r="AD223" s="537" t="n">
        <v>340596</v>
      </c>
      <c r="AE223" s="282">
        <f>(AC223-AD223)/AD223</f>
        <v/>
      </c>
      <c r="AF223" s="537" t="n">
        <v>0</v>
      </c>
      <c r="AG223" s="537" t="n">
        <v>4979</v>
      </c>
      <c r="AH223">
        <f>(AF223-AG223)/AG223</f>
        <v/>
      </c>
      <c r="AI223" s="537" t="n">
        <v>0</v>
      </c>
      <c r="AJ223" s="537" t="n">
        <v>680887</v>
      </c>
      <c r="AK223" s="282">
        <f>(AI223-AJ223)/AJ223</f>
        <v/>
      </c>
      <c r="AL223" s="286">
        <f>AF223/AI223</f>
        <v/>
      </c>
      <c r="AM223" s="286">
        <f>AG223/AJ223</f>
        <v/>
      </c>
      <c r="AN223" s="282">
        <f>(AL223-AM223)/AM223</f>
        <v/>
      </c>
    </row>
    <row customHeight="1" ht="15.75" r="224" s="452" spans="1:41">
      <c r="A224" s="49" t="s">
        <v>49</v>
      </c>
      <c r="B224" s="49" t="s">
        <v>122</v>
      </c>
      <c r="C224" s="50">
        <f>C218+7</f>
        <v/>
      </c>
      <c r="D224" s="50" t="s">
        <v>60</v>
      </c>
      <c r="E224" s="566">
        <f>SUM(E225:E229)</f>
        <v/>
      </c>
      <c r="F224" s="566">
        <f>SUM(F225:F229)</f>
        <v/>
      </c>
      <c r="G224" s="52">
        <f>(E224-F224)/F224</f>
        <v/>
      </c>
      <c r="H224" s="566">
        <f>SUM(H225:H229)</f>
        <v/>
      </c>
      <c r="I224" s="566">
        <f>SUM(I225:I229)</f>
        <v/>
      </c>
      <c r="J224" s="52">
        <f>(H224-I224)/I224</f>
        <v/>
      </c>
      <c r="K224" s="566">
        <f>H224*1.085</f>
        <v/>
      </c>
      <c r="L224" s="566">
        <f>I224*1.085</f>
        <v/>
      </c>
      <c r="M224" s="52">
        <f>(K224-L224)/L224</f>
        <v/>
      </c>
      <c r="N224" s="567">
        <f>E224/H224</f>
        <v/>
      </c>
      <c r="O224" s="567">
        <f>F224/I224</f>
        <v/>
      </c>
      <c r="P224" s="52">
        <f>(N224-O224)/O224</f>
        <v/>
      </c>
      <c r="Q224" s="567">
        <f>E224/K224</f>
        <v/>
      </c>
      <c r="R224" s="567">
        <f>F224/L224</f>
        <v/>
      </c>
      <c r="S224" s="52">
        <f>(Q224-R224)/R224</f>
        <v/>
      </c>
      <c r="T224" s="568">
        <f>SUM(T225:T229)</f>
        <v/>
      </c>
      <c r="U224" s="568">
        <f>SUM(U225:U229)</f>
        <v/>
      </c>
      <c r="V224" s="52">
        <f>(T224-U224)/U224</f>
        <v/>
      </c>
      <c r="W224" s="568">
        <f>SUM(W225:W229)</f>
        <v/>
      </c>
      <c r="X224" s="568">
        <f>SUM(X225:X229)</f>
        <v/>
      </c>
      <c r="Y224" s="52">
        <f>(W224-X224)/X224</f>
        <v/>
      </c>
      <c r="Z224" s="566">
        <f>E224/W224</f>
        <v/>
      </c>
      <c r="AA224" s="568">
        <f>F224/X224</f>
        <v/>
      </c>
      <c r="AB224" s="52">
        <f>(Z224-AA224)/AA224</f>
        <v/>
      </c>
      <c r="AC224" s="568">
        <f>SUM(AC225:AC229)</f>
        <v/>
      </c>
      <c r="AD224" s="568">
        <f>SUM(AD225:AD229)</f>
        <v/>
      </c>
      <c r="AE224" s="52">
        <f>(AC224-AD224)/AD224</f>
        <v/>
      </c>
      <c r="AF224" s="568">
        <f>SUM(AF225:AF229)</f>
        <v/>
      </c>
      <c r="AG224" s="568">
        <f>SUM(AG225:AG229)</f>
        <v/>
      </c>
      <c r="AH224" s="67">
        <f>(AF224-AG224)/AG224</f>
        <v/>
      </c>
      <c r="AI224" s="568">
        <f>SUM(AI225:AI229)</f>
        <v/>
      </c>
      <c r="AJ224" s="568">
        <f>SUM(AJ225:AJ229)</f>
        <v/>
      </c>
      <c r="AK224" s="52">
        <f>(AI224-AJ224)/AJ224</f>
        <v/>
      </c>
      <c r="AL224" s="82">
        <f>AF224/AI224</f>
        <v/>
      </c>
      <c r="AM224" s="82">
        <f>AG224/AJ224</f>
        <v/>
      </c>
      <c r="AN224" s="52">
        <f>(AL224-AM224)/AM224</f>
        <v/>
      </c>
    </row>
    <row customHeight="1" ht="15.75" r="225" s="452" spans="1:41">
      <c r="A225" s="279" t="n"/>
      <c r="B225" s="279" t="n"/>
      <c r="C225" s="280" t="n"/>
      <c r="D225" s="297" t="s">
        <v>188</v>
      </c>
      <c r="E225" s="535" t="n">
        <v>0</v>
      </c>
      <c r="F225" s="535" t="n"/>
      <c r="G225" s="282">
        <f>(E225-F225)/F225</f>
        <v/>
      </c>
      <c r="H225" s="535" t="n">
        <v>4608.24</v>
      </c>
      <c r="I225" s="536" t="n"/>
      <c r="J225" s="282">
        <f>(H225-I225)/I225</f>
        <v/>
      </c>
      <c r="K225" s="535">
        <f>H225*1.085</f>
        <v/>
      </c>
      <c r="L225" s="535">
        <f>I225*1.085</f>
        <v/>
      </c>
      <c r="M225" s="282">
        <f>(K225-L225)/L225</f>
        <v/>
      </c>
      <c r="N225" s="536">
        <f>E225/H225</f>
        <v/>
      </c>
      <c r="O225" s="536">
        <f>F225/I225</f>
        <v/>
      </c>
      <c r="P225" s="282">
        <f>(N225-O225)/O225</f>
        <v/>
      </c>
      <c r="Q225" s="536">
        <f>E225/K225</f>
        <v/>
      </c>
      <c r="R225" s="536">
        <f>F225/L225</f>
        <v/>
      </c>
      <c r="S225" s="282">
        <f>(Q225-R225)/R225</f>
        <v/>
      </c>
      <c r="T225" s="537" t="n">
        <v>0</v>
      </c>
      <c r="U225" s="537" t="n"/>
      <c r="V225" s="282">
        <f>(T225-U225)/U225</f>
        <v/>
      </c>
      <c r="W225" s="537" t="n">
        <v>0</v>
      </c>
      <c r="X225" s="537" t="n"/>
      <c r="Y225" s="282">
        <f>(W225-X225)/X225</f>
        <v/>
      </c>
      <c r="Z225" s="537">
        <f>E225/W225</f>
        <v/>
      </c>
      <c r="AA225" s="537">
        <f>F225/X225</f>
        <v/>
      </c>
      <c r="AB225" s="282">
        <f>(Z225-AA225)/AA225</f>
        <v/>
      </c>
      <c r="AC225" s="537" t="n">
        <v>243926</v>
      </c>
      <c r="AD225" s="537" t="n"/>
      <c r="AE225" s="282">
        <f>(AC225-AD225)/AD225</f>
        <v/>
      </c>
      <c r="AF225" s="537" t="n">
        <v>8462</v>
      </c>
      <c r="AG225" s="537" t="n"/>
      <c r="AH225">
        <f>(AF225-AG225)/AG225</f>
        <v/>
      </c>
      <c r="AI225" s="537" t="n">
        <v>559559</v>
      </c>
      <c r="AJ225" s="537" t="n"/>
      <c r="AK225" s="282">
        <f>(AI225-AJ225)/AJ225</f>
        <v/>
      </c>
      <c r="AL225" s="286">
        <f>AF225/AI225</f>
        <v/>
      </c>
      <c r="AM225" s="286">
        <f>AG225/AJ225</f>
        <v/>
      </c>
      <c r="AN225" s="282">
        <f>(AL225-AM225)/AM225</f>
        <v/>
      </c>
    </row>
    <row customHeight="1" ht="15.75" r="226" s="452" spans="1:41">
      <c r="A226" s="279" t="n"/>
      <c r="B226" s="279" t="n"/>
      <c r="C226" s="280" t="n"/>
      <c r="D226" s="280" t="n"/>
      <c r="E226" s="535" t="n"/>
      <c r="F226" s="535" t="n"/>
      <c r="G226" s="282">
        <f>(E226-F226)/F226</f>
        <v/>
      </c>
      <c r="H226" s="535" t="n"/>
      <c r="I226" s="536" t="n"/>
      <c r="J226" s="282">
        <f>(H226-I226)/I226</f>
        <v/>
      </c>
      <c r="K226" s="535">
        <f>H226*1.085</f>
        <v/>
      </c>
      <c r="L226" s="535">
        <f>I226*1.085</f>
        <v/>
      </c>
      <c r="M226" s="282">
        <f>(K226-L226)/L226</f>
        <v/>
      </c>
      <c r="N226" s="536">
        <f>E226/H226</f>
        <v/>
      </c>
      <c r="O226" s="536">
        <f>F226/I226</f>
        <v/>
      </c>
      <c r="P226" s="282">
        <f>(N226-O226)/O226</f>
        <v/>
      </c>
      <c r="Q226" s="536">
        <f>E226/K226</f>
        <v/>
      </c>
      <c r="R226" s="536">
        <f>F226/L226</f>
        <v/>
      </c>
      <c r="S226" s="282">
        <f>(Q226-R226)/R226</f>
        <v/>
      </c>
      <c r="T226" s="537" t="n"/>
      <c r="U226" s="537" t="n"/>
      <c r="V226" s="282">
        <f>(T226-U226)/U226</f>
        <v/>
      </c>
      <c r="W226" s="537" t="n"/>
      <c r="X226" s="537" t="n"/>
      <c r="Y226" s="282">
        <f>(W226-X226)/X226</f>
        <v/>
      </c>
      <c r="Z226" s="537">
        <f>E226/W226</f>
        <v/>
      </c>
      <c r="AA226" s="537">
        <f>F226/X226</f>
        <v/>
      </c>
      <c r="AB226" s="282">
        <f>(Z226-AA226)/AA226</f>
        <v/>
      </c>
      <c r="AC226" s="537" t="n"/>
      <c r="AD226" s="537" t="n"/>
      <c r="AE226" s="282">
        <f>(AC226-AD226)/AD226</f>
        <v/>
      </c>
      <c r="AF226" s="537" t="n"/>
      <c r="AG226" s="537" t="n"/>
      <c r="AH226">
        <f>(AF226-AG226)/AG226</f>
        <v/>
      </c>
      <c r="AI226" s="537" t="n"/>
      <c r="AJ226" s="537" t="n"/>
      <c r="AK226" s="282">
        <f>(AI226-AJ226)/AJ226</f>
        <v/>
      </c>
      <c r="AL226" s="286">
        <f>AF226/AI226</f>
        <v/>
      </c>
      <c r="AM226" s="286">
        <f>AG226/AJ226</f>
        <v/>
      </c>
      <c r="AN226" s="282">
        <f>(AL226-AM226)/AM226</f>
        <v/>
      </c>
    </row>
    <row customHeight="1" ht="15.75" r="227" s="452" spans="1:41">
      <c r="A227" s="279" t="n"/>
      <c r="B227" s="279" t="n"/>
      <c r="C227" s="280" t="n"/>
      <c r="D227" s="280" t="n"/>
      <c r="E227" s="535" t="n"/>
      <c r="F227" s="535" t="n"/>
      <c r="G227" s="282">
        <f>(E227-F227)/F227</f>
        <v/>
      </c>
      <c r="H227" s="535" t="n"/>
      <c r="I227" s="536" t="n"/>
      <c r="J227" s="282">
        <f>(H227-I227)/I227</f>
        <v/>
      </c>
      <c r="K227" s="535">
        <f>H227*1.085</f>
        <v/>
      </c>
      <c r="L227" s="535">
        <f>I227*1.085</f>
        <v/>
      </c>
      <c r="M227" s="282">
        <f>(K227-L227)/L227</f>
        <v/>
      </c>
      <c r="N227" s="536">
        <f>E227/H227</f>
        <v/>
      </c>
      <c r="O227" s="536">
        <f>F227/I227</f>
        <v/>
      </c>
      <c r="P227" s="282">
        <f>(N227-O227)/O227</f>
        <v/>
      </c>
      <c r="Q227" s="536">
        <f>E227/K227</f>
        <v/>
      </c>
      <c r="R227" s="536">
        <f>F227/L227</f>
        <v/>
      </c>
      <c r="S227" s="282">
        <f>(Q227-R227)/R227</f>
        <v/>
      </c>
      <c r="T227" s="537" t="n"/>
      <c r="U227" s="537" t="n"/>
      <c r="V227" s="282">
        <f>(T227-U227)/U227</f>
        <v/>
      </c>
      <c r="W227" s="537" t="n"/>
      <c r="X227" s="537" t="n"/>
      <c r="Y227" s="282">
        <f>(W227-X227)/X227</f>
        <v/>
      </c>
      <c r="Z227" s="537">
        <f>E227/W227</f>
        <v/>
      </c>
      <c r="AA227" s="537">
        <f>F227/X227</f>
        <v/>
      </c>
      <c r="AB227" s="282">
        <f>(Z227-AA227)/AA227</f>
        <v/>
      </c>
      <c r="AC227" s="537" t="n"/>
      <c r="AD227" s="537" t="n"/>
      <c r="AE227" s="282">
        <f>(AC227-AD227)/AD227</f>
        <v/>
      </c>
      <c r="AF227" s="537" t="n"/>
      <c r="AG227" s="537" t="n"/>
      <c r="AH227">
        <f>(AF227-AG227)/AG227</f>
        <v/>
      </c>
      <c r="AI227" s="537" t="n"/>
      <c r="AJ227" s="537" t="n"/>
      <c r="AK227" s="282">
        <f>(AI227-AJ227)/AJ227</f>
        <v/>
      </c>
      <c r="AL227" s="286">
        <f>AF227/AI227</f>
        <v/>
      </c>
      <c r="AM227" s="286">
        <f>AG227/AJ227</f>
        <v/>
      </c>
      <c r="AN227" s="282">
        <f>(AL227-AM227)/AM227</f>
        <v/>
      </c>
    </row>
    <row customHeight="1" ht="15.75" r="228" s="452" spans="1:41">
      <c r="A228" s="279" t="n"/>
      <c r="B228" s="279" t="n"/>
      <c r="C228" s="280" t="n"/>
      <c r="D228" s="280" t="n"/>
      <c r="E228" s="535" t="n"/>
      <c r="F228" s="535" t="n"/>
      <c r="G228" s="282">
        <f>(E228-F228)/F228</f>
        <v/>
      </c>
      <c r="H228" s="535" t="n"/>
      <c r="I228" s="536" t="n"/>
      <c r="J228" s="282">
        <f>(H228-I228)/I228</f>
        <v/>
      </c>
      <c r="K228" s="535">
        <f>H228*1.085</f>
        <v/>
      </c>
      <c r="L228" s="535">
        <f>I228*1.085</f>
        <v/>
      </c>
      <c r="M228" s="282">
        <f>(K228-L228)/L228</f>
        <v/>
      </c>
      <c r="N228" s="536">
        <f>E228/H228</f>
        <v/>
      </c>
      <c r="O228" s="536">
        <f>F228/I228</f>
        <v/>
      </c>
      <c r="P228" s="282">
        <f>(N228-O228)/O228</f>
        <v/>
      </c>
      <c r="Q228" s="536">
        <f>E228/K228</f>
        <v/>
      </c>
      <c r="R228" s="536">
        <f>F228/L228</f>
        <v/>
      </c>
      <c r="S228" s="282">
        <f>(Q228-R228)/R228</f>
        <v/>
      </c>
      <c r="T228" s="537" t="n"/>
      <c r="U228" s="537" t="n"/>
      <c r="V228" s="282">
        <f>(T228-U228)/U228</f>
        <v/>
      </c>
      <c r="W228" s="537" t="n"/>
      <c r="X228" s="537" t="n"/>
      <c r="Y228" s="282">
        <f>(W228-X228)/X228</f>
        <v/>
      </c>
      <c r="Z228" s="537">
        <f>E228/W228</f>
        <v/>
      </c>
      <c r="AA228" s="537">
        <f>F228/X228</f>
        <v/>
      </c>
      <c r="AB228" s="282">
        <f>(Z228-AA228)/AA228</f>
        <v/>
      </c>
      <c r="AC228" s="537" t="n"/>
      <c r="AD228" s="537" t="n"/>
      <c r="AE228" s="282">
        <f>(AC228-AD228)/AD228</f>
        <v/>
      </c>
      <c r="AF228" s="537" t="n"/>
      <c r="AG228" s="537" t="n"/>
      <c r="AH228">
        <f>(AF228-AG228)/AG228</f>
        <v/>
      </c>
      <c r="AI228" s="537" t="n"/>
      <c r="AJ228" s="537" t="n"/>
      <c r="AK228" s="282">
        <f>(AI228-AJ228)/AJ228</f>
        <v/>
      </c>
      <c r="AL228" s="286">
        <f>AF228/AI228</f>
        <v/>
      </c>
      <c r="AM228" s="286">
        <f>AG228/AJ228</f>
        <v/>
      </c>
      <c r="AN228" s="282">
        <f>(AL228-AM228)/AM228</f>
        <v/>
      </c>
    </row>
    <row customHeight="1" ht="15.75" r="229" s="452" spans="1:41">
      <c r="A229" s="279" t="n"/>
      <c r="B229" s="279" t="n"/>
      <c r="C229" s="280" t="n"/>
      <c r="D229" s="297" t="s">
        <v>177</v>
      </c>
      <c r="E229" s="535" t="n">
        <v>0</v>
      </c>
      <c r="F229" s="535" t="n">
        <v>3617</v>
      </c>
      <c r="G229" s="282">
        <f>(E229-F229)/F229</f>
        <v/>
      </c>
      <c r="H229" s="535" t="n">
        <v>0</v>
      </c>
      <c r="I229" s="536" t="n">
        <v>11288.08</v>
      </c>
      <c r="J229" s="282">
        <f>(H229-I229)/I229</f>
        <v/>
      </c>
      <c r="K229" s="535">
        <f>H229*1.085</f>
        <v/>
      </c>
      <c r="L229" s="535">
        <f>I229*1.085</f>
        <v/>
      </c>
      <c r="M229" s="282">
        <f>(K229-L229)/L229</f>
        <v/>
      </c>
      <c r="N229" s="536">
        <f>E229/H229</f>
        <v/>
      </c>
      <c r="O229" s="536">
        <f>F229/I229</f>
        <v/>
      </c>
      <c r="P229" s="282">
        <f>(N229-O229)/O229</f>
        <v/>
      </c>
      <c r="Q229" s="536">
        <f>E229/K229</f>
        <v/>
      </c>
      <c r="R229" s="536">
        <f>F229/L229</f>
        <v/>
      </c>
      <c r="S229" s="282">
        <f>(Q229-R229)/R229</f>
        <v/>
      </c>
      <c r="T229" s="537" t="n">
        <v>173</v>
      </c>
      <c r="U229" s="537" t="n">
        <v>6765</v>
      </c>
      <c r="V229" s="282">
        <f>(T229-U229)/U229</f>
        <v/>
      </c>
      <c r="W229" s="537" t="n">
        <v>0</v>
      </c>
      <c r="X229" s="537" t="n">
        <v>22</v>
      </c>
      <c r="Y229" s="282">
        <f>(W229-X229)/X229</f>
        <v/>
      </c>
      <c r="Z229" s="537">
        <f>E229/W229</f>
        <v/>
      </c>
      <c r="AA229" s="537">
        <f>F229/X229</f>
        <v/>
      </c>
      <c r="AB229" s="282">
        <f>(Z229-AA229)/AA229</f>
        <v/>
      </c>
      <c r="AC229" s="537" t="n">
        <v>0</v>
      </c>
      <c r="AD229" s="537" t="n">
        <v>689646</v>
      </c>
      <c r="AE229" s="282">
        <f>(AC229-AD229)/AD229</f>
        <v/>
      </c>
      <c r="AF229" s="537" t="n">
        <v>0</v>
      </c>
      <c r="AG229" s="537" t="n">
        <v>9710</v>
      </c>
      <c r="AH229">
        <f>(AF229-AG229)/AG229</f>
        <v/>
      </c>
      <c r="AI229" s="537" t="n">
        <v>0</v>
      </c>
      <c r="AJ229" s="537" t="n">
        <v>1533816</v>
      </c>
      <c r="AK229" s="282">
        <f>(AI229-AJ229)/AJ229</f>
        <v/>
      </c>
      <c r="AL229" s="286">
        <f>AF229/AI229</f>
        <v/>
      </c>
      <c r="AM229" s="286">
        <f>AG229/AJ229</f>
        <v/>
      </c>
      <c r="AN229" s="282">
        <f>(AL229-AM229)/AM229</f>
        <v/>
      </c>
    </row>
    <row customHeight="1" ht="15.75" r="230" s="452" spans="1:41">
      <c r="A230" s="49" t="s">
        <v>49</v>
      </c>
      <c r="B230" s="49" t="s">
        <v>123</v>
      </c>
      <c r="C230" s="50">
        <f>C224+7</f>
        <v/>
      </c>
      <c r="D230" s="50" t="s">
        <v>60</v>
      </c>
      <c r="E230" s="566">
        <f>SUM(E231:E235)</f>
        <v/>
      </c>
      <c r="F230" s="566">
        <f>SUM(F231:F235)</f>
        <v/>
      </c>
      <c r="G230" s="52">
        <f>(E230-F230)/F230</f>
        <v/>
      </c>
      <c r="H230" s="566">
        <f>SUM(H231:H235)</f>
        <v/>
      </c>
      <c r="I230" s="566">
        <f>SUM(I231:I235)</f>
        <v/>
      </c>
      <c r="J230" s="52">
        <f>(H230-I230)/I230</f>
        <v/>
      </c>
      <c r="K230" s="566">
        <f>H230*1.085</f>
        <v/>
      </c>
      <c r="L230" s="566">
        <f>I230*1.085</f>
        <v/>
      </c>
      <c r="M230" s="52">
        <f>(K230-L230)/L230</f>
        <v/>
      </c>
      <c r="N230" s="567">
        <f>E230/H230</f>
        <v/>
      </c>
      <c r="O230" s="567">
        <f>F230/I230</f>
        <v/>
      </c>
      <c r="P230" s="52">
        <f>(N230-O230)/O230</f>
        <v/>
      </c>
      <c r="Q230" s="567">
        <f>E230/K230</f>
        <v/>
      </c>
      <c r="R230" s="567">
        <f>F230/L230</f>
        <v/>
      </c>
      <c r="S230" s="52">
        <f>(Q230-R230)/R230</f>
        <v/>
      </c>
      <c r="T230" s="568">
        <f>SUM(T231:T235)</f>
        <v/>
      </c>
      <c r="U230" s="568">
        <f>SUM(U231:U235)</f>
        <v/>
      </c>
      <c r="V230" s="52">
        <f>(T230-U230)/U230</f>
        <v/>
      </c>
      <c r="W230" s="568">
        <f>SUM(W231:W235)</f>
        <v/>
      </c>
      <c r="X230" s="568">
        <f>SUM(X231:X235)</f>
        <v/>
      </c>
      <c r="Y230" s="52">
        <f>(W230-X230)/X230</f>
        <v/>
      </c>
      <c r="Z230" s="566">
        <f>E230/W230</f>
        <v/>
      </c>
      <c r="AA230" s="568">
        <f>F230/X230</f>
        <v/>
      </c>
      <c r="AB230" s="52">
        <f>(Z230-AA230)/AA230</f>
        <v/>
      </c>
      <c r="AC230" s="568">
        <f>SUM(AC231:AC235)</f>
        <v/>
      </c>
      <c r="AD230" s="568">
        <f>SUM(AD231:AD235)</f>
        <v/>
      </c>
      <c r="AE230" s="52">
        <f>(AC230-AD230)/AD230</f>
        <v/>
      </c>
      <c r="AF230" s="568">
        <f>SUM(AF231:AF235)</f>
        <v/>
      </c>
      <c r="AG230" s="568">
        <f>SUM(AG231:AG235)</f>
        <v/>
      </c>
      <c r="AH230" s="67">
        <f>(AF230-AG230)/AG230</f>
        <v/>
      </c>
      <c r="AI230" s="568">
        <f>SUM(AI231:AI235)</f>
        <v/>
      </c>
      <c r="AJ230" s="568">
        <f>SUM(AJ231:AJ235)</f>
        <v/>
      </c>
      <c r="AK230" s="52">
        <f>(AI230-AJ230)/AJ230</f>
        <v/>
      </c>
      <c r="AL230" s="82">
        <f>AF230/AI230</f>
        <v/>
      </c>
      <c r="AM230" s="82">
        <f>AG230/AJ230</f>
        <v/>
      </c>
      <c r="AN230" s="52">
        <f>(AL230-AM230)/AM230</f>
        <v/>
      </c>
    </row>
    <row customHeight="1" ht="15.75" r="231" s="452" spans="1:41">
      <c r="A231" s="279" t="n"/>
      <c r="B231" s="279" t="n"/>
      <c r="C231" s="280" t="n"/>
      <c r="D231" s="297" t="s">
        <v>113</v>
      </c>
      <c r="E231" s="535" t="n">
        <v>3220</v>
      </c>
      <c r="F231" s="535" t="n"/>
      <c r="G231" s="282">
        <f>(E231-F231)/F231</f>
        <v/>
      </c>
      <c r="H231" s="535" t="n">
        <v>4581.04</v>
      </c>
      <c r="I231" s="536" t="n"/>
      <c r="J231" s="282">
        <f>(H231-I231)/I231</f>
        <v/>
      </c>
      <c r="K231" s="535">
        <f>H231*1.085</f>
        <v/>
      </c>
      <c r="L231" s="535">
        <f>I231*1.085</f>
        <v/>
      </c>
      <c r="M231" s="282">
        <f>(K231-L231)/L231</f>
        <v/>
      </c>
      <c r="N231" s="536">
        <f>E231/H231</f>
        <v/>
      </c>
      <c r="O231" s="536">
        <f>F231/I231</f>
        <v/>
      </c>
      <c r="P231" s="282">
        <f>(N231-O231)/O231</f>
        <v/>
      </c>
      <c r="Q231" s="536">
        <f>E231/K231</f>
        <v/>
      </c>
      <c r="R231" s="536">
        <f>F231/L231</f>
        <v/>
      </c>
      <c r="S231" s="282">
        <f>(Q231-R231)/R231</f>
        <v/>
      </c>
      <c r="T231" s="537" t="n">
        <v>4650</v>
      </c>
      <c r="U231" s="537" t="n"/>
      <c r="V231" s="282">
        <f>(T231-U231)/U231</f>
        <v/>
      </c>
      <c r="W231" s="537" t="n">
        <v>23</v>
      </c>
      <c r="X231" s="537" t="n"/>
      <c r="Y231" s="282">
        <f>(W231-X231)/X231</f>
        <v/>
      </c>
      <c r="Z231" s="537">
        <f>E231/W231</f>
        <v/>
      </c>
      <c r="AA231" s="537">
        <f>F231/X231</f>
        <v/>
      </c>
      <c r="AB231" s="282">
        <f>(Z231-AA231)/AA231</f>
        <v/>
      </c>
      <c r="AC231" s="537" t="n">
        <v>234923</v>
      </c>
      <c r="AD231" s="537" t="n"/>
      <c r="AE231" s="282">
        <f>(AC231-AD231)/AD231</f>
        <v/>
      </c>
      <c r="AF231" s="537" t="n">
        <v>11442</v>
      </c>
      <c r="AG231" s="537" t="n"/>
      <c r="AH231">
        <f>(AF231-AG231)/AG231</f>
        <v/>
      </c>
      <c r="AI231" s="537" t="n">
        <v>404544</v>
      </c>
      <c r="AJ231" s="537" t="n"/>
      <c r="AK231" s="282">
        <f>(AI231-AJ231)/AJ231</f>
        <v/>
      </c>
      <c r="AL231" s="286">
        <f>AF231/AI231</f>
        <v/>
      </c>
      <c r="AM231" s="286">
        <f>AG231/AJ231</f>
        <v/>
      </c>
      <c r="AN231" s="282">
        <f>(AL231-AM231)/AM231</f>
        <v/>
      </c>
    </row>
    <row customHeight="1" ht="15.75" r="232" s="452" spans="1:41">
      <c r="A232" s="279" t="n"/>
      <c r="B232" s="279" t="n"/>
      <c r="C232" s="280" t="n"/>
      <c r="D232" s="280" t="n"/>
      <c r="E232" s="535" t="n"/>
      <c r="F232" s="535" t="n"/>
      <c r="G232" s="282">
        <f>(E232-F232)/F232</f>
        <v/>
      </c>
      <c r="H232" s="535" t="n"/>
      <c r="I232" s="536" t="n"/>
      <c r="J232" s="282">
        <f>(H232-I232)/I232</f>
        <v/>
      </c>
      <c r="K232" s="535">
        <f>H232*1.085</f>
        <v/>
      </c>
      <c r="L232" s="535">
        <f>I232*1.085</f>
        <v/>
      </c>
      <c r="M232" s="282">
        <f>(K232-L232)/L232</f>
        <v/>
      </c>
      <c r="N232" s="536">
        <f>E232/H232</f>
        <v/>
      </c>
      <c r="O232" s="536">
        <f>F232/I232</f>
        <v/>
      </c>
      <c r="P232" s="282">
        <f>(N232-O232)/O232</f>
        <v/>
      </c>
      <c r="Q232" s="536">
        <f>E232/K232</f>
        <v/>
      </c>
      <c r="R232" s="536">
        <f>F232/L232</f>
        <v/>
      </c>
      <c r="S232" s="282">
        <f>(Q232-R232)/R232</f>
        <v/>
      </c>
      <c r="T232" s="537" t="n"/>
      <c r="U232" s="537" t="n"/>
      <c r="V232" s="282">
        <f>(T232-U232)/U232</f>
        <v/>
      </c>
      <c r="W232" s="537" t="n"/>
      <c r="X232" s="537" t="n"/>
      <c r="Y232" s="282">
        <f>(W232-X232)/X232</f>
        <v/>
      </c>
      <c r="Z232" s="537">
        <f>E232/W232</f>
        <v/>
      </c>
      <c r="AA232" s="537">
        <f>F232/X232</f>
        <v/>
      </c>
      <c r="AB232" s="282">
        <f>(Z232-AA232)/AA232</f>
        <v/>
      </c>
      <c r="AC232" s="537" t="n"/>
      <c r="AD232" s="537" t="n"/>
      <c r="AE232" s="282">
        <f>(AC232-AD232)/AD232</f>
        <v/>
      </c>
      <c r="AF232" s="537" t="n"/>
      <c r="AG232" s="537" t="n"/>
      <c r="AH232">
        <f>(AF232-AG232)/AG232</f>
        <v/>
      </c>
      <c r="AI232" s="537" t="n"/>
      <c r="AJ232" s="537" t="n"/>
      <c r="AK232" s="282">
        <f>(AI232-AJ232)/AJ232</f>
        <v/>
      </c>
      <c r="AL232" s="286">
        <f>AF232/AI232</f>
        <v/>
      </c>
      <c r="AM232" s="286">
        <f>AG232/AJ232</f>
        <v/>
      </c>
      <c r="AN232" s="282">
        <f>(AL232-AM232)/AM232</f>
        <v/>
      </c>
    </row>
    <row customHeight="1" ht="15.75" r="233" s="452" spans="1:41">
      <c r="A233" s="279" t="n"/>
      <c r="B233" s="279" t="n"/>
      <c r="C233" s="280" t="n"/>
      <c r="D233" s="280" t="n"/>
      <c r="E233" s="535" t="n"/>
      <c r="F233" s="535" t="n"/>
      <c r="G233" s="282">
        <f>(E233-F233)/F233</f>
        <v/>
      </c>
      <c r="H233" s="535" t="n"/>
      <c r="I233" s="536" t="n"/>
      <c r="J233" s="282">
        <f>(H233-I233)/I233</f>
        <v/>
      </c>
      <c r="K233" s="535">
        <f>H233*1.085</f>
        <v/>
      </c>
      <c r="L233" s="535">
        <f>I233*1.085</f>
        <v/>
      </c>
      <c r="M233" s="282">
        <f>(K233-L233)/L233</f>
        <v/>
      </c>
      <c r="N233" s="536">
        <f>E233/H233</f>
        <v/>
      </c>
      <c r="O233" s="536">
        <f>F233/I233</f>
        <v/>
      </c>
      <c r="P233" s="282">
        <f>(N233-O233)/O233</f>
        <v/>
      </c>
      <c r="Q233" s="536">
        <f>E233/K233</f>
        <v/>
      </c>
      <c r="R233" s="536">
        <f>F233/L233</f>
        <v/>
      </c>
      <c r="S233" s="282">
        <f>(Q233-R233)/R233</f>
        <v/>
      </c>
      <c r="T233" s="537" t="n"/>
      <c r="U233" s="537" t="n"/>
      <c r="V233" s="282">
        <f>(T233-U233)/U233</f>
        <v/>
      </c>
      <c r="W233" s="537" t="n"/>
      <c r="X233" s="537" t="n"/>
      <c r="Y233" s="282">
        <f>(W233-X233)/X233</f>
        <v/>
      </c>
      <c r="Z233" s="537">
        <f>E233/W233</f>
        <v/>
      </c>
      <c r="AA233" s="537">
        <f>F233/X233</f>
        <v/>
      </c>
      <c r="AB233" s="282">
        <f>(Z233-AA233)/AA233</f>
        <v/>
      </c>
      <c r="AC233" s="537" t="n"/>
      <c r="AD233" s="537" t="n"/>
      <c r="AE233" s="282">
        <f>(AC233-AD233)/AD233</f>
        <v/>
      </c>
      <c r="AF233" s="537" t="n"/>
      <c r="AG233" s="537" t="n"/>
      <c r="AH233">
        <f>(AF233-AG233)/AG233</f>
        <v/>
      </c>
      <c r="AI233" s="537" t="n"/>
      <c r="AJ233" s="537" t="n"/>
      <c r="AK233" s="282">
        <f>(AI233-AJ233)/AJ233</f>
        <v/>
      </c>
      <c r="AL233" s="286">
        <f>AF233/AI233</f>
        <v/>
      </c>
      <c r="AM233" s="286">
        <f>AG233/AJ233</f>
        <v/>
      </c>
      <c r="AN233" s="282">
        <f>(AL233-AM233)/AM233</f>
        <v/>
      </c>
    </row>
    <row customHeight="1" ht="15.75" r="234" s="452" spans="1:41">
      <c r="A234" s="279" t="n"/>
      <c r="B234" s="279" t="n"/>
      <c r="C234" s="280" t="n"/>
      <c r="D234" s="280" t="n"/>
      <c r="E234" s="535" t="n"/>
      <c r="F234" s="535" t="n"/>
      <c r="G234" s="282">
        <f>(E234-F234)/F234</f>
        <v/>
      </c>
      <c r="H234" s="535" t="n"/>
      <c r="I234" s="536" t="n"/>
      <c r="J234" s="282">
        <f>(H234-I234)/I234</f>
        <v/>
      </c>
      <c r="K234" s="535">
        <f>H234*1.085</f>
        <v/>
      </c>
      <c r="L234" s="535">
        <f>I234*1.085</f>
        <v/>
      </c>
      <c r="M234" s="282">
        <f>(K234-L234)/L234</f>
        <v/>
      </c>
      <c r="N234" s="536">
        <f>E234/H234</f>
        <v/>
      </c>
      <c r="O234" s="536">
        <f>F234/I234</f>
        <v/>
      </c>
      <c r="P234" s="282">
        <f>(N234-O234)/O234</f>
        <v/>
      </c>
      <c r="Q234" s="536">
        <f>E234/K234</f>
        <v/>
      </c>
      <c r="R234" s="536">
        <f>F234/L234</f>
        <v/>
      </c>
      <c r="S234" s="282">
        <f>(Q234-R234)/R234</f>
        <v/>
      </c>
      <c r="T234" s="537" t="n"/>
      <c r="U234" s="537" t="n"/>
      <c r="V234" s="282">
        <f>(T234-U234)/U234</f>
        <v/>
      </c>
      <c r="W234" s="537" t="n"/>
      <c r="X234" s="537" t="n"/>
      <c r="Y234" s="282">
        <f>(W234-X234)/X234</f>
        <v/>
      </c>
      <c r="Z234" s="537">
        <f>E234/W234</f>
        <v/>
      </c>
      <c r="AA234" s="537">
        <f>F234/X234</f>
        <v/>
      </c>
      <c r="AB234" s="282">
        <f>(Z234-AA234)/AA234</f>
        <v/>
      </c>
      <c r="AC234" s="537" t="n"/>
      <c r="AD234" s="537" t="n"/>
      <c r="AE234" s="282">
        <f>(AC234-AD234)/AD234</f>
        <v/>
      </c>
      <c r="AF234" s="537" t="n"/>
      <c r="AG234" s="537" t="n"/>
      <c r="AH234">
        <f>(AF234-AG234)/AG234</f>
        <v/>
      </c>
      <c r="AI234" s="537" t="n"/>
      <c r="AJ234" s="537" t="n"/>
      <c r="AK234" s="282">
        <f>(AI234-AJ234)/AJ234</f>
        <v/>
      </c>
      <c r="AL234" s="286">
        <f>AF234/AI234</f>
        <v/>
      </c>
      <c r="AM234" s="286">
        <f>AG234/AJ234</f>
        <v/>
      </c>
      <c r="AN234" s="282">
        <f>(AL234-AM234)/AM234</f>
        <v/>
      </c>
    </row>
    <row customHeight="1" ht="15.75" r="235" s="452" spans="1:41">
      <c r="A235" s="279" t="n"/>
      <c r="B235" s="279" t="n"/>
      <c r="C235" s="280" t="n"/>
      <c r="D235" s="297" t="s">
        <v>177</v>
      </c>
      <c r="E235" s="535" t="n">
        <v>0</v>
      </c>
      <c r="F235" s="535" t="n">
        <v>0</v>
      </c>
      <c r="G235" s="282">
        <f>(E235-F235)/F235</f>
        <v/>
      </c>
      <c r="H235" s="535" t="n">
        <v>0</v>
      </c>
      <c r="I235" s="536" t="n">
        <v>498.86</v>
      </c>
      <c r="J235" s="282">
        <f>(H235-I235)/I235</f>
        <v/>
      </c>
      <c r="K235" s="535">
        <f>H235*1.085</f>
        <v/>
      </c>
      <c r="L235" s="535">
        <f>I235*1.085</f>
        <v/>
      </c>
      <c r="M235" s="282">
        <f>(K235-L235)/L235</f>
        <v/>
      </c>
      <c r="N235" s="536">
        <f>E235/H235</f>
        <v/>
      </c>
      <c r="O235" s="536">
        <f>F235/I235</f>
        <v/>
      </c>
      <c r="P235" s="282">
        <f>(N235-O235)/O235</f>
        <v/>
      </c>
      <c r="Q235" s="536">
        <f>E235/K235</f>
        <v/>
      </c>
      <c r="R235" s="536">
        <f>F235/L235</f>
        <v/>
      </c>
      <c r="S235" s="282">
        <f>(Q235-R235)/R235</f>
        <v/>
      </c>
      <c r="T235" s="537" t="n">
        <v>8</v>
      </c>
      <c r="U235" s="537" t="n">
        <v>349</v>
      </c>
      <c r="V235" s="282">
        <f>(T235-U235)/U235</f>
        <v/>
      </c>
      <c r="W235" s="537" t="n">
        <v>0</v>
      </c>
      <c r="X235" s="537" t="n">
        <v>22</v>
      </c>
      <c r="Y235" s="282">
        <f>(W235-X235)/X235</f>
        <v/>
      </c>
      <c r="Z235" s="537">
        <f>E235/W235</f>
        <v/>
      </c>
      <c r="AA235" s="537">
        <f>F235/X235</f>
        <v/>
      </c>
      <c r="AB235" s="282">
        <f>(Z235-AA235)/AA235</f>
        <v/>
      </c>
      <c r="AC235" s="537" t="n">
        <v>0</v>
      </c>
      <c r="AD235" s="537" t="n">
        <v>113280</v>
      </c>
      <c r="AE235" s="282">
        <f>(AC235-AD235)/AD235</f>
        <v/>
      </c>
      <c r="AF235" s="537" t="n">
        <v>0</v>
      </c>
      <c r="AG235" s="537" t="n">
        <v>467</v>
      </c>
      <c r="AH235">
        <f>(AF235-AG235)/AG235</f>
        <v/>
      </c>
      <c r="AI235" s="537" t="n">
        <v>0</v>
      </c>
      <c r="AJ235" s="537" t="n">
        <v>126120</v>
      </c>
      <c r="AK235" s="282">
        <f>(AI235-AJ235)/AJ235</f>
        <v/>
      </c>
      <c r="AL235" s="286">
        <f>AF235/AI235</f>
        <v/>
      </c>
      <c r="AM235" s="286">
        <f>AG235/AJ235</f>
        <v/>
      </c>
      <c r="AN235" s="282">
        <f>(AL235-AM235)/AM235</f>
        <v/>
      </c>
    </row>
    <row customHeight="1" ht="15.75" r="236" s="452" spans="1:41">
      <c r="A236" s="49" t="s">
        <v>49</v>
      </c>
      <c r="B236" s="49" t="s">
        <v>124</v>
      </c>
      <c r="C236" s="50">
        <f>C230+7</f>
        <v/>
      </c>
      <c r="D236" s="50" t="s">
        <v>60</v>
      </c>
      <c r="E236" s="566">
        <f>SUM(E237:E241)</f>
        <v/>
      </c>
      <c r="F236" s="566">
        <f>SUM(F237:F241)</f>
        <v/>
      </c>
      <c r="G236" s="52">
        <f>(E236-F236)/F236</f>
        <v/>
      </c>
      <c r="H236" s="566">
        <f>SUM(H237:H241)</f>
        <v/>
      </c>
      <c r="I236" s="566">
        <f>SUM(I237:I241)</f>
        <v/>
      </c>
      <c r="J236" s="52">
        <f>(H236-I236)/I236</f>
        <v/>
      </c>
      <c r="K236" s="566">
        <f>H236*1.085</f>
        <v/>
      </c>
      <c r="L236" s="566">
        <f>I236*1.085</f>
        <v/>
      </c>
      <c r="M236" s="52">
        <f>(K236-L236)/L236</f>
        <v/>
      </c>
      <c r="N236" s="567">
        <f>E236/H236</f>
        <v/>
      </c>
      <c r="O236" s="567">
        <f>F236/I236</f>
        <v/>
      </c>
      <c r="P236" s="52">
        <f>(N236-O236)/O236</f>
        <v/>
      </c>
      <c r="Q236" s="567">
        <f>E236/K236</f>
        <v/>
      </c>
      <c r="R236" s="567">
        <f>F236/L236</f>
        <v/>
      </c>
      <c r="S236" s="52">
        <f>(Q236-R236)/R236</f>
        <v/>
      </c>
      <c r="T236" s="568">
        <f>SUM(T237:T241)</f>
        <v/>
      </c>
      <c r="U236" s="568">
        <f>SUM(U237:U241)</f>
        <v/>
      </c>
      <c r="V236" s="52">
        <f>(T236-U236)/U236</f>
        <v/>
      </c>
      <c r="W236" s="568">
        <f>SUM(W237:W241)</f>
        <v/>
      </c>
      <c r="X236" s="568">
        <f>SUM(X237:X241)</f>
        <v/>
      </c>
      <c r="Y236" s="52">
        <f>(W236-X236)/X236</f>
        <v/>
      </c>
      <c r="Z236" s="566">
        <f>E236/W236</f>
        <v/>
      </c>
      <c r="AA236" s="568">
        <f>F236/X236</f>
        <v/>
      </c>
      <c r="AB236" s="52">
        <f>(Z236-AA236)/AA236</f>
        <v/>
      </c>
      <c r="AC236" s="568">
        <f>SUM(AC237:AC241)</f>
        <v/>
      </c>
      <c r="AD236" s="568">
        <f>SUM(AD237:AD241)</f>
        <v/>
      </c>
      <c r="AE236" s="52">
        <f>(AC236-AD236)/AD236</f>
        <v/>
      </c>
      <c r="AF236" s="568">
        <f>SUM(AF237:AF241)</f>
        <v/>
      </c>
      <c r="AG236" s="568">
        <f>SUM(AG237:AG241)</f>
        <v/>
      </c>
      <c r="AH236" s="67">
        <f>(AF236-AG236)/AG236</f>
        <v/>
      </c>
      <c r="AI236" s="568">
        <f>SUM(AI237:AI241)</f>
        <v/>
      </c>
      <c r="AJ236" s="568">
        <f>SUM(AJ237:AJ241)</f>
        <v/>
      </c>
      <c r="AK236" s="52">
        <f>(AI236-AJ236)/AJ236</f>
        <v/>
      </c>
      <c r="AL236" s="82">
        <f>AF236/AI236</f>
        <v/>
      </c>
      <c r="AM236" s="82">
        <f>AG236/AJ236</f>
        <v/>
      </c>
      <c r="AN236" s="52">
        <f>(AL236-AM236)/AM236</f>
        <v/>
      </c>
    </row>
    <row customHeight="1" ht="15.75" r="237" s="452" spans="1:41">
      <c r="A237" s="279" t="n"/>
      <c r="B237" s="279" t="n"/>
      <c r="C237" s="280" t="n"/>
      <c r="D237" s="280" t="n"/>
      <c r="E237" s="535" t="n"/>
      <c r="F237" s="535" t="n"/>
      <c r="G237" s="282">
        <f>(E237-F237)/F237</f>
        <v/>
      </c>
      <c r="H237" s="535" t="n"/>
      <c r="I237" s="536" t="n"/>
      <c r="J237" s="282">
        <f>(H237-I237)/I237</f>
        <v/>
      </c>
      <c r="K237" s="535">
        <f>H237*1.085</f>
        <v/>
      </c>
      <c r="L237" s="535">
        <f>I237*1.085</f>
        <v/>
      </c>
      <c r="M237" s="282">
        <f>(K237-L237)/L237</f>
        <v/>
      </c>
      <c r="N237" s="536">
        <f>E237/H237</f>
        <v/>
      </c>
      <c r="O237" s="536">
        <f>F237/I237</f>
        <v/>
      </c>
      <c r="P237" s="282">
        <f>(N237-O237)/O237</f>
        <v/>
      </c>
      <c r="Q237" s="536">
        <f>E237/K237</f>
        <v/>
      </c>
      <c r="R237" s="536">
        <f>F237/L237</f>
        <v/>
      </c>
      <c r="S237" s="282">
        <f>(Q237-R237)/R237</f>
        <v/>
      </c>
      <c r="T237" s="537" t="n"/>
      <c r="U237" s="537" t="n"/>
      <c r="V237" s="282">
        <f>(T237-U237)/U237</f>
        <v/>
      </c>
      <c r="W237" s="537" t="n"/>
      <c r="X237" s="537" t="n"/>
      <c r="Y237" s="282">
        <f>(W237-X237)/X237</f>
        <v/>
      </c>
      <c r="Z237" s="537">
        <f>E237/W237</f>
        <v/>
      </c>
      <c r="AA237" s="537">
        <f>F237/X237</f>
        <v/>
      </c>
      <c r="AB237" s="282">
        <f>(Z237-AA237)/AA237</f>
        <v/>
      </c>
      <c r="AC237" s="537" t="n"/>
      <c r="AD237" s="537" t="n"/>
      <c r="AE237" s="282">
        <f>(AC237-AD237)/AD237</f>
        <v/>
      </c>
      <c r="AF237" s="537" t="n"/>
      <c r="AG237" s="537" t="n"/>
      <c r="AH237">
        <f>(AF237-AG237)/AG237</f>
        <v/>
      </c>
      <c r="AI237" s="537" t="n"/>
      <c r="AJ237" s="537" t="n"/>
      <c r="AK237" s="282">
        <f>(AI237-AJ237)/AJ237</f>
        <v/>
      </c>
      <c r="AL237" s="286">
        <f>AF237/AI237</f>
        <v/>
      </c>
      <c r="AM237" s="286">
        <f>AG237/AJ237</f>
        <v/>
      </c>
      <c r="AN237" s="282">
        <f>(AL237-AM237)/AM237</f>
        <v/>
      </c>
    </row>
    <row customHeight="1" ht="15.75" r="238" s="452" spans="1:41">
      <c r="A238" s="279" t="n"/>
      <c r="B238" s="279" t="n"/>
      <c r="C238" s="280" t="n"/>
      <c r="D238" s="280" t="n"/>
      <c r="E238" s="535" t="n"/>
      <c r="F238" s="535" t="n"/>
      <c r="G238" s="282">
        <f>(E238-F238)/F238</f>
        <v/>
      </c>
      <c r="H238" s="535" t="n"/>
      <c r="I238" s="536" t="n"/>
      <c r="J238" s="282">
        <f>(H238-I238)/I238</f>
        <v/>
      </c>
      <c r="K238" s="535">
        <f>H238*1.085</f>
        <v/>
      </c>
      <c r="L238" s="535">
        <f>I238*1.085</f>
        <v/>
      </c>
      <c r="M238" s="282">
        <f>(K238-L238)/L238</f>
        <v/>
      </c>
      <c r="N238" s="536">
        <f>E238/H238</f>
        <v/>
      </c>
      <c r="O238" s="536">
        <f>F238/I238</f>
        <v/>
      </c>
      <c r="P238" s="282">
        <f>(N238-O238)/O238</f>
        <v/>
      </c>
      <c r="Q238" s="536">
        <f>E238/K238</f>
        <v/>
      </c>
      <c r="R238" s="536">
        <f>F238/L238</f>
        <v/>
      </c>
      <c r="S238" s="282">
        <f>(Q238-R238)/R238</f>
        <v/>
      </c>
      <c r="T238" s="537" t="n"/>
      <c r="U238" s="537" t="n"/>
      <c r="V238" s="282">
        <f>(T238-U238)/U238</f>
        <v/>
      </c>
      <c r="W238" s="537" t="n"/>
      <c r="X238" s="537" t="n"/>
      <c r="Y238" s="282">
        <f>(W238-X238)/X238</f>
        <v/>
      </c>
      <c r="Z238" s="537">
        <f>E238/W238</f>
        <v/>
      </c>
      <c r="AA238" s="537">
        <f>F238/X238</f>
        <v/>
      </c>
      <c r="AB238" s="282">
        <f>(Z238-AA238)/AA238</f>
        <v/>
      </c>
      <c r="AC238" s="537" t="n"/>
      <c r="AD238" s="537" t="n"/>
      <c r="AE238" s="282">
        <f>(AC238-AD238)/AD238</f>
        <v/>
      </c>
      <c r="AF238" s="537" t="n"/>
      <c r="AG238" s="537" t="n"/>
      <c r="AH238">
        <f>(AF238-AG238)/AG238</f>
        <v/>
      </c>
      <c r="AI238" s="537" t="n"/>
      <c r="AJ238" s="537" t="n"/>
      <c r="AK238" s="282">
        <f>(AI238-AJ238)/AJ238</f>
        <v/>
      </c>
      <c r="AL238" s="286">
        <f>AF238/AI238</f>
        <v/>
      </c>
      <c r="AM238" s="286">
        <f>AG238/AJ238</f>
        <v/>
      </c>
      <c r="AN238" s="282">
        <f>(AL238-AM238)/AM238</f>
        <v/>
      </c>
    </row>
    <row customHeight="1" ht="15.75" r="239" s="452" spans="1:41">
      <c r="A239" s="279" t="n"/>
      <c r="B239" s="279" t="n"/>
      <c r="C239" s="280" t="n"/>
      <c r="D239" s="280" t="n"/>
      <c r="E239" s="535" t="n"/>
      <c r="F239" s="535" t="n"/>
      <c r="G239" s="282">
        <f>(E239-F239)/F239</f>
        <v/>
      </c>
      <c r="H239" s="535" t="n"/>
      <c r="I239" s="536" t="n"/>
      <c r="J239" s="282">
        <f>(H239-I239)/I239</f>
        <v/>
      </c>
      <c r="K239" s="535">
        <f>H239*1.085</f>
        <v/>
      </c>
      <c r="L239" s="535">
        <f>I239*1.085</f>
        <v/>
      </c>
      <c r="M239" s="282">
        <f>(K239-L239)/L239</f>
        <v/>
      </c>
      <c r="N239" s="536">
        <f>E239/H239</f>
        <v/>
      </c>
      <c r="O239" s="536">
        <f>F239/I239</f>
        <v/>
      </c>
      <c r="P239" s="282">
        <f>(N239-O239)/O239</f>
        <v/>
      </c>
      <c r="Q239" s="536">
        <f>E239/K239</f>
        <v/>
      </c>
      <c r="R239" s="536">
        <f>F239/L239</f>
        <v/>
      </c>
      <c r="S239" s="282">
        <f>(Q239-R239)/R239</f>
        <v/>
      </c>
      <c r="T239" s="537" t="n"/>
      <c r="U239" s="537" t="n"/>
      <c r="V239" s="282">
        <f>(T239-U239)/U239</f>
        <v/>
      </c>
      <c r="W239" s="537" t="n"/>
      <c r="X239" s="537" t="n"/>
      <c r="Y239" s="282">
        <f>(W239-X239)/X239</f>
        <v/>
      </c>
      <c r="Z239" s="537">
        <f>E239/W239</f>
        <v/>
      </c>
      <c r="AA239" s="537">
        <f>F239/X239</f>
        <v/>
      </c>
      <c r="AB239" s="282">
        <f>(Z239-AA239)/AA239</f>
        <v/>
      </c>
      <c r="AC239" s="537" t="n"/>
      <c r="AD239" s="537" t="n"/>
      <c r="AE239" s="282">
        <f>(AC239-AD239)/AD239</f>
        <v/>
      </c>
      <c r="AF239" s="537" t="n"/>
      <c r="AG239" s="537" t="n"/>
      <c r="AH239">
        <f>(AF239-AG239)/AG239</f>
        <v/>
      </c>
      <c r="AI239" s="537" t="n"/>
      <c r="AJ239" s="537" t="n"/>
      <c r="AK239" s="282">
        <f>(AI239-AJ239)/AJ239</f>
        <v/>
      </c>
      <c r="AL239" s="286">
        <f>AF239/AI239</f>
        <v/>
      </c>
      <c r="AM239" s="286">
        <f>AG239/AJ239</f>
        <v/>
      </c>
      <c r="AN239" s="282">
        <f>(AL239-AM239)/AM239</f>
        <v/>
      </c>
    </row>
    <row customHeight="1" ht="15.75" r="240" s="452" spans="1:41">
      <c r="A240" s="279" t="n"/>
      <c r="B240" s="279" t="n"/>
      <c r="C240" s="280" t="n"/>
      <c r="D240" s="280" t="n"/>
      <c r="E240" s="535" t="n"/>
      <c r="F240" s="535" t="n"/>
      <c r="G240" s="282">
        <f>(E240-F240)/F240</f>
        <v/>
      </c>
      <c r="H240" s="535" t="n"/>
      <c r="I240" s="536" t="n"/>
      <c r="J240" s="282">
        <f>(H240-I240)/I240</f>
        <v/>
      </c>
      <c r="K240" s="535">
        <f>H240*1.085</f>
        <v/>
      </c>
      <c r="L240" s="535">
        <f>I240*1.085</f>
        <v/>
      </c>
      <c r="M240" s="282">
        <f>(K240-L240)/L240</f>
        <v/>
      </c>
      <c r="N240" s="536">
        <f>E240/H240</f>
        <v/>
      </c>
      <c r="O240" s="536">
        <f>F240/I240</f>
        <v/>
      </c>
      <c r="P240" s="282">
        <f>(N240-O240)/O240</f>
        <v/>
      </c>
      <c r="Q240" s="536">
        <f>E240/K240</f>
        <v/>
      </c>
      <c r="R240" s="536">
        <f>F240/L240</f>
        <v/>
      </c>
      <c r="S240" s="282">
        <f>(Q240-R240)/R240</f>
        <v/>
      </c>
      <c r="T240" s="537" t="n"/>
      <c r="U240" s="537" t="n"/>
      <c r="V240" s="282">
        <f>(T240-U240)/U240</f>
        <v/>
      </c>
      <c r="W240" s="537" t="n"/>
      <c r="X240" s="537" t="n"/>
      <c r="Y240" s="282">
        <f>(W240-X240)/X240</f>
        <v/>
      </c>
      <c r="Z240" s="537">
        <f>E240/W240</f>
        <v/>
      </c>
      <c r="AA240" s="537">
        <f>F240/X240</f>
        <v/>
      </c>
      <c r="AB240" s="282">
        <f>(Z240-AA240)/AA240</f>
        <v/>
      </c>
      <c r="AC240" s="537" t="n"/>
      <c r="AD240" s="537" t="n"/>
      <c r="AE240" s="282">
        <f>(AC240-AD240)/AD240</f>
        <v/>
      </c>
      <c r="AF240" s="537" t="n"/>
      <c r="AG240" s="537" t="n"/>
      <c r="AH240">
        <f>(AF240-AG240)/AG240</f>
        <v/>
      </c>
      <c r="AI240" s="537" t="n"/>
      <c r="AJ240" s="537" t="n"/>
      <c r="AK240" s="282">
        <f>(AI240-AJ240)/AJ240</f>
        <v/>
      </c>
      <c r="AL240" s="286">
        <f>AF240/AI240</f>
        <v/>
      </c>
      <c r="AM240" s="286">
        <f>AG240/AJ240</f>
        <v/>
      </c>
      <c r="AN240" s="282">
        <f>(AL240-AM240)/AM240</f>
        <v/>
      </c>
    </row>
    <row customFormat="1" customHeight="1" ht="15.75" r="241" s="357" spans="1:41">
      <c r="A241" s="347" t="n"/>
      <c r="B241" s="347" t="n"/>
      <c r="C241" s="348" t="n"/>
      <c r="D241" s="349" t="s">
        <v>177</v>
      </c>
      <c r="E241" s="612" t="n">
        <v>62</v>
      </c>
      <c r="F241" s="612" t="n">
        <v>0</v>
      </c>
      <c r="G241" s="351">
        <f>(E241-F241)/F241</f>
        <v/>
      </c>
      <c r="H241" s="612" t="n">
        <v>0</v>
      </c>
      <c r="I241" s="613" t="n">
        <v>0</v>
      </c>
      <c r="J241" s="351">
        <f>(H241-I241)/I241</f>
        <v/>
      </c>
      <c r="K241" s="612">
        <f>H241*1.085</f>
        <v/>
      </c>
      <c r="L241" s="612">
        <f>I241*1.085</f>
        <v/>
      </c>
      <c r="M241" s="351">
        <f>(K241-L241)/L241</f>
        <v/>
      </c>
      <c r="N241" s="613">
        <f>E241/H241</f>
        <v/>
      </c>
      <c r="O241" s="613">
        <f>F241/I241</f>
        <v/>
      </c>
      <c r="P241" s="351">
        <f>(N241-O241)/O241</f>
        <v/>
      </c>
      <c r="Q241" s="613">
        <f>E241/K241</f>
        <v/>
      </c>
      <c r="R241" s="613">
        <f>F241/L241</f>
        <v/>
      </c>
      <c r="S241" s="351">
        <f>(Q241-R241)/R241</f>
        <v/>
      </c>
      <c r="T241" s="614" t="n">
        <v>95</v>
      </c>
      <c r="U241" s="614" t="n">
        <v>18</v>
      </c>
      <c r="V241" s="351">
        <f>(T241-U241)/U241</f>
        <v/>
      </c>
      <c r="W241" s="614" t="n">
        <v>1</v>
      </c>
      <c r="X241" s="614" t="n">
        <v>0</v>
      </c>
      <c r="Y241" s="351">
        <f>(W241-X241)/X241</f>
        <v/>
      </c>
      <c r="Z241" s="614">
        <f>E241/W241</f>
        <v/>
      </c>
      <c r="AA241" s="614">
        <f>F241/X241</f>
        <v/>
      </c>
      <c r="AB241" s="351">
        <f>(Z241-AA241)/AA241</f>
        <v/>
      </c>
      <c r="AC241" s="614" t="n"/>
      <c r="AD241" s="614" t="n">
        <v>0</v>
      </c>
      <c r="AE241" s="351">
        <f>(AC241-AD241)/AD241</f>
        <v/>
      </c>
      <c r="AF241" s="614" t="n"/>
      <c r="AG241" s="614" t="n">
        <v>0</v>
      </c>
      <c r="AH241" s="357">
        <f>(AF241-AG241)/AG241</f>
        <v/>
      </c>
      <c r="AI241" s="614" t="n"/>
      <c r="AJ241" s="614" t="n">
        <v>0</v>
      </c>
      <c r="AK241" s="351">
        <f>(AI241-AJ241)/AJ241</f>
        <v/>
      </c>
      <c r="AL241" s="356">
        <f>AF241/AI241</f>
        <v/>
      </c>
      <c r="AM241" s="356">
        <f>AG241/AJ241</f>
        <v/>
      </c>
      <c r="AN241" s="351">
        <f>(AL241-AM241)/AM241</f>
        <v/>
      </c>
      <c r="AO241" s="357" t="n"/>
    </row>
    <row customHeight="1" ht="15.75" r="242" s="452" spans="1:41">
      <c r="A242" s="49" t="s">
        <v>50</v>
      </c>
      <c r="B242" s="49" t="s">
        <v>125</v>
      </c>
      <c r="C242" s="50">
        <f>C236+7</f>
        <v/>
      </c>
      <c r="D242" s="50" t="s">
        <v>60</v>
      </c>
      <c r="E242" s="566">
        <f>SUM(E243:E247)</f>
        <v/>
      </c>
      <c r="F242" s="566">
        <f>SUM(F243:F247)</f>
        <v/>
      </c>
      <c r="G242" s="52">
        <f>(E242-F242)/F242</f>
        <v/>
      </c>
      <c r="H242" s="566">
        <f>SUM(H243:H247)</f>
        <v/>
      </c>
      <c r="I242" s="566">
        <f>SUM(I243:I247)</f>
        <v/>
      </c>
      <c r="J242" s="52">
        <f>(H242-I242)/I242</f>
        <v/>
      </c>
      <c r="K242" s="566">
        <f>H242*1.085</f>
        <v/>
      </c>
      <c r="L242" s="566">
        <f>I242*1.085</f>
        <v/>
      </c>
      <c r="M242" s="52">
        <f>(K242-L242)/L242</f>
        <v/>
      </c>
      <c r="N242" s="567">
        <f>E242/H242</f>
        <v/>
      </c>
      <c r="O242" s="567">
        <f>F242/I242</f>
        <v/>
      </c>
      <c r="P242" s="52">
        <f>(N242-O242)/O242</f>
        <v/>
      </c>
      <c r="Q242" s="567">
        <f>E242/K242</f>
        <v/>
      </c>
      <c r="R242" s="567">
        <f>F242/L242</f>
        <v/>
      </c>
      <c r="S242" s="52">
        <f>(Q242-R242)/R242</f>
        <v/>
      </c>
      <c r="T242" s="568">
        <f>SUM(T243:T247)</f>
        <v/>
      </c>
      <c r="U242" s="568">
        <f>SUM(U243:U247)</f>
        <v/>
      </c>
      <c r="V242" s="52">
        <f>(T242-U242)/U242</f>
        <v/>
      </c>
      <c r="W242" s="568">
        <f>SUM(W243:W247)</f>
        <v/>
      </c>
      <c r="X242" s="568">
        <f>SUM(X243:X247)</f>
        <v/>
      </c>
      <c r="Y242" s="52">
        <f>(W242-X242)/X242</f>
        <v/>
      </c>
      <c r="Z242" s="566">
        <f>E242/W242</f>
        <v/>
      </c>
      <c r="AA242" s="568">
        <f>F242/X242</f>
        <v/>
      </c>
      <c r="AB242" s="52">
        <f>(Z242-AA242)/AA242</f>
        <v/>
      </c>
      <c r="AC242" s="568">
        <f>SUM(AC243:AC247)</f>
        <v/>
      </c>
      <c r="AD242" s="568">
        <f>SUM(AD243:AD247)</f>
        <v/>
      </c>
      <c r="AE242" s="52">
        <f>(AC242-AD242)/AD242</f>
        <v/>
      </c>
      <c r="AF242" s="568">
        <f>SUM(AF243:AF247)</f>
        <v/>
      </c>
      <c r="AG242" s="568">
        <f>SUM(AG243:AG247)</f>
        <v/>
      </c>
      <c r="AH242" s="67">
        <f>(AF242-AG242)/AG242</f>
        <v/>
      </c>
      <c r="AI242" s="568">
        <f>SUM(AI243:AI247)</f>
        <v/>
      </c>
      <c r="AJ242" s="568">
        <f>SUM(AJ243:AJ247)</f>
        <v/>
      </c>
      <c r="AK242" s="52">
        <f>(AI242-AJ242)/AJ242</f>
        <v/>
      </c>
      <c r="AL242" s="82">
        <f>AF242/AI242</f>
        <v/>
      </c>
      <c r="AM242" s="82">
        <f>AG242/AJ242</f>
        <v/>
      </c>
      <c r="AN242" s="52">
        <f>(AL242-AM242)/AM242</f>
        <v/>
      </c>
    </row>
    <row customHeight="1" ht="15.75" r="243" s="452" spans="1:41">
      <c r="A243" s="279" t="n"/>
      <c r="B243" s="279" t="n"/>
      <c r="C243" s="280" t="n"/>
      <c r="D243" s="280" t="n"/>
      <c r="E243" s="535" t="n"/>
      <c r="F243" s="535" t="n"/>
      <c r="G243" s="282">
        <f>(E243-F243)/F243</f>
        <v/>
      </c>
      <c r="H243" s="535" t="n"/>
      <c r="I243" s="536" t="n"/>
      <c r="J243" s="282">
        <f>(H243-I243)/I243</f>
        <v/>
      </c>
      <c r="K243" s="535">
        <f>H243*1.085</f>
        <v/>
      </c>
      <c r="L243" s="535">
        <f>I243*1.085</f>
        <v/>
      </c>
      <c r="M243" s="282">
        <f>(K243-L243)/L243</f>
        <v/>
      </c>
      <c r="N243" s="536">
        <f>E243/H243</f>
        <v/>
      </c>
      <c r="O243" s="536">
        <f>F243/I243</f>
        <v/>
      </c>
      <c r="P243" s="282">
        <f>(N243-O243)/O243</f>
        <v/>
      </c>
      <c r="Q243" s="536">
        <f>E243/K243</f>
        <v/>
      </c>
      <c r="R243" s="536">
        <f>F243/L243</f>
        <v/>
      </c>
      <c r="S243" s="282">
        <f>(Q243-R243)/R243</f>
        <v/>
      </c>
      <c r="T243" s="537" t="n"/>
      <c r="U243" s="537" t="n"/>
      <c r="V243" s="282">
        <f>(T243-U243)/U243</f>
        <v/>
      </c>
      <c r="W243" s="537" t="n"/>
      <c r="X243" s="537" t="n"/>
      <c r="Y243" s="282">
        <f>(W243-X243)/X243</f>
        <v/>
      </c>
      <c r="Z243" s="537">
        <f>E243/W243</f>
        <v/>
      </c>
      <c r="AA243" s="537">
        <f>F243/X243</f>
        <v/>
      </c>
      <c r="AB243" s="282">
        <f>(Z243-AA243)/AA243</f>
        <v/>
      </c>
      <c r="AC243" s="537" t="n"/>
      <c r="AD243" s="537" t="n"/>
      <c r="AE243" s="282">
        <f>(AC243-AD243)/AD243</f>
        <v/>
      </c>
      <c r="AF243" s="537" t="n"/>
      <c r="AG243" s="537" t="n"/>
      <c r="AH243">
        <f>(AF243-AG243)/AG243</f>
        <v/>
      </c>
      <c r="AI243" s="537" t="n"/>
      <c r="AJ243" s="537" t="n"/>
      <c r="AK243" s="282">
        <f>(AI243-AJ243)/AJ243</f>
        <v/>
      </c>
      <c r="AL243" s="286">
        <f>AF243/AI243</f>
        <v/>
      </c>
      <c r="AM243" s="286">
        <f>AG243/AJ243</f>
        <v/>
      </c>
      <c r="AN243" s="282">
        <f>(AL243-AM243)/AM243</f>
        <v/>
      </c>
    </row>
    <row customHeight="1" ht="15.75" r="244" s="452" spans="1:41">
      <c r="A244" s="279" t="n"/>
      <c r="B244" s="279" t="n"/>
      <c r="C244" s="280" t="n"/>
      <c r="D244" s="280" t="n"/>
      <c r="E244" s="535" t="n"/>
      <c r="F244" s="535" t="n"/>
      <c r="G244" s="282">
        <f>(E244-F244)/F244</f>
        <v/>
      </c>
      <c r="H244" s="535" t="n"/>
      <c r="I244" s="536" t="n"/>
      <c r="J244" s="282">
        <f>(H244-I244)/I244</f>
        <v/>
      </c>
      <c r="K244" s="535">
        <f>H244*1.085</f>
        <v/>
      </c>
      <c r="L244" s="535">
        <f>I244*1.085</f>
        <v/>
      </c>
      <c r="M244" s="282">
        <f>(K244-L244)/L244</f>
        <v/>
      </c>
      <c r="N244" s="536">
        <f>E244/H244</f>
        <v/>
      </c>
      <c r="O244" s="536">
        <f>F244/I244</f>
        <v/>
      </c>
      <c r="P244" s="282">
        <f>(N244-O244)/O244</f>
        <v/>
      </c>
      <c r="Q244" s="536">
        <f>E244/K244</f>
        <v/>
      </c>
      <c r="R244" s="536">
        <f>F244/L244</f>
        <v/>
      </c>
      <c r="S244" s="282">
        <f>(Q244-R244)/R244</f>
        <v/>
      </c>
      <c r="T244" s="537" t="n"/>
      <c r="U244" s="537" t="n"/>
      <c r="V244" s="282">
        <f>(T244-U244)/U244</f>
        <v/>
      </c>
      <c r="W244" s="537" t="n"/>
      <c r="X244" s="537" t="n"/>
      <c r="Y244" s="282">
        <f>(W244-X244)/X244</f>
        <v/>
      </c>
      <c r="Z244" s="537">
        <f>E244/W244</f>
        <v/>
      </c>
      <c r="AA244" s="537">
        <f>F244/X244</f>
        <v/>
      </c>
      <c r="AB244" s="282">
        <f>(Z244-AA244)/AA244</f>
        <v/>
      </c>
      <c r="AC244" s="537" t="n"/>
      <c r="AD244" s="537" t="n"/>
      <c r="AE244" s="282">
        <f>(AC244-AD244)/AD244</f>
        <v/>
      </c>
      <c r="AF244" s="537" t="n"/>
      <c r="AG244" s="537" t="n"/>
      <c r="AH244">
        <f>(AF244-AG244)/AG244</f>
        <v/>
      </c>
      <c r="AI244" s="537" t="n"/>
      <c r="AJ244" s="537" t="n"/>
      <c r="AK244" s="282">
        <f>(AI244-AJ244)/AJ244</f>
        <v/>
      </c>
      <c r="AL244" s="286">
        <f>AF244/AI244</f>
        <v/>
      </c>
      <c r="AM244" s="286">
        <f>AG244/AJ244</f>
        <v/>
      </c>
      <c r="AN244" s="282">
        <f>(AL244-AM244)/AM244</f>
        <v/>
      </c>
    </row>
    <row customHeight="1" ht="15.75" r="245" s="452" spans="1:41">
      <c r="A245" s="279" t="n"/>
      <c r="B245" s="279" t="n"/>
      <c r="C245" s="280" t="n"/>
      <c r="D245" s="280" t="n"/>
      <c r="E245" s="535" t="n"/>
      <c r="F245" s="535" t="n"/>
      <c r="G245" s="282">
        <f>(E245-F245)/F245</f>
        <v/>
      </c>
      <c r="H245" s="535" t="n"/>
      <c r="I245" s="536" t="n"/>
      <c r="J245" s="282">
        <f>(H245-I245)/I245</f>
        <v/>
      </c>
      <c r="K245" s="535">
        <f>H245*1.085</f>
        <v/>
      </c>
      <c r="L245" s="535">
        <f>I245*1.085</f>
        <v/>
      </c>
      <c r="M245" s="282">
        <f>(K245-L245)/L245</f>
        <v/>
      </c>
      <c r="N245" s="536">
        <f>E245/H245</f>
        <v/>
      </c>
      <c r="O245" s="536">
        <f>F245/I245</f>
        <v/>
      </c>
      <c r="P245" s="282">
        <f>(N245-O245)/O245</f>
        <v/>
      </c>
      <c r="Q245" s="536">
        <f>E245/K245</f>
        <v/>
      </c>
      <c r="R245" s="536">
        <f>F245/L245</f>
        <v/>
      </c>
      <c r="S245" s="282">
        <f>(Q245-R245)/R245</f>
        <v/>
      </c>
      <c r="T245" s="537" t="n"/>
      <c r="U245" s="537" t="n"/>
      <c r="V245" s="282">
        <f>(T245-U245)/U245</f>
        <v/>
      </c>
      <c r="W245" s="537" t="n"/>
      <c r="X245" s="537" t="n"/>
      <c r="Y245" s="282">
        <f>(W245-X245)/X245</f>
        <v/>
      </c>
      <c r="Z245" s="537">
        <f>E245/W245</f>
        <v/>
      </c>
      <c r="AA245" s="537">
        <f>F245/X245</f>
        <v/>
      </c>
      <c r="AB245" s="282">
        <f>(Z245-AA245)/AA245</f>
        <v/>
      </c>
      <c r="AC245" s="537" t="n"/>
      <c r="AD245" s="537" t="n"/>
      <c r="AE245" s="282">
        <f>(AC245-AD245)/AD245</f>
        <v/>
      </c>
      <c r="AF245" s="537" t="n"/>
      <c r="AG245" s="537" t="n"/>
      <c r="AH245">
        <f>(AF245-AG245)/AG245</f>
        <v/>
      </c>
      <c r="AI245" s="537" t="n"/>
      <c r="AJ245" s="537" t="n"/>
      <c r="AK245" s="282">
        <f>(AI245-AJ245)/AJ245</f>
        <v/>
      </c>
      <c r="AL245" s="286">
        <f>AF245/AI245</f>
        <v/>
      </c>
      <c r="AM245" s="286">
        <f>AG245/AJ245</f>
        <v/>
      </c>
      <c r="AN245" s="282">
        <f>(AL245-AM245)/AM245</f>
        <v/>
      </c>
    </row>
    <row customHeight="1" ht="15.75" r="246" s="452" spans="1:41">
      <c r="A246" s="279" t="n"/>
      <c r="B246" s="279" t="n"/>
      <c r="C246" s="280" t="n"/>
      <c r="D246" s="280" t="n"/>
      <c r="E246" s="535" t="n"/>
      <c r="F246" s="535" t="n"/>
      <c r="G246" s="282">
        <f>(E246-F246)/F246</f>
        <v/>
      </c>
      <c r="H246" s="535" t="n"/>
      <c r="I246" s="536" t="n"/>
      <c r="J246" s="282">
        <f>(H246-I246)/I246</f>
        <v/>
      </c>
      <c r="K246" s="535">
        <f>H246*1.085</f>
        <v/>
      </c>
      <c r="L246" s="535">
        <f>I246*1.085</f>
        <v/>
      </c>
      <c r="M246" s="282">
        <f>(K246-L246)/L246</f>
        <v/>
      </c>
      <c r="N246" s="536">
        <f>E246/H246</f>
        <v/>
      </c>
      <c r="O246" s="536">
        <f>F246/I246</f>
        <v/>
      </c>
      <c r="P246" s="282">
        <f>(N246-O246)/O246</f>
        <v/>
      </c>
      <c r="Q246" s="536">
        <f>E246/K246</f>
        <v/>
      </c>
      <c r="R246" s="536">
        <f>F246/L246</f>
        <v/>
      </c>
      <c r="S246" s="282">
        <f>(Q246-R246)/R246</f>
        <v/>
      </c>
      <c r="T246" s="537" t="n"/>
      <c r="U246" s="537" t="n"/>
      <c r="V246" s="282">
        <f>(T246-U246)/U246</f>
        <v/>
      </c>
      <c r="W246" s="537" t="n"/>
      <c r="X246" s="537" t="n"/>
      <c r="Y246" s="282">
        <f>(W246-X246)/X246</f>
        <v/>
      </c>
      <c r="Z246" s="537">
        <f>E246/W246</f>
        <v/>
      </c>
      <c r="AA246" s="537">
        <f>F246/X246</f>
        <v/>
      </c>
      <c r="AB246" s="282">
        <f>(Z246-AA246)/AA246</f>
        <v/>
      </c>
      <c r="AC246" s="537" t="n"/>
      <c r="AD246" s="537" t="n"/>
      <c r="AE246" s="282">
        <f>(AC246-AD246)/AD246</f>
        <v/>
      </c>
      <c r="AF246" s="537" t="n"/>
      <c r="AG246" s="537" t="n"/>
      <c r="AH246">
        <f>(AF246-AG246)/AG246</f>
        <v/>
      </c>
      <c r="AI246" s="537" t="n"/>
      <c r="AJ246" s="537" t="n"/>
      <c r="AK246" s="282">
        <f>(AI246-AJ246)/AJ246</f>
        <v/>
      </c>
      <c r="AL246" s="286">
        <f>AF246/AI246</f>
        <v/>
      </c>
      <c r="AM246" s="286">
        <f>AG246/AJ246</f>
        <v/>
      </c>
      <c r="AN246" s="282">
        <f>(AL246-AM246)/AM246</f>
        <v/>
      </c>
    </row>
    <row customHeight="1" ht="15.75" r="247" s="452" spans="1:41">
      <c r="A247" s="279" t="n"/>
      <c r="B247" s="279" t="n"/>
      <c r="C247" s="280" t="n"/>
      <c r="D247" s="297" t="s">
        <v>177</v>
      </c>
      <c r="E247" s="535" t="n">
        <v>360</v>
      </c>
      <c r="F247" s="535" t="n">
        <v>29</v>
      </c>
      <c r="G247" s="282">
        <f>(E247-F247)/F247</f>
        <v/>
      </c>
      <c r="H247" s="535" t="n"/>
      <c r="I247" s="536" t="n">
        <v>0</v>
      </c>
      <c r="J247" s="282">
        <f>(H247-I247)/I247</f>
        <v/>
      </c>
      <c r="K247" s="535">
        <f>H247*1.085</f>
        <v/>
      </c>
      <c r="L247" s="535">
        <f>I247*1.085</f>
        <v/>
      </c>
      <c r="M247" s="282">
        <f>(K247-L247)/L247</f>
        <v/>
      </c>
      <c r="N247" s="536">
        <f>E247/H247</f>
        <v/>
      </c>
      <c r="O247" s="536">
        <f>F247/I247</f>
        <v/>
      </c>
      <c r="P247" s="282">
        <f>(N247-O247)/O247</f>
        <v/>
      </c>
      <c r="Q247" s="536">
        <f>E247/K247</f>
        <v/>
      </c>
      <c r="R247" s="536">
        <f>F247/L247</f>
        <v/>
      </c>
      <c r="S247" s="282">
        <f>(Q247-R247)/R247</f>
        <v/>
      </c>
      <c r="T247" s="537" t="n">
        <v>11</v>
      </c>
      <c r="U247" s="537" t="n">
        <v>14</v>
      </c>
      <c r="V247" s="282">
        <f>(T247-U247)/U247</f>
        <v/>
      </c>
      <c r="W247" s="537" t="n">
        <v>3</v>
      </c>
      <c r="X247" s="537" t="n">
        <v>1</v>
      </c>
      <c r="Y247" s="282">
        <f>(W247-X247)/X247</f>
        <v/>
      </c>
      <c r="Z247" s="537">
        <f>E247/W247</f>
        <v/>
      </c>
      <c r="AA247" s="537">
        <f>F247/X247</f>
        <v/>
      </c>
      <c r="AB247" s="282">
        <f>(Z247-AA247)/AA247</f>
        <v/>
      </c>
      <c r="AC247" s="537" t="n"/>
      <c r="AD247" s="537" t="n">
        <v>0</v>
      </c>
      <c r="AE247" s="282">
        <f>(AC247-AD247)/AD247</f>
        <v/>
      </c>
      <c r="AF247" s="537" t="n"/>
      <c r="AG247" s="537" t="n">
        <v>0</v>
      </c>
      <c r="AH247">
        <f>(AF247-AG247)/AG247</f>
        <v/>
      </c>
      <c r="AI247" s="537" t="n"/>
      <c r="AJ247" s="537" t="n">
        <v>0</v>
      </c>
      <c r="AK247" s="282">
        <f>(AI247-AJ247)/AJ247</f>
        <v/>
      </c>
      <c r="AL247" s="286">
        <f>AF247/AI247</f>
        <v/>
      </c>
      <c r="AM247" s="286">
        <f>AG247/AJ247</f>
        <v/>
      </c>
      <c r="AN247" s="282">
        <f>(AL247-AM247)/AM247</f>
        <v/>
      </c>
    </row>
    <row customHeight="1" ht="15.75" r="248" s="452" spans="1:41">
      <c r="A248" s="49" t="s">
        <v>50</v>
      </c>
      <c r="B248" s="49" t="s">
        <v>126</v>
      </c>
      <c r="C248" s="50">
        <f>C242+7</f>
        <v/>
      </c>
      <c r="D248" s="50" t="s">
        <v>60</v>
      </c>
      <c r="E248" s="566">
        <f>SUM(E249:E253)</f>
        <v/>
      </c>
      <c r="F248" s="566">
        <f>SUM(F249:F253)</f>
        <v/>
      </c>
      <c r="G248" s="52">
        <f>(E248-F248)/F248</f>
        <v/>
      </c>
      <c r="H248" s="566">
        <f>SUM(H249:H253)</f>
        <v/>
      </c>
      <c r="I248" s="566">
        <f>SUM(I249:I253)</f>
        <v/>
      </c>
      <c r="J248" s="52">
        <f>(H248-I248)/I248</f>
        <v/>
      </c>
      <c r="K248" s="566">
        <f>H248*1.085</f>
        <v/>
      </c>
      <c r="L248" s="566">
        <f>I248*1.085</f>
        <v/>
      </c>
      <c r="M248" s="52">
        <f>(K248-L248)/L248</f>
        <v/>
      </c>
      <c r="N248" s="567">
        <f>E248/H248</f>
        <v/>
      </c>
      <c r="O248" s="567">
        <f>F248/I248</f>
        <v/>
      </c>
      <c r="P248" s="52">
        <f>(N248-O248)/O248</f>
        <v/>
      </c>
      <c r="Q248" s="567">
        <f>E248/K248</f>
        <v/>
      </c>
      <c r="R248" s="567">
        <f>F248/L248</f>
        <v/>
      </c>
      <c r="S248" s="52">
        <f>(Q248-R248)/R248</f>
        <v/>
      </c>
      <c r="T248" s="568">
        <f>SUM(T249:T253)</f>
        <v/>
      </c>
      <c r="U248" s="568">
        <f>SUM(U249:U253)</f>
        <v/>
      </c>
      <c r="V248" s="52">
        <f>(T248-U248)/U248</f>
        <v/>
      </c>
      <c r="W248" s="568">
        <f>SUM(W249:W253)</f>
        <v/>
      </c>
      <c r="X248" s="568">
        <f>SUM(X249:X253)</f>
        <v/>
      </c>
      <c r="Y248" s="52">
        <f>(W248-X248)/X248</f>
        <v/>
      </c>
      <c r="Z248" s="566">
        <f>E248/W248</f>
        <v/>
      </c>
      <c r="AA248" s="568">
        <f>F248/X248</f>
        <v/>
      </c>
      <c r="AB248" s="52">
        <f>(Z248-AA248)/AA248</f>
        <v/>
      </c>
      <c r="AC248" s="568">
        <f>SUM(AC249:AC253)</f>
        <v/>
      </c>
      <c r="AD248" s="568">
        <f>SUM(AD249:AD253)</f>
        <v/>
      </c>
      <c r="AE248" s="52">
        <f>(AC248-AD248)/AD248</f>
        <v/>
      </c>
      <c r="AF248" s="568">
        <f>SUM(AF249:AF253)</f>
        <v/>
      </c>
      <c r="AG248" s="568">
        <f>SUM(AG249:AG253)</f>
        <v/>
      </c>
      <c r="AH248" s="67">
        <f>(AF248-AG248)/AG248</f>
        <v/>
      </c>
      <c r="AI248" s="568">
        <f>SUM(AI249:AI253)</f>
        <v/>
      </c>
      <c r="AJ248" s="568">
        <f>SUM(AJ249:AJ253)</f>
        <v/>
      </c>
      <c r="AK248" s="52">
        <f>(AI248-AJ248)/AJ248</f>
        <v/>
      </c>
      <c r="AL248" s="82">
        <f>AF248/AI248</f>
        <v/>
      </c>
      <c r="AM248" s="82">
        <f>AG248/AJ248</f>
        <v/>
      </c>
      <c r="AN248" s="52">
        <f>(AL248-AM248)/AM248</f>
        <v/>
      </c>
    </row>
    <row customHeight="1" ht="15.75" r="249" s="452" spans="1:41">
      <c r="A249" s="279" t="n"/>
      <c r="B249" s="279" t="n"/>
      <c r="C249" s="280" t="n"/>
      <c r="D249" s="280" t="n"/>
      <c r="E249" s="535" t="n"/>
      <c r="F249" s="535" t="n"/>
      <c r="G249" s="282">
        <f>(E249-F249)/F249</f>
        <v/>
      </c>
      <c r="H249" s="535" t="n"/>
      <c r="I249" s="536" t="n"/>
      <c r="J249" s="282">
        <f>(H249-I249)/I249</f>
        <v/>
      </c>
      <c r="K249" s="535">
        <f>H249*1.085</f>
        <v/>
      </c>
      <c r="L249" s="535">
        <f>I249*1.085</f>
        <v/>
      </c>
      <c r="M249" s="282">
        <f>(K249-L249)/L249</f>
        <v/>
      </c>
      <c r="N249" s="536">
        <f>E249/H249</f>
        <v/>
      </c>
      <c r="O249" s="536">
        <f>F249/I249</f>
        <v/>
      </c>
      <c r="P249" s="282">
        <f>(N249-O249)/O249</f>
        <v/>
      </c>
      <c r="Q249" s="536">
        <f>E249/K249</f>
        <v/>
      </c>
      <c r="R249" s="536">
        <f>F249/L249</f>
        <v/>
      </c>
      <c r="S249" s="282">
        <f>(Q249-R249)/R249</f>
        <v/>
      </c>
      <c r="T249" s="537" t="n"/>
      <c r="U249" s="537" t="n"/>
      <c r="V249" s="282">
        <f>(T249-U249)/U249</f>
        <v/>
      </c>
      <c r="W249" s="537" t="n"/>
      <c r="X249" s="537" t="n"/>
      <c r="Y249" s="282">
        <f>(W249-X249)/X249</f>
        <v/>
      </c>
      <c r="Z249" s="537">
        <f>E249/W249</f>
        <v/>
      </c>
      <c r="AA249" s="537">
        <f>F249/X249</f>
        <v/>
      </c>
      <c r="AB249" s="282">
        <f>(Z249-AA249)/AA249</f>
        <v/>
      </c>
      <c r="AC249" s="537" t="n"/>
      <c r="AD249" s="537" t="n"/>
      <c r="AE249" s="282">
        <f>(AC249-AD249)/AD249</f>
        <v/>
      </c>
      <c r="AF249" s="537" t="n"/>
      <c r="AG249" s="537" t="n"/>
      <c r="AH249">
        <f>(AF249-AG249)/AG249</f>
        <v/>
      </c>
      <c r="AI249" s="537" t="n"/>
      <c r="AJ249" s="537" t="n"/>
      <c r="AK249" s="282">
        <f>(AI249-AJ249)/AJ249</f>
        <v/>
      </c>
      <c r="AL249" s="286">
        <f>AF249/AI249</f>
        <v/>
      </c>
      <c r="AM249" s="286">
        <f>AG249/AJ249</f>
        <v/>
      </c>
      <c r="AN249" s="282">
        <f>(AL249-AM249)/AM249</f>
        <v/>
      </c>
    </row>
    <row customHeight="1" ht="15.75" r="250" s="452" spans="1:41">
      <c r="A250" s="279" t="n"/>
      <c r="B250" s="279" t="n"/>
      <c r="C250" s="280" t="n"/>
      <c r="D250" s="280" t="n"/>
      <c r="E250" s="535" t="n"/>
      <c r="F250" s="535" t="n"/>
      <c r="G250" s="282">
        <f>(E250-F250)/F250</f>
        <v/>
      </c>
      <c r="H250" s="535" t="n"/>
      <c r="I250" s="536" t="n"/>
      <c r="J250" s="282">
        <f>(H250-I250)/I250</f>
        <v/>
      </c>
      <c r="K250" s="535">
        <f>H250*1.085</f>
        <v/>
      </c>
      <c r="L250" s="535">
        <f>I250*1.085</f>
        <v/>
      </c>
      <c r="M250" s="282">
        <f>(K250-L250)/L250</f>
        <v/>
      </c>
      <c r="N250" s="536">
        <f>E250/H250</f>
        <v/>
      </c>
      <c r="O250" s="536">
        <f>F250/I250</f>
        <v/>
      </c>
      <c r="P250" s="282">
        <f>(N250-O250)/O250</f>
        <v/>
      </c>
      <c r="Q250" s="536">
        <f>E250/K250</f>
        <v/>
      </c>
      <c r="R250" s="536">
        <f>F250/L250</f>
        <v/>
      </c>
      <c r="S250" s="282">
        <f>(Q250-R250)/R250</f>
        <v/>
      </c>
      <c r="T250" s="537" t="n"/>
      <c r="U250" s="537" t="n"/>
      <c r="V250" s="282">
        <f>(T250-U250)/U250</f>
        <v/>
      </c>
      <c r="W250" s="537" t="n"/>
      <c r="X250" s="537" t="n"/>
      <c r="Y250" s="282">
        <f>(W250-X250)/X250</f>
        <v/>
      </c>
      <c r="Z250" s="537">
        <f>E250/W250</f>
        <v/>
      </c>
      <c r="AA250" s="537">
        <f>F250/X250</f>
        <v/>
      </c>
      <c r="AB250" s="282">
        <f>(Z250-AA250)/AA250</f>
        <v/>
      </c>
      <c r="AC250" s="537" t="n"/>
      <c r="AD250" s="537" t="n"/>
      <c r="AE250" s="282">
        <f>(AC250-AD250)/AD250</f>
        <v/>
      </c>
      <c r="AF250" s="537" t="n"/>
      <c r="AG250" s="537" t="n"/>
      <c r="AH250">
        <f>(AF250-AG250)/AG250</f>
        <v/>
      </c>
      <c r="AI250" s="537" t="n"/>
      <c r="AJ250" s="537" t="n"/>
      <c r="AK250" s="282">
        <f>(AI250-AJ250)/AJ250</f>
        <v/>
      </c>
      <c r="AL250" s="286">
        <f>AF250/AI250</f>
        <v/>
      </c>
      <c r="AM250" s="286">
        <f>AG250/AJ250</f>
        <v/>
      </c>
      <c r="AN250" s="282">
        <f>(AL250-AM250)/AM250</f>
        <v/>
      </c>
    </row>
    <row customHeight="1" ht="15.75" r="251" s="452" spans="1:41">
      <c r="A251" s="279" t="n"/>
      <c r="B251" s="279" t="n"/>
      <c r="C251" s="280" t="n"/>
      <c r="D251" s="280" t="n"/>
      <c r="E251" s="535" t="n"/>
      <c r="F251" s="535" t="n"/>
      <c r="G251" s="282">
        <f>(E251-F251)/F251</f>
        <v/>
      </c>
      <c r="H251" s="535" t="n"/>
      <c r="I251" s="536" t="n"/>
      <c r="J251" s="282">
        <f>(H251-I251)/I251</f>
        <v/>
      </c>
      <c r="K251" s="535">
        <f>H251*1.085</f>
        <v/>
      </c>
      <c r="L251" s="535">
        <f>I251*1.085</f>
        <v/>
      </c>
      <c r="M251" s="282">
        <f>(K251-L251)/L251</f>
        <v/>
      </c>
      <c r="N251" s="536">
        <f>E251/H251</f>
        <v/>
      </c>
      <c r="O251" s="536">
        <f>F251/I251</f>
        <v/>
      </c>
      <c r="P251" s="282">
        <f>(N251-O251)/O251</f>
        <v/>
      </c>
      <c r="Q251" s="536">
        <f>E251/K251</f>
        <v/>
      </c>
      <c r="R251" s="536">
        <f>F251/L251</f>
        <v/>
      </c>
      <c r="S251" s="282">
        <f>(Q251-R251)/R251</f>
        <v/>
      </c>
      <c r="T251" s="537" t="n"/>
      <c r="U251" s="537" t="n"/>
      <c r="V251" s="282">
        <f>(T251-U251)/U251</f>
        <v/>
      </c>
      <c r="W251" s="537" t="n"/>
      <c r="X251" s="537" t="n"/>
      <c r="Y251" s="282">
        <f>(W251-X251)/X251</f>
        <v/>
      </c>
      <c r="Z251" s="537">
        <f>E251/W251</f>
        <v/>
      </c>
      <c r="AA251" s="537">
        <f>F251/X251</f>
        <v/>
      </c>
      <c r="AB251" s="282">
        <f>(Z251-AA251)/AA251</f>
        <v/>
      </c>
      <c r="AC251" s="537" t="n"/>
      <c r="AD251" s="537" t="n"/>
      <c r="AE251" s="282">
        <f>(AC251-AD251)/AD251</f>
        <v/>
      </c>
      <c r="AF251" s="537" t="n"/>
      <c r="AG251" s="537" t="n"/>
      <c r="AH251">
        <f>(AF251-AG251)/AG251</f>
        <v/>
      </c>
      <c r="AI251" s="537" t="n"/>
      <c r="AJ251" s="537" t="n"/>
      <c r="AK251" s="282">
        <f>(AI251-AJ251)/AJ251</f>
        <v/>
      </c>
      <c r="AL251" s="286">
        <f>AF251/AI251</f>
        <v/>
      </c>
      <c r="AM251" s="286">
        <f>AG251/AJ251</f>
        <v/>
      </c>
      <c r="AN251" s="282">
        <f>(AL251-AM251)/AM251</f>
        <v/>
      </c>
    </row>
    <row customHeight="1" ht="15.75" r="252" s="452" spans="1:41">
      <c r="A252" s="279" t="n"/>
      <c r="B252" s="279" t="n"/>
      <c r="C252" s="280" t="n"/>
      <c r="D252" s="280" t="n"/>
      <c r="E252" s="535" t="n"/>
      <c r="F252" s="535" t="n"/>
      <c r="G252" s="282">
        <f>(E252-F252)/F252</f>
        <v/>
      </c>
      <c r="H252" s="535" t="n"/>
      <c r="I252" s="536" t="n"/>
      <c r="J252" s="282">
        <f>(H252-I252)/I252</f>
        <v/>
      </c>
      <c r="K252" s="535">
        <f>H252*1.085</f>
        <v/>
      </c>
      <c r="L252" s="535">
        <f>I252*1.085</f>
        <v/>
      </c>
      <c r="M252" s="282">
        <f>(K252-L252)/L252</f>
        <v/>
      </c>
      <c r="N252" s="536">
        <f>E252/H252</f>
        <v/>
      </c>
      <c r="O252" s="536">
        <f>F252/I252</f>
        <v/>
      </c>
      <c r="P252" s="282">
        <f>(N252-O252)/O252</f>
        <v/>
      </c>
      <c r="Q252" s="536">
        <f>E252/K252</f>
        <v/>
      </c>
      <c r="R252" s="536">
        <f>F252/L252</f>
        <v/>
      </c>
      <c r="S252" s="282">
        <f>(Q252-R252)/R252</f>
        <v/>
      </c>
      <c r="T252" s="537" t="n"/>
      <c r="U252" s="537" t="n"/>
      <c r="V252" s="282">
        <f>(T252-U252)/U252</f>
        <v/>
      </c>
      <c r="W252" s="537" t="n"/>
      <c r="X252" s="537" t="n"/>
      <c r="Y252" s="282">
        <f>(W252-X252)/X252</f>
        <v/>
      </c>
      <c r="Z252" s="537">
        <f>E252/W252</f>
        <v/>
      </c>
      <c r="AA252" s="537">
        <f>F252/X252</f>
        <v/>
      </c>
      <c r="AB252" s="282">
        <f>(Z252-AA252)/AA252</f>
        <v/>
      </c>
      <c r="AC252" s="537" t="n"/>
      <c r="AD252" s="537" t="n"/>
      <c r="AE252" s="282">
        <f>(AC252-AD252)/AD252</f>
        <v/>
      </c>
      <c r="AF252" s="537" t="n"/>
      <c r="AG252" s="537" t="n"/>
      <c r="AH252">
        <f>(AF252-AG252)/AG252</f>
        <v/>
      </c>
      <c r="AI252" s="537" t="n"/>
      <c r="AJ252" s="537" t="n"/>
      <c r="AK252" s="282">
        <f>(AI252-AJ252)/AJ252</f>
        <v/>
      </c>
      <c r="AL252" s="286">
        <f>AF252/AI252</f>
        <v/>
      </c>
      <c r="AM252" s="286">
        <f>AG252/AJ252</f>
        <v/>
      </c>
      <c r="AN252" s="282">
        <f>(AL252-AM252)/AM252</f>
        <v/>
      </c>
    </row>
    <row customHeight="1" ht="15.75" r="253" s="452" spans="1:41">
      <c r="A253" s="279" t="n"/>
      <c r="B253" s="279" t="n"/>
      <c r="C253" s="280" t="n"/>
      <c r="D253" s="297" t="s">
        <v>177</v>
      </c>
      <c r="E253" s="535" t="n"/>
      <c r="F253" s="535" t="n">
        <v>0</v>
      </c>
      <c r="G253" s="282">
        <f>(E253-F253)/F253</f>
        <v/>
      </c>
      <c r="H253" s="535" t="n"/>
      <c r="I253" s="536" t="n">
        <v>0</v>
      </c>
      <c r="J253" s="282">
        <f>(H253-I253)/I253</f>
        <v/>
      </c>
      <c r="K253" s="535">
        <f>H253*1.085</f>
        <v/>
      </c>
      <c r="L253" s="535">
        <f>I253*1.085</f>
        <v/>
      </c>
      <c r="M253" s="282">
        <f>(K253-L253)/L253</f>
        <v/>
      </c>
      <c r="N253" s="536">
        <f>E253/H253</f>
        <v/>
      </c>
      <c r="O253" s="536">
        <f>F253/I253</f>
        <v/>
      </c>
      <c r="P253" s="282">
        <f>(N253-O253)/O253</f>
        <v/>
      </c>
      <c r="Q253" s="536">
        <f>E253/K253</f>
        <v/>
      </c>
      <c r="R253" s="536">
        <f>F253/L253</f>
        <v/>
      </c>
      <c r="S253" s="282">
        <f>(Q253-R253)/R253</f>
        <v/>
      </c>
      <c r="T253" s="537" t="n"/>
      <c r="U253" s="537" t="n">
        <v>8</v>
      </c>
      <c r="V253" s="282">
        <f>(T253-U253)/U253</f>
        <v/>
      </c>
      <c r="W253" s="537" t="n"/>
      <c r="X253" s="537" t="n">
        <v>0</v>
      </c>
      <c r="Y253" s="282">
        <f>(W253-X253)/X253</f>
        <v/>
      </c>
      <c r="Z253" s="537">
        <f>E253/W253</f>
        <v/>
      </c>
      <c r="AA253" s="537">
        <f>F253/X253</f>
        <v/>
      </c>
      <c r="AB253" s="282">
        <f>(Z253-AA253)/AA253</f>
        <v/>
      </c>
      <c r="AC253" s="537" t="n"/>
      <c r="AD253" s="537" t="n">
        <v>0</v>
      </c>
      <c r="AE253" s="282">
        <f>(AC253-AD253)/AD253</f>
        <v/>
      </c>
      <c r="AF253" s="537" t="n"/>
      <c r="AG253" s="537" t="n">
        <v>0</v>
      </c>
      <c r="AH253">
        <f>(AF253-AG253)/AG253</f>
        <v/>
      </c>
      <c r="AI253" s="537" t="n"/>
      <c r="AJ253" s="537" t="n">
        <v>0</v>
      </c>
      <c r="AK253" s="282">
        <f>(AI253-AJ253)/AJ253</f>
        <v/>
      </c>
      <c r="AL253" s="286">
        <f>AF253/AI253</f>
        <v/>
      </c>
      <c r="AM253" s="286">
        <f>AG253/AJ253</f>
        <v/>
      </c>
      <c r="AN253" s="282">
        <f>(AL253-AM253)/AM253</f>
        <v/>
      </c>
    </row>
    <row customHeight="1" ht="15.75" r="254" s="452" spans="1:41">
      <c r="A254" s="49" t="s">
        <v>50</v>
      </c>
      <c r="B254" s="49" t="s">
        <v>127</v>
      </c>
      <c r="C254" s="50">
        <f>C248+7</f>
        <v/>
      </c>
      <c r="D254" s="50" t="s">
        <v>60</v>
      </c>
      <c r="E254" s="566">
        <f>SUM(E255:E259)</f>
        <v/>
      </c>
      <c r="F254" s="566">
        <f>SUM(F255:F259)</f>
        <v/>
      </c>
      <c r="G254" s="52">
        <f>(E254-F254)/F254</f>
        <v/>
      </c>
      <c r="H254" s="566">
        <f>SUM(H255:H259)</f>
        <v/>
      </c>
      <c r="I254" s="566">
        <f>SUM(I255:I259)</f>
        <v/>
      </c>
      <c r="J254" s="52">
        <f>(H254-I254)/I254</f>
        <v/>
      </c>
      <c r="K254" s="566">
        <f>H254*1.085</f>
        <v/>
      </c>
      <c r="L254" s="566">
        <f>I254*1.085</f>
        <v/>
      </c>
      <c r="M254" s="52">
        <f>(K254-L254)/L254</f>
        <v/>
      </c>
      <c r="N254" s="567">
        <f>E254/H254</f>
        <v/>
      </c>
      <c r="O254" s="567">
        <f>F254/I254</f>
        <v/>
      </c>
      <c r="P254" s="52">
        <f>(N254-O254)/O254</f>
        <v/>
      </c>
      <c r="Q254" s="567">
        <f>E254/K254</f>
        <v/>
      </c>
      <c r="R254" s="567">
        <f>F254/L254</f>
        <v/>
      </c>
      <c r="S254" s="52">
        <f>(Q254-R254)/R254</f>
        <v/>
      </c>
      <c r="T254" s="568">
        <f>SUM(T255:T259)</f>
        <v/>
      </c>
      <c r="U254" s="568">
        <f>SUM(U255:U259)</f>
        <v/>
      </c>
      <c r="V254" s="52">
        <f>(T254-U254)/U254</f>
        <v/>
      </c>
      <c r="W254" s="568">
        <f>SUM(W255:W259)</f>
        <v/>
      </c>
      <c r="X254" s="568">
        <f>SUM(X255:X259)</f>
        <v/>
      </c>
      <c r="Y254" s="52">
        <f>(W254-X254)/X254</f>
        <v/>
      </c>
      <c r="Z254" s="566">
        <f>E254/W254</f>
        <v/>
      </c>
      <c r="AA254" s="568">
        <f>F254/X254</f>
        <v/>
      </c>
      <c r="AB254" s="52">
        <f>(Z254-AA254)/AA254</f>
        <v/>
      </c>
      <c r="AC254" s="568">
        <f>SUM(AC255:AC259)</f>
        <v/>
      </c>
      <c r="AD254" s="568">
        <f>SUM(AD255:AD259)</f>
        <v/>
      </c>
      <c r="AE254" s="52">
        <f>(AC254-AD254)/AD254</f>
        <v/>
      </c>
      <c r="AF254" s="568">
        <f>SUM(AF255:AF259)</f>
        <v/>
      </c>
      <c r="AG254" s="568">
        <f>SUM(AG255:AG259)</f>
        <v/>
      </c>
      <c r="AH254" s="67">
        <f>(AF254-AG254)/AG254</f>
        <v/>
      </c>
      <c r="AI254" s="568">
        <f>SUM(AI255:AI259)</f>
        <v/>
      </c>
      <c r="AJ254" s="568">
        <f>SUM(AJ255:AJ259)</f>
        <v/>
      </c>
      <c r="AK254" s="52">
        <f>(AI254-AJ254)/AJ254</f>
        <v/>
      </c>
      <c r="AL254" s="82">
        <f>AF254/AI254</f>
        <v/>
      </c>
      <c r="AM254" s="82">
        <f>AG254/AJ254</f>
        <v/>
      </c>
      <c r="AN254" s="52">
        <f>(AL254-AM254)/AM254</f>
        <v/>
      </c>
    </row>
    <row customHeight="1" ht="15.75" r="255" s="452" spans="1:41">
      <c r="A255" s="279" t="n"/>
      <c r="B255" s="279" t="n"/>
      <c r="C255" s="280" t="n"/>
      <c r="D255" s="280" t="n"/>
      <c r="E255" s="535" t="n"/>
      <c r="F255" s="535" t="n"/>
      <c r="G255" s="282">
        <f>(E255-F255)/F255</f>
        <v/>
      </c>
      <c r="H255" s="535" t="n"/>
      <c r="I255" s="536" t="n"/>
      <c r="J255" s="282">
        <f>(H255-I255)/I255</f>
        <v/>
      </c>
      <c r="K255" s="535">
        <f>H255*1.085</f>
        <v/>
      </c>
      <c r="L255" s="535">
        <f>I255*1.085</f>
        <v/>
      </c>
      <c r="M255" s="282">
        <f>(K255-L255)/L255</f>
        <v/>
      </c>
      <c r="N255" s="536">
        <f>E255/H255</f>
        <v/>
      </c>
      <c r="O255" s="536">
        <f>F255/I255</f>
        <v/>
      </c>
      <c r="P255" s="282">
        <f>(N255-O255)/O255</f>
        <v/>
      </c>
      <c r="Q255" s="536">
        <f>E255/K255</f>
        <v/>
      </c>
      <c r="R255" s="536">
        <f>F255/L255</f>
        <v/>
      </c>
      <c r="S255" s="282">
        <f>(Q255-R255)/R255</f>
        <v/>
      </c>
      <c r="T255" s="537" t="n"/>
      <c r="U255" s="537" t="n"/>
      <c r="V255" s="282">
        <f>(T255-U255)/U255</f>
        <v/>
      </c>
      <c r="W255" s="537" t="n"/>
      <c r="X255" s="537" t="n"/>
      <c r="Y255" s="282">
        <f>(W255-X255)/X255</f>
        <v/>
      </c>
      <c r="Z255" s="537">
        <f>E255/W255</f>
        <v/>
      </c>
      <c r="AA255" s="537">
        <f>F255/X255</f>
        <v/>
      </c>
      <c r="AB255" s="282">
        <f>(Z255-AA255)/AA255</f>
        <v/>
      </c>
      <c r="AC255" s="537" t="n"/>
      <c r="AD255" s="537" t="n"/>
      <c r="AE255" s="282">
        <f>(AC255-AD255)/AD255</f>
        <v/>
      </c>
      <c r="AF255" s="537" t="n"/>
      <c r="AG255" s="537" t="n"/>
      <c r="AH255">
        <f>(AF255-AG255)/AG255</f>
        <v/>
      </c>
      <c r="AI255" s="537" t="n"/>
      <c r="AJ255" s="537" t="n"/>
      <c r="AK255" s="282">
        <f>(AI255-AJ255)/AJ255</f>
        <v/>
      </c>
      <c r="AL255" s="286">
        <f>AF255/AI255</f>
        <v/>
      </c>
      <c r="AM255" s="286">
        <f>AG255/AJ255</f>
        <v/>
      </c>
      <c r="AN255" s="282">
        <f>(AL255-AM255)/AM255</f>
        <v/>
      </c>
    </row>
    <row customHeight="1" ht="15.75" r="256" s="452" spans="1:41">
      <c r="A256" s="279" t="n"/>
      <c r="B256" s="279" t="n"/>
      <c r="C256" s="280" t="n"/>
      <c r="D256" s="280" t="n"/>
      <c r="E256" s="535" t="n"/>
      <c r="F256" s="535" t="n"/>
      <c r="G256" s="282">
        <f>(E256-F256)/F256</f>
        <v/>
      </c>
      <c r="H256" s="535" t="n"/>
      <c r="I256" s="536" t="n"/>
      <c r="J256" s="282">
        <f>(H256-I256)/I256</f>
        <v/>
      </c>
      <c r="K256" s="535">
        <f>H256*1.085</f>
        <v/>
      </c>
      <c r="L256" s="535">
        <f>I256*1.085</f>
        <v/>
      </c>
      <c r="M256" s="282">
        <f>(K256-L256)/L256</f>
        <v/>
      </c>
      <c r="N256" s="536">
        <f>E256/H256</f>
        <v/>
      </c>
      <c r="O256" s="536">
        <f>F256/I256</f>
        <v/>
      </c>
      <c r="P256" s="282">
        <f>(N256-O256)/O256</f>
        <v/>
      </c>
      <c r="Q256" s="536">
        <f>E256/K256</f>
        <v/>
      </c>
      <c r="R256" s="536">
        <f>F256/L256</f>
        <v/>
      </c>
      <c r="S256" s="282">
        <f>(Q256-R256)/R256</f>
        <v/>
      </c>
      <c r="T256" s="537" t="n"/>
      <c r="U256" s="537" t="n"/>
      <c r="V256" s="282">
        <f>(T256-U256)/U256</f>
        <v/>
      </c>
      <c r="W256" s="537" t="n"/>
      <c r="X256" s="537" t="n"/>
      <c r="Y256" s="282">
        <f>(W256-X256)/X256</f>
        <v/>
      </c>
      <c r="Z256" s="537">
        <f>E256/W256</f>
        <v/>
      </c>
      <c r="AA256" s="537">
        <f>F256/X256</f>
        <v/>
      </c>
      <c r="AB256" s="282">
        <f>(Z256-AA256)/AA256</f>
        <v/>
      </c>
      <c r="AC256" s="537" t="n"/>
      <c r="AD256" s="537" t="n"/>
      <c r="AE256" s="282">
        <f>(AC256-AD256)/AD256</f>
        <v/>
      </c>
      <c r="AF256" s="537" t="n"/>
      <c r="AG256" s="537" t="n"/>
      <c r="AH256">
        <f>(AF256-AG256)/AG256</f>
        <v/>
      </c>
      <c r="AI256" s="537" t="n"/>
      <c r="AJ256" s="537" t="n"/>
      <c r="AK256" s="282">
        <f>(AI256-AJ256)/AJ256</f>
        <v/>
      </c>
      <c r="AL256" s="286">
        <f>AF256/AI256</f>
        <v/>
      </c>
      <c r="AM256" s="286">
        <f>AG256/AJ256</f>
        <v/>
      </c>
      <c r="AN256" s="282">
        <f>(AL256-AM256)/AM256</f>
        <v/>
      </c>
    </row>
    <row customHeight="1" ht="15.75" r="257" s="452" spans="1:41">
      <c r="A257" s="279" t="n"/>
      <c r="B257" s="279" t="n"/>
      <c r="C257" s="280" t="n"/>
      <c r="D257" s="280" t="n"/>
      <c r="E257" s="535" t="n"/>
      <c r="F257" s="535" t="n"/>
      <c r="G257" s="282">
        <f>(E257-F257)/F257</f>
        <v/>
      </c>
      <c r="H257" s="535" t="n"/>
      <c r="I257" s="536" t="n"/>
      <c r="J257" s="282">
        <f>(H257-I257)/I257</f>
        <v/>
      </c>
      <c r="K257" s="535">
        <f>H257*1.085</f>
        <v/>
      </c>
      <c r="L257" s="535">
        <f>I257*1.085</f>
        <v/>
      </c>
      <c r="M257" s="282">
        <f>(K257-L257)/L257</f>
        <v/>
      </c>
      <c r="N257" s="536">
        <f>E257/H257</f>
        <v/>
      </c>
      <c r="O257" s="536">
        <f>F257/I257</f>
        <v/>
      </c>
      <c r="P257" s="282">
        <f>(N257-O257)/O257</f>
        <v/>
      </c>
      <c r="Q257" s="536">
        <f>E257/K257</f>
        <v/>
      </c>
      <c r="R257" s="536">
        <f>F257/L257</f>
        <v/>
      </c>
      <c r="S257" s="282">
        <f>(Q257-R257)/R257</f>
        <v/>
      </c>
      <c r="T257" s="537" t="n"/>
      <c r="U257" s="537" t="n"/>
      <c r="V257" s="282">
        <f>(T257-U257)/U257</f>
        <v/>
      </c>
      <c r="W257" s="537" t="n"/>
      <c r="X257" s="537" t="n"/>
      <c r="Y257" s="282">
        <f>(W257-X257)/X257</f>
        <v/>
      </c>
      <c r="Z257" s="537">
        <f>E257/W257</f>
        <v/>
      </c>
      <c r="AA257" s="537">
        <f>F257/X257</f>
        <v/>
      </c>
      <c r="AB257" s="282">
        <f>(Z257-AA257)/AA257</f>
        <v/>
      </c>
      <c r="AC257" s="537" t="n"/>
      <c r="AD257" s="537" t="n"/>
      <c r="AE257" s="282">
        <f>(AC257-AD257)/AD257</f>
        <v/>
      </c>
      <c r="AF257" s="537" t="n"/>
      <c r="AG257" s="537" t="n"/>
      <c r="AH257">
        <f>(AF257-AG257)/AG257</f>
        <v/>
      </c>
      <c r="AI257" s="537" t="n"/>
      <c r="AJ257" s="537" t="n"/>
      <c r="AK257" s="282">
        <f>(AI257-AJ257)/AJ257</f>
        <v/>
      </c>
      <c r="AL257" s="286">
        <f>AF257/AI257</f>
        <v/>
      </c>
      <c r="AM257" s="286">
        <f>AG257/AJ257</f>
        <v/>
      </c>
      <c r="AN257" s="282">
        <f>(AL257-AM257)/AM257</f>
        <v/>
      </c>
    </row>
    <row customHeight="1" ht="15.75" r="258" s="452" spans="1:41">
      <c r="A258" s="279" t="n"/>
      <c r="B258" s="279" t="n"/>
      <c r="C258" s="280" t="n"/>
      <c r="D258" s="280" t="n"/>
      <c r="E258" s="535" t="n"/>
      <c r="F258" s="535" t="n"/>
      <c r="G258" s="282">
        <f>(E258-F258)/F258</f>
        <v/>
      </c>
      <c r="H258" s="535" t="n"/>
      <c r="I258" s="536" t="n"/>
      <c r="J258" s="282">
        <f>(H258-I258)/I258</f>
        <v/>
      </c>
      <c r="K258" s="535">
        <f>H258*1.085</f>
        <v/>
      </c>
      <c r="L258" s="535">
        <f>I258*1.085</f>
        <v/>
      </c>
      <c r="M258" s="282">
        <f>(K258-L258)/L258</f>
        <v/>
      </c>
      <c r="N258" s="536">
        <f>E258/H258</f>
        <v/>
      </c>
      <c r="O258" s="536">
        <f>F258/I258</f>
        <v/>
      </c>
      <c r="P258" s="282">
        <f>(N258-O258)/O258</f>
        <v/>
      </c>
      <c r="Q258" s="536">
        <f>E258/K258</f>
        <v/>
      </c>
      <c r="R258" s="536">
        <f>F258/L258</f>
        <v/>
      </c>
      <c r="S258" s="282">
        <f>(Q258-R258)/R258</f>
        <v/>
      </c>
      <c r="T258" s="537" t="n"/>
      <c r="U258" s="537" t="n"/>
      <c r="V258" s="282">
        <f>(T258-U258)/U258</f>
        <v/>
      </c>
      <c r="W258" s="537" t="n"/>
      <c r="X258" s="537" t="n"/>
      <c r="Y258" s="282">
        <f>(W258-X258)/X258</f>
        <v/>
      </c>
      <c r="Z258" s="537">
        <f>E258/W258</f>
        <v/>
      </c>
      <c r="AA258" s="537">
        <f>F258/X258</f>
        <v/>
      </c>
      <c r="AB258" s="282">
        <f>(Z258-AA258)/AA258</f>
        <v/>
      </c>
      <c r="AC258" s="537" t="n"/>
      <c r="AD258" s="537" t="n"/>
      <c r="AE258" s="282">
        <f>(AC258-AD258)/AD258</f>
        <v/>
      </c>
      <c r="AF258" s="537" t="n"/>
      <c r="AG258" s="537" t="n"/>
      <c r="AH258">
        <f>(AF258-AG258)/AG258</f>
        <v/>
      </c>
      <c r="AI258" s="537" t="n"/>
      <c r="AJ258" s="537" t="n"/>
      <c r="AK258" s="282">
        <f>(AI258-AJ258)/AJ258</f>
        <v/>
      </c>
      <c r="AL258" s="286">
        <f>AF258/AI258</f>
        <v/>
      </c>
      <c r="AM258" s="286">
        <f>AG258/AJ258</f>
        <v/>
      </c>
      <c r="AN258" s="282">
        <f>(AL258-AM258)/AM258</f>
        <v/>
      </c>
    </row>
    <row customHeight="1" ht="15.75" r="259" s="452" spans="1:41">
      <c r="A259" s="279" t="n"/>
      <c r="B259" s="279" t="n"/>
      <c r="C259" s="280" t="n"/>
      <c r="D259" s="297" t="s">
        <v>177</v>
      </c>
      <c r="E259" s="535" t="n">
        <v>0</v>
      </c>
      <c r="F259" s="535" t="n">
        <v>0</v>
      </c>
      <c r="G259" s="282">
        <f>(E259-F259)/F259</f>
        <v/>
      </c>
      <c r="H259" s="535" t="n">
        <v>0</v>
      </c>
      <c r="I259" s="536" t="n">
        <v>0</v>
      </c>
      <c r="J259" s="282">
        <f>(H259-I259)/I259</f>
        <v/>
      </c>
      <c r="K259" s="535">
        <f>H259*1.085</f>
        <v/>
      </c>
      <c r="L259" s="535">
        <f>I259*1.085</f>
        <v/>
      </c>
      <c r="M259" s="282">
        <f>(K259-L259)/L259</f>
        <v/>
      </c>
      <c r="N259" s="536">
        <f>E259/H259</f>
        <v/>
      </c>
      <c r="O259" s="536">
        <f>F259/I259</f>
        <v/>
      </c>
      <c r="P259" s="282">
        <f>(N259-O259)/O259</f>
        <v/>
      </c>
      <c r="Q259" s="536">
        <f>E259/K259</f>
        <v/>
      </c>
      <c r="R259" s="536">
        <f>F259/L259</f>
        <v/>
      </c>
      <c r="S259" s="282">
        <f>(Q259-R259)/R259</f>
        <v/>
      </c>
      <c r="T259" s="537" t="n">
        <v>836</v>
      </c>
      <c r="U259" s="537" t="n">
        <v>2</v>
      </c>
      <c r="V259" s="282">
        <f>(T259-U259)/U259</f>
        <v/>
      </c>
      <c r="W259" s="537" t="n">
        <v>0</v>
      </c>
      <c r="X259" s="537" t="n">
        <v>0</v>
      </c>
      <c r="Y259" s="282">
        <f>(W259-X259)/X259</f>
        <v/>
      </c>
      <c r="Z259" s="537">
        <f>E259/W259</f>
        <v/>
      </c>
      <c r="AA259" s="537">
        <f>F259/X259</f>
        <v/>
      </c>
      <c r="AB259" s="282">
        <f>(Z259-AA259)/AA259</f>
        <v/>
      </c>
      <c r="AC259" s="537" t="n"/>
      <c r="AD259" s="537" t="n">
        <v>0</v>
      </c>
      <c r="AE259" s="282">
        <f>(AC259-AD259)/AD259</f>
        <v/>
      </c>
      <c r="AF259" s="537" t="n"/>
      <c r="AG259" s="537" t="n">
        <v>0</v>
      </c>
      <c r="AH259">
        <f>(AF259-AG259)/AG259</f>
        <v/>
      </c>
      <c r="AI259" s="537" t="n"/>
      <c r="AJ259" s="537" t="n">
        <v>0</v>
      </c>
      <c r="AK259" s="282">
        <f>(AI259-AJ259)/AJ259</f>
        <v/>
      </c>
      <c r="AL259" s="286">
        <f>AF259/AI259</f>
        <v/>
      </c>
      <c r="AM259" s="286">
        <f>AG259/AJ259</f>
        <v/>
      </c>
      <c r="AN259" s="282">
        <f>(AL259-AM259)/AM259</f>
        <v/>
      </c>
    </row>
    <row customHeight="1" ht="15.75" r="260" s="452" spans="1:41">
      <c r="A260" s="49" t="s">
        <v>50</v>
      </c>
      <c r="B260" s="49" t="s">
        <v>128</v>
      </c>
      <c r="C260" s="50">
        <f>C254+7</f>
        <v/>
      </c>
      <c r="D260" s="50" t="s">
        <v>60</v>
      </c>
      <c r="E260" s="566">
        <f>SUM(E261:E265)</f>
        <v/>
      </c>
      <c r="F260" s="566">
        <f>SUM(F261:F265)</f>
        <v/>
      </c>
      <c r="G260" s="52">
        <f>(E260-F260)/F260</f>
        <v/>
      </c>
      <c r="H260" s="566">
        <f>SUM(H261:H265)</f>
        <v/>
      </c>
      <c r="I260" s="566">
        <f>SUM(I261:I265)</f>
        <v/>
      </c>
      <c r="J260" s="52">
        <f>(H260-I260)/I260</f>
        <v/>
      </c>
      <c r="K260" s="566">
        <f>H260*1.085</f>
        <v/>
      </c>
      <c r="L260" s="566">
        <f>I260*1.085</f>
        <v/>
      </c>
      <c r="M260" s="52">
        <f>(K260-L260)/L260</f>
        <v/>
      </c>
      <c r="N260" s="567">
        <f>E260/H260</f>
        <v/>
      </c>
      <c r="O260" s="567">
        <f>F260/I260</f>
        <v/>
      </c>
      <c r="P260" s="52">
        <f>(N260-O260)/O260</f>
        <v/>
      </c>
      <c r="Q260" s="567">
        <f>E260/K260</f>
        <v/>
      </c>
      <c r="R260" s="567">
        <f>F260/L260</f>
        <v/>
      </c>
      <c r="S260" s="52">
        <f>(Q260-R260)/R260</f>
        <v/>
      </c>
      <c r="T260" s="568">
        <f>SUM(T261:T265)</f>
        <v/>
      </c>
      <c r="U260" s="568">
        <f>SUM(U261:U265)</f>
        <v/>
      </c>
      <c r="V260" s="52">
        <f>(T260-U260)/U260</f>
        <v/>
      </c>
      <c r="W260" s="568">
        <f>SUM(W261:W265)</f>
        <v/>
      </c>
      <c r="X260" s="568">
        <f>SUM(X261:X265)</f>
        <v/>
      </c>
      <c r="Y260" s="52">
        <f>(W260-X260)/X260</f>
        <v/>
      </c>
      <c r="Z260" s="566">
        <f>E260/W260</f>
        <v/>
      </c>
      <c r="AA260" s="568">
        <f>F260/X260</f>
        <v/>
      </c>
      <c r="AB260" s="52">
        <f>(Z260-AA260)/AA260</f>
        <v/>
      </c>
      <c r="AC260" s="568">
        <f>SUM(AC261:AC265)</f>
        <v/>
      </c>
      <c r="AD260" s="568">
        <f>SUM(AD261:AD265)</f>
        <v/>
      </c>
      <c r="AE260" s="52">
        <f>(AC260-AD260)/AD260</f>
        <v/>
      </c>
      <c r="AF260" s="568">
        <f>SUM(AF261:AF265)</f>
        <v/>
      </c>
      <c r="AG260" s="568">
        <f>SUM(AG261:AG265)</f>
        <v/>
      </c>
      <c r="AH260" s="67">
        <f>(AF260-AG260)/AG260</f>
        <v/>
      </c>
      <c r="AI260" s="568">
        <f>SUM(AI261:AI265)</f>
        <v/>
      </c>
      <c r="AJ260" s="568">
        <f>SUM(AJ261:AJ265)</f>
        <v/>
      </c>
      <c r="AK260" s="52">
        <f>(AI260-AJ260)/AJ260</f>
        <v/>
      </c>
      <c r="AL260" s="82">
        <f>AF260/AI260</f>
        <v/>
      </c>
      <c r="AM260" s="82">
        <f>AG260/AJ260</f>
        <v/>
      </c>
      <c r="AN260" s="52">
        <f>(AL260-AM260)/AM260</f>
        <v/>
      </c>
    </row>
    <row customHeight="1" ht="15.75" r="261" s="452" spans="1:41">
      <c r="A261" s="279" t="n"/>
      <c r="B261" s="279" t="n"/>
      <c r="C261" s="280" t="n"/>
      <c r="D261" s="440" t="s">
        <v>182</v>
      </c>
      <c r="E261" s="535" t="n">
        <v>0</v>
      </c>
      <c r="F261" s="535" t="n"/>
      <c r="G261" s="282">
        <f>(E261-F261)/F261</f>
        <v/>
      </c>
      <c r="H261" s="535" t="n">
        <v>6443.71</v>
      </c>
      <c r="I261" s="536" t="n"/>
      <c r="J261" s="282">
        <f>(H261-I261)/I261</f>
        <v/>
      </c>
      <c r="K261" s="535">
        <f>H261*1.085</f>
        <v/>
      </c>
      <c r="L261" s="535">
        <f>I261*1.085</f>
        <v/>
      </c>
      <c r="M261" s="282">
        <f>(K261-L261)/L261</f>
        <v/>
      </c>
      <c r="N261" s="536">
        <f>E261/H261</f>
        <v/>
      </c>
      <c r="O261" s="536">
        <f>F261/I261</f>
        <v/>
      </c>
      <c r="P261" s="282">
        <f>(N261-O261)/O261</f>
        <v/>
      </c>
      <c r="Q261" s="536">
        <f>E261/K261</f>
        <v/>
      </c>
      <c r="R261" s="536">
        <f>F261/L261</f>
        <v/>
      </c>
      <c r="S261" s="282">
        <f>(Q261-R261)/R261</f>
        <v/>
      </c>
      <c r="T261" s="537" t="n"/>
      <c r="U261" s="537" t="n"/>
      <c r="V261" s="282">
        <f>(T261-U261)/U261</f>
        <v/>
      </c>
      <c r="W261" s="537" t="n"/>
      <c r="X261" s="537" t="n"/>
      <c r="Y261" s="282">
        <f>(W261-X261)/X261</f>
        <v/>
      </c>
      <c r="Z261" s="537">
        <f>E261/W261</f>
        <v/>
      </c>
      <c r="AA261" s="537">
        <f>F261/X261</f>
        <v/>
      </c>
      <c r="AB261" s="282">
        <f>(Z261-AA261)/AA261</f>
        <v/>
      </c>
      <c r="AC261" s="537" t="n">
        <v>333162</v>
      </c>
      <c r="AD261" s="537" t="n"/>
      <c r="AE261" s="282">
        <f>(AC261-AD261)/AD261</f>
        <v/>
      </c>
      <c r="AF261" s="537" t="n">
        <v>6215</v>
      </c>
      <c r="AG261" s="537" t="n"/>
      <c r="AH261">
        <f>(AF261-AG261)/AG261</f>
        <v/>
      </c>
      <c r="AI261" s="537" t="n">
        <v>757633</v>
      </c>
      <c r="AJ261" s="537" t="n"/>
      <c r="AK261" s="282">
        <f>(AI261-AJ261)/AJ261</f>
        <v/>
      </c>
      <c r="AL261" s="286">
        <f>AF261/AI261</f>
        <v/>
      </c>
      <c r="AM261" s="286">
        <f>AG261/AJ261</f>
        <v/>
      </c>
      <c r="AN261" s="282">
        <f>(AL261-AM261)/AM261</f>
        <v/>
      </c>
    </row>
    <row customHeight="1" ht="15.75" r="262" s="452" spans="1:41">
      <c r="A262" s="279" t="n"/>
      <c r="B262" s="279" t="n"/>
      <c r="C262" s="280" t="n"/>
      <c r="D262" s="280" t="n"/>
      <c r="E262" s="535" t="n"/>
      <c r="F262" s="535" t="n"/>
      <c r="G262" s="282">
        <f>(E262-F262)/F262</f>
        <v/>
      </c>
      <c r="H262" s="535" t="n"/>
      <c r="I262" s="536" t="n"/>
      <c r="J262" s="282">
        <f>(H262-I262)/I262</f>
        <v/>
      </c>
      <c r="K262" s="535">
        <f>H262*1.085</f>
        <v/>
      </c>
      <c r="L262" s="535">
        <f>I262*1.085</f>
        <v/>
      </c>
      <c r="M262" s="282">
        <f>(K262-L262)/L262</f>
        <v/>
      </c>
      <c r="N262" s="536">
        <f>E262/H262</f>
        <v/>
      </c>
      <c r="O262" s="536">
        <f>F262/I262</f>
        <v/>
      </c>
      <c r="P262" s="282">
        <f>(N262-O262)/O262</f>
        <v/>
      </c>
      <c r="Q262" s="536">
        <f>E262/K262</f>
        <v/>
      </c>
      <c r="R262" s="536">
        <f>F262/L262</f>
        <v/>
      </c>
      <c r="S262" s="282">
        <f>(Q262-R262)/R262</f>
        <v/>
      </c>
      <c r="T262" s="537" t="n"/>
      <c r="U262" s="537" t="n"/>
      <c r="V262" s="282">
        <f>(T262-U262)/U262</f>
        <v/>
      </c>
      <c r="W262" s="537" t="n"/>
      <c r="X262" s="537" t="n"/>
      <c r="Y262" s="282">
        <f>(W262-X262)/X262</f>
        <v/>
      </c>
      <c r="Z262" s="537">
        <f>E262/W262</f>
        <v/>
      </c>
      <c r="AA262" s="537">
        <f>F262/X262</f>
        <v/>
      </c>
      <c r="AB262" s="282">
        <f>(Z262-AA262)/AA262</f>
        <v/>
      </c>
      <c r="AC262" s="537" t="n"/>
      <c r="AD262" s="537" t="n"/>
      <c r="AE262" s="282">
        <f>(AC262-AD262)/AD262</f>
        <v/>
      </c>
      <c r="AF262" s="537" t="n"/>
      <c r="AG262" s="537" t="n"/>
      <c r="AH262">
        <f>(AF262-AG262)/AG262</f>
        <v/>
      </c>
      <c r="AI262" s="537" t="n"/>
      <c r="AJ262" s="537" t="n"/>
      <c r="AK262" s="282">
        <f>(AI262-AJ262)/AJ262</f>
        <v/>
      </c>
      <c r="AL262" s="286">
        <f>AF262/AI262</f>
        <v/>
      </c>
      <c r="AM262" s="286">
        <f>AG262/AJ262</f>
        <v/>
      </c>
      <c r="AN262" s="282">
        <f>(AL262-AM262)/AM262</f>
        <v/>
      </c>
    </row>
    <row customHeight="1" ht="15.75" r="263" s="452" spans="1:41">
      <c r="A263" s="279" t="n"/>
      <c r="B263" s="279" t="n"/>
      <c r="C263" s="280" t="n"/>
      <c r="D263" s="280" t="n"/>
      <c r="E263" s="535" t="n"/>
      <c r="F263" s="535" t="n"/>
      <c r="G263" s="282">
        <f>(E263-F263)/F263</f>
        <v/>
      </c>
      <c r="H263" s="535" t="n"/>
      <c r="I263" s="536" t="n"/>
      <c r="J263" s="282">
        <f>(H263-I263)/I263</f>
        <v/>
      </c>
      <c r="K263" s="535">
        <f>H263*1.085</f>
        <v/>
      </c>
      <c r="L263" s="535">
        <f>I263*1.085</f>
        <v/>
      </c>
      <c r="M263" s="282">
        <f>(K263-L263)/L263</f>
        <v/>
      </c>
      <c r="N263" s="536">
        <f>E263/H263</f>
        <v/>
      </c>
      <c r="O263" s="536">
        <f>F263/I263</f>
        <v/>
      </c>
      <c r="P263" s="282">
        <f>(N263-O263)/O263</f>
        <v/>
      </c>
      <c r="Q263" s="536">
        <f>E263/K263</f>
        <v/>
      </c>
      <c r="R263" s="536">
        <f>F263/L263</f>
        <v/>
      </c>
      <c r="S263" s="282">
        <f>(Q263-R263)/R263</f>
        <v/>
      </c>
      <c r="T263" s="537" t="n"/>
      <c r="U263" s="537" t="n"/>
      <c r="V263" s="282">
        <f>(T263-U263)/U263</f>
        <v/>
      </c>
      <c r="W263" s="537" t="n"/>
      <c r="X263" s="537" t="n"/>
      <c r="Y263" s="282">
        <f>(W263-X263)/X263</f>
        <v/>
      </c>
      <c r="Z263" s="537">
        <f>E263/W263</f>
        <v/>
      </c>
      <c r="AA263" s="537">
        <f>F263/X263</f>
        <v/>
      </c>
      <c r="AB263" s="282">
        <f>(Z263-AA263)/AA263</f>
        <v/>
      </c>
      <c r="AC263" s="537" t="n"/>
      <c r="AD263" s="537" t="n"/>
      <c r="AE263" s="282">
        <f>(AC263-AD263)/AD263</f>
        <v/>
      </c>
      <c r="AF263" s="537" t="n"/>
      <c r="AG263" s="537" t="n"/>
      <c r="AH263">
        <f>(AF263-AG263)/AG263</f>
        <v/>
      </c>
      <c r="AI263" s="537" t="n"/>
      <c r="AJ263" s="537" t="n"/>
      <c r="AK263" s="282">
        <f>(AI263-AJ263)/AJ263</f>
        <v/>
      </c>
      <c r="AL263" s="286">
        <f>AF263/AI263</f>
        <v/>
      </c>
      <c r="AM263" s="286">
        <f>AG263/AJ263</f>
        <v/>
      </c>
      <c r="AN263" s="282">
        <f>(AL263-AM263)/AM263</f>
        <v/>
      </c>
    </row>
    <row customHeight="1" ht="15.75" r="264" s="452" spans="1:41">
      <c r="A264" s="279" t="n"/>
      <c r="B264" s="279" t="n"/>
      <c r="C264" s="280" t="n"/>
      <c r="D264" s="280" t="n"/>
      <c r="E264" s="535" t="n"/>
      <c r="F264" s="535" t="n"/>
      <c r="G264" s="282">
        <f>(E264-F264)/F264</f>
        <v/>
      </c>
      <c r="H264" s="535" t="n"/>
      <c r="I264" s="536" t="n"/>
      <c r="J264" s="282">
        <f>(H264-I264)/I264</f>
        <v/>
      </c>
      <c r="K264" s="535">
        <f>H264*1.085</f>
        <v/>
      </c>
      <c r="L264" s="535">
        <f>I264*1.085</f>
        <v/>
      </c>
      <c r="M264" s="282">
        <f>(K264-L264)/L264</f>
        <v/>
      </c>
      <c r="N264" s="536">
        <f>E264/H264</f>
        <v/>
      </c>
      <c r="O264" s="536">
        <f>F264/I264</f>
        <v/>
      </c>
      <c r="P264" s="282">
        <f>(N264-O264)/O264</f>
        <v/>
      </c>
      <c r="Q264" s="536">
        <f>E264/K264</f>
        <v/>
      </c>
      <c r="R264" s="536">
        <f>F264/L264</f>
        <v/>
      </c>
      <c r="S264" s="282">
        <f>(Q264-R264)/R264</f>
        <v/>
      </c>
      <c r="T264" s="537" t="n"/>
      <c r="U264" s="537" t="n"/>
      <c r="V264" s="282">
        <f>(T264-U264)/U264</f>
        <v/>
      </c>
      <c r="W264" s="537" t="n"/>
      <c r="X264" s="537" t="n"/>
      <c r="Y264" s="282">
        <f>(W264-X264)/X264</f>
        <v/>
      </c>
      <c r="Z264" s="537">
        <f>E264/W264</f>
        <v/>
      </c>
      <c r="AA264" s="537">
        <f>F264/X264</f>
        <v/>
      </c>
      <c r="AB264" s="282">
        <f>(Z264-AA264)/AA264</f>
        <v/>
      </c>
      <c r="AC264" s="537" t="n"/>
      <c r="AD264" s="537" t="n"/>
      <c r="AE264" s="282">
        <f>(AC264-AD264)/AD264</f>
        <v/>
      </c>
      <c r="AF264" s="537" t="n"/>
      <c r="AG264" s="537" t="n"/>
      <c r="AH264">
        <f>(AF264-AG264)/AG264</f>
        <v/>
      </c>
      <c r="AI264" s="537" t="n"/>
      <c r="AJ264" s="537" t="n"/>
      <c r="AK264" s="282">
        <f>(AI264-AJ264)/AJ264</f>
        <v/>
      </c>
      <c r="AL264" s="286">
        <f>AF264/AI264</f>
        <v/>
      </c>
      <c r="AM264" s="286">
        <f>AG264/AJ264</f>
        <v/>
      </c>
      <c r="AN264" s="282">
        <f>(AL264-AM264)/AM264</f>
        <v/>
      </c>
    </row>
    <row customFormat="1" customHeight="1" ht="15.75" r="265" s="357" spans="1:41">
      <c r="A265" s="347" t="n"/>
      <c r="B265" s="347" t="n"/>
      <c r="C265" s="348" t="n"/>
      <c r="D265" s="349" t="s">
        <v>177</v>
      </c>
      <c r="E265" s="612" t="n">
        <v>0</v>
      </c>
      <c r="F265" s="612" t="n">
        <v>0</v>
      </c>
      <c r="G265" s="351">
        <f>(E265-F265)/F265</f>
        <v/>
      </c>
      <c r="H265" s="612" t="n">
        <v>0</v>
      </c>
      <c r="I265" s="613" t="n">
        <v>0</v>
      </c>
      <c r="J265" s="351">
        <f>(H265-I265)/I265</f>
        <v/>
      </c>
      <c r="K265" s="612">
        <f>H265*1.085</f>
        <v/>
      </c>
      <c r="L265" s="612">
        <f>I265*1.085</f>
        <v/>
      </c>
      <c r="M265" s="351">
        <f>(K265-L265)/L265</f>
        <v/>
      </c>
      <c r="N265" s="613">
        <f>E265/H265</f>
        <v/>
      </c>
      <c r="O265" s="613">
        <f>F265/I265</f>
        <v/>
      </c>
      <c r="P265" s="351">
        <f>(N265-O265)/O265</f>
        <v/>
      </c>
      <c r="Q265" s="613">
        <f>E265/K265</f>
        <v/>
      </c>
      <c r="R265" s="613">
        <f>F265/L265</f>
        <v/>
      </c>
      <c r="S265" s="351">
        <f>(Q265-R265)/R265</f>
        <v/>
      </c>
      <c r="T265" s="614" t="n">
        <v>1335</v>
      </c>
      <c r="U265" s="614" t="n">
        <v>705</v>
      </c>
      <c r="V265" s="351">
        <f>(T265-U265)/U265</f>
        <v/>
      </c>
      <c r="W265" s="614" t="n">
        <v>0</v>
      </c>
      <c r="X265" s="614" t="n">
        <v>0</v>
      </c>
      <c r="Y265" s="351">
        <f>(W265-X265)/X265</f>
        <v/>
      </c>
      <c r="Z265" s="614">
        <f>E265/W265</f>
        <v/>
      </c>
      <c r="AA265" s="614">
        <f>F265/X265</f>
        <v/>
      </c>
      <c r="AB265" s="351">
        <f>(Z265-AA265)/AA265</f>
        <v/>
      </c>
      <c r="AC265" s="614" t="n"/>
      <c r="AD265" s="614" t="n">
        <v>0</v>
      </c>
      <c r="AE265" s="351">
        <f>(AC265-AD265)/AD265</f>
        <v/>
      </c>
      <c r="AF265" s="614" t="n"/>
      <c r="AG265" s="614" t="n">
        <v>0</v>
      </c>
      <c r="AH265" s="357">
        <f>(AF265-AG265)/AG265</f>
        <v/>
      </c>
      <c r="AI265" s="614" t="n"/>
      <c r="AJ265" s="614" t="n">
        <v>0</v>
      </c>
      <c r="AK265" s="351">
        <f>(AI265-AJ265)/AJ265</f>
        <v/>
      </c>
      <c r="AL265" s="356">
        <f>AF265/AI265</f>
        <v/>
      </c>
      <c r="AM265" s="356">
        <f>AG265/AJ265</f>
        <v/>
      </c>
      <c r="AN265" s="351">
        <f>(AL265-AM265)/AM265</f>
        <v/>
      </c>
      <c r="AO265" s="357" t="n"/>
    </row>
    <row customHeight="1" ht="15.75" r="266" s="452" spans="1:41">
      <c r="A266" s="49" t="s">
        <v>51</v>
      </c>
      <c r="B266" s="49" t="s">
        <v>129</v>
      </c>
      <c r="C266" s="50">
        <f>C260+7</f>
        <v/>
      </c>
      <c r="D266" s="50" t="s">
        <v>60</v>
      </c>
      <c r="E266" s="566">
        <f>SUM(E267:E271)</f>
        <v/>
      </c>
      <c r="F266" s="566">
        <f>SUM(F267:F271)</f>
        <v/>
      </c>
      <c r="G266" s="52">
        <f>(E266-F266)/F266</f>
        <v/>
      </c>
      <c r="H266" s="566">
        <f>SUM(H267:H271)</f>
        <v/>
      </c>
      <c r="I266" s="566">
        <f>SUM(I267:I271)</f>
        <v/>
      </c>
      <c r="J266" s="52">
        <f>(H266-I266)/I266</f>
        <v/>
      </c>
      <c r="K266" s="566">
        <f>H266*1.085</f>
        <v/>
      </c>
      <c r="L266" s="566">
        <f>I266*1.085</f>
        <v/>
      </c>
      <c r="M266" s="52">
        <f>(K266-L266)/L266</f>
        <v/>
      </c>
      <c r="N266" s="567">
        <f>E266/H266</f>
        <v/>
      </c>
      <c r="O266" s="567">
        <f>F266/I266</f>
        <v/>
      </c>
      <c r="P266" s="52">
        <f>(N266-O266)/O266</f>
        <v/>
      </c>
      <c r="Q266" s="567">
        <f>E266/K266</f>
        <v/>
      </c>
      <c r="R266" s="567">
        <f>F266/L266</f>
        <v/>
      </c>
      <c r="S266" s="52">
        <f>(Q266-R266)/R266</f>
        <v/>
      </c>
      <c r="T266" s="568">
        <f>SUM(T267:T271)</f>
        <v/>
      </c>
      <c r="U266" s="568">
        <f>SUM(U267:U271)</f>
        <v/>
      </c>
      <c r="V266" s="52">
        <f>(T266-U266)/U266</f>
        <v/>
      </c>
      <c r="W266" s="568">
        <f>SUM(W267:W271)</f>
        <v/>
      </c>
      <c r="X266" s="568">
        <f>SUM(X267:X271)</f>
        <v/>
      </c>
      <c r="Y266" s="52">
        <f>(W266-X266)/X266</f>
        <v/>
      </c>
      <c r="Z266" s="566">
        <f>E266/W266</f>
        <v/>
      </c>
      <c r="AA266" s="568">
        <f>F266/X266</f>
        <v/>
      </c>
      <c r="AB266" s="52">
        <f>(Z266-AA266)/AA266</f>
        <v/>
      </c>
      <c r="AC266" s="568">
        <f>SUM(AC267:AC271)</f>
        <v/>
      </c>
      <c r="AD266" s="568">
        <f>SUM(AD267:AD271)</f>
        <v/>
      </c>
      <c r="AE266" s="52">
        <f>(AC266-AD266)/AD266</f>
        <v/>
      </c>
      <c r="AF266" s="568">
        <f>SUM(AF267:AF271)</f>
        <v/>
      </c>
      <c r="AG266" s="568">
        <f>SUM(AG267:AG271)</f>
        <v/>
      </c>
      <c r="AH266" s="67">
        <f>(AF266-AG266)/AG266</f>
        <v/>
      </c>
      <c r="AI266" s="568">
        <f>SUM(AI267:AI271)</f>
        <v/>
      </c>
      <c r="AJ266" s="568">
        <f>SUM(AJ267:AJ271)</f>
        <v/>
      </c>
      <c r="AK266" s="52">
        <f>(AI266-AJ266)/AJ266</f>
        <v/>
      </c>
      <c r="AL266" s="82">
        <f>AF266/AI266</f>
        <v/>
      </c>
      <c r="AM266" s="82">
        <f>AG266/AJ266</f>
        <v/>
      </c>
      <c r="AN266" s="52">
        <f>(AL266-AM266)/AM266</f>
        <v/>
      </c>
    </row>
    <row customHeight="1" ht="15.75" r="267" s="452" spans="1:41">
      <c r="A267" s="279" t="n"/>
      <c r="B267" s="279" t="n"/>
      <c r="C267" s="280" t="n"/>
      <c r="D267" s="280" t="n"/>
      <c r="E267" s="535" t="n"/>
      <c r="F267" s="535" t="n"/>
      <c r="G267" s="282">
        <f>(E267-F267)/F267</f>
        <v/>
      </c>
      <c r="H267" s="535" t="n"/>
      <c r="I267" s="536" t="n"/>
      <c r="J267" s="282">
        <f>(H267-I267)/I267</f>
        <v/>
      </c>
      <c r="K267" s="535">
        <f>H267*1.085</f>
        <v/>
      </c>
      <c r="L267" s="535">
        <f>I267*1.085</f>
        <v/>
      </c>
      <c r="M267" s="282">
        <f>(K267-L267)/L267</f>
        <v/>
      </c>
      <c r="N267" s="536">
        <f>E267/H267</f>
        <v/>
      </c>
      <c r="O267" s="536">
        <f>F267/I267</f>
        <v/>
      </c>
      <c r="P267" s="282">
        <f>(N267-O267)/O267</f>
        <v/>
      </c>
      <c r="Q267" s="536">
        <f>E267/K267</f>
        <v/>
      </c>
      <c r="R267" s="536">
        <f>F267/L267</f>
        <v/>
      </c>
      <c r="S267" s="282">
        <f>(Q267-R267)/R267</f>
        <v/>
      </c>
      <c r="T267" s="537" t="n"/>
      <c r="U267" s="537" t="n"/>
      <c r="V267" s="282">
        <f>(T267-U267)/U267</f>
        <v/>
      </c>
      <c r="W267" s="537" t="n"/>
      <c r="X267" s="537" t="n"/>
      <c r="Y267" s="282">
        <f>(W267-X267)/X267</f>
        <v/>
      </c>
      <c r="Z267" s="537">
        <f>E267/W267</f>
        <v/>
      </c>
      <c r="AA267" s="537">
        <f>F267/X267</f>
        <v/>
      </c>
      <c r="AB267" s="282">
        <f>(Z267-AA267)/AA267</f>
        <v/>
      </c>
      <c r="AC267" s="537" t="n"/>
      <c r="AD267" s="537" t="n"/>
      <c r="AE267" s="282">
        <f>(AC267-AD267)/AD267</f>
        <v/>
      </c>
      <c r="AF267" s="537" t="n"/>
      <c r="AG267" s="537" t="n"/>
      <c r="AH267">
        <f>(AF267-AG267)/AG267</f>
        <v/>
      </c>
      <c r="AI267" s="537" t="n"/>
      <c r="AJ267" s="537" t="n"/>
      <c r="AK267" s="282">
        <f>(AI267-AJ267)/AJ267</f>
        <v/>
      </c>
      <c r="AL267" s="286">
        <f>AF267/AI267</f>
        <v/>
      </c>
      <c r="AM267" s="286">
        <f>AG267/AJ267</f>
        <v/>
      </c>
      <c r="AN267" s="282">
        <f>(AL267-AM267)/AM267</f>
        <v/>
      </c>
    </row>
    <row customHeight="1" ht="15.75" r="268" s="452" spans="1:41">
      <c r="A268" s="279" t="n"/>
      <c r="B268" s="279" t="n"/>
      <c r="C268" s="280" t="n"/>
      <c r="D268" s="280" t="n"/>
      <c r="E268" s="535" t="n"/>
      <c r="F268" s="535" t="n"/>
      <c r="G268" s="282">
        <f>(E268-F268)/F268</f>
        <v/>
      </c>
      <c r="H268" s="535" t="n"/>
      <c r="I268" s="536" t="n"/>
      <c r="J268" s="282">
        <f>(H268-I268)/I268</f>
        <v/>
      </c>
      <c r="K268" s="535">
        <f>H268*1.085</f>
        <v/>
      </c>
      <c r="L268" s="535">
        <f>I268*1.085</f>
        <v/>
      </c>
      <c r="M268" s="282">
        <f>(K268-L268)/L268</f>
        <v/>
      </c>
      <c r="N268" s="536">
        <f>E268/H268</f>
        <v/>
      </c>
      <c r="O268" s="536">
        <f>F268/I268</f>
        <v/>
      </c>
      <c r="P268" s="282">
        <f>(N268-O268)/O268</f>
        <v/>
      </c>
      <c r="Q268" s="536">
        <f>E268/K268</f>
        <v/>
      </c>
      <c r="R268" s="536">
        <f>F268/L268</f>
        <v/>
      </c>
      <c r="S268" s="282">
        <f>(Q268-R268)/R268</f>
        <v/>
      </c>
      <c r="T268" s="537" t="n"/>
      <c r="U268" s="537" t="n"/>
      <c r="V268" s="282">
        <f>(T268-U268)/U268</f>
        <v/>
      </c>
      <c r="W268" s="537" t="n"/>
      <c r="X268" s="537" t="n"/>
      <c r="Y268" s="282">
        <f>(W268-X268)/X268</f>
        <v/>
      </c>
      <c r="Z268" s="537">
        <f>E268/W268</f>
        <v/>
      </c>
      <c r="AA268" s="537">
        <f>F268/X268</f>
        <v/>
      </c>
      <c r="AB268" s="282">
        <f>(Z268-AA268)/AA268</f>
        <v/>
      </c>
      <c r="AC268" s="537" t="n"/>
      <c r="AD268" s="537" t="n"/>
      <c r="AE268" s="282">
        <f>(AC268-AD268)/AD268</f>
        <v/>
      </c>
      <c r="AF268" s="537" t="n"/>
      <c r="AG268" s="537" t="n"/>
      <c r="AH268">
        <f>(AF268-AG268)/AG268</f>
        <v/>
      </c>
      <c r="AI268" s="537" t="n"/>
      <c r="AJ268" s="537" t="n"/>
      <c r="AK268" s="282">
        <f>(AI268-AJ268)/AJ268</f>
        <v/>
      </c>
      <c r="AL268" s="286">
        <f>AF268/AI268</f>
        <v/>
      </c>
      <c r="AM268" s="286">
        <f>AG268/AJ268</f>
        <v/>
      </c>
      <c r="AN268" s="282">
        <f>(AL268-AM268)/AM268</f>
        <v/>
      </c>
    </row>
    <row customHeight="1" ht="15.75" r="269" s="452" spans="1:41">
      <c r="A269" s="279" t="n"/>
      <c r="B269" s="279" t="n"/>
      <c r="C269" s="280" t="n"/>
      <c r="D269" s="280" t="n"/>
      <c r="E269" s="535" t="n"/>
      <c r="F269" s="535" t="n"/>
      <c r="G269" s="282">
        <f>(E269-F269)/F269</f>
        <v/>
      </c>
      <c r="H269" s="535" t="n"/>
      <c r="I269" s="536" t="n"/>
      <c r="J269" s="282">
        <f>(H269-I269)/I269</f>
        <v/>
      </c>
      <c r="K269" s="535">
        <f>H269*1.085</f>
        <v/>
      </c>
      <c r="L269" s="535">
        <f>I269*1.085</f>
        <v/>
      </c>
      <c r="M269" s="282">
        <f>(K269-L269)/L269</f>
        <v/>
      </c>
      <c r="N269" s="536">
        <f>E269/H269</f>
        <v/>
      </c>
      <c r="O269" s="536">
        <f>F269/I269</f>
        <v/>
      </c>
      <c r="P269" s="282">
        <f>(N269-O269)/O269</f>
        <v/>
      </c>
      <c r="Q269" s="536">
        <f>E269/K269</f>
        <v/>
      </c>
      <c r="R269" s="536">
        <f>F269/L269</f>
        <v/>
      </c>
      <c r="S269" s="282">
        <f>(Q269-R269)/R269</f>
        <v/>
      </c>
      <c r="T269" s="537" t="n"/>
      <c r="U269" s="537" t="n"/>
      <c r="V269" s="282">
        <f>(T269-U269)/U269</f>
        <v/>
      </c>
      <c r="W269" s="537" t="n"/>
      <c r="X269" s="537" t="n"/>
      <c r="Y269" s="282">
        <f>(W269-X269)/X269</f>
        <v/>
      </c>
      <c r="Z269" s="537">
        <f>E269/W269</f>
        <v/>
      </c>
      <c r="AA269" s="537">
        <f>F269/X269</f>
        <v/>
      </c>
      <c r="AB269" s="282">
        <f>(Z269-AA269)/AA269</f>
        <v/>
      </c>
      <c r="AC269" s="537" t="n"/>
      <c r="AD269" s="537" t="n"/>
      <c r="AE269" s="282">
        <f>(AC269-AD269)/AD269</f>
        <v/>
      </c>
      <c r="AF269" s="537" t="n"/>
      <c r="AG269" s="537" t="n"/>
      <c r="AH269">
        <f>(AF269-AG269)/AG269</f>
        <v/>
      </c>
      <c r="AI269" s="537" t="n"/>
      <c r="AJ269" s="537" t="n"/>
      <c r="AK269" s="282">
        <f>(AI269-AJ269)/AJ269</f>
        <v/>
      </c>
      <c r="AL269" s="286">
        <f>AF269/AI269</f>
        <v/>
      </c>
      <c r="AM269" s="286">
        <f>AG269/AJ269</f>
        <v/>
      </c>
      <c r="AN269" s="282">
        <f>(AL269-AM269)/AM269</f>
        <v/>
      </c>
    </row>
    <row customHeight="1" ht="15.75" r="270" s="452" spans="1:41">
      <c r="A270" s="279" t="n"/>
      <c r="B270" s="279" t="n"/>
      <c r="C270" s="280" t="n"/>
      <c r="D270" s="280" t="n"/>
      <c r="E270" s="535" t="n"/>
      <c r="F270" s="535" t="n"/>
      <c r="G270" s="282">
        <f>(E270-F270)/F270</f>
        <v/>
      </c>
      <c r="H270" s="535" t="n"/>
      <c r="I270" s="536" t="n"/>
      <c r="J270" s="282">
        <f>(H270-I270)/I270</f>
        <v/>
      </c>
      <c r="K270" s="535">
        <f>H270*1.085</f>
        <v/>
      </c>
      <c r="L270" s="535">
        <f>I270*1.085</f>
        <v/>
      </c>
      <c r="M270" s="282">
        <f>(K270-L270)/L270</f>
        <v/>
      </c>
      <c r="N270" s="536">
        <f>E270/H270</f>
        <v/>
      </c>
      <c r="O270" s="536">
        <f>F270/I270</f>
        <v/>
      </c>
      <c r="P270" s="282">
        <f>(N270-O270)/O270</f>
        <v/>
      </c>
      <c r="Q270" s="536">
        <f>E270/K270</f>
        <v/>
      </c>
      <c r="R270" s="536">
        <f>F270/L270</f>
        <v/>
      </c>
      <c r="S270" s="282">
        <f>(Q270-R270)/R270</f>
        <v/>
      </c>
      <c r="T270" s="537" t="n"/>
      <c r="U270" s="537" t="n"/>
      <c r="V270" s="282">
        <f>(T270-U270)/U270</f>
        <v/>
      </c>
      <c r="W270" s="537" t="n"/>
      <c r="X270" s="537" t="n"/>
      <c r="Y270" s="282">
        <f>(W270-X270)/X270</f>
        <v/>
      </c>
      <c r="Z270" s="537">
        <f>E270/W270</f>
        <v/>
      </c>
      <c r="AA270" s="537">
        <f>F270/X270</f>
        <v/>
      </c>
      <c r="AB270" s="282">
        <f>(Z270-AA270)/AA270</f>
        <v/>
      </c>
      <c r="AC270" s="537" t="n"/>
      <c r="AD270" s="537" t="n"/>
      <c r="AE270" s="282">
        <f>(AC270-AD270)/AD270</f>
        <v/>
      </c>
      <c r="AF270" s="537" t="n"/>
      <c r="AG270" s="537" t="n"/>
      <c r="AH270">
        <f>(AF270-AG270)/AG270</f>
        <v/>
      </c>
      <c r="AI270" s="537" t="n"/>
      <c r="AJ270" s="537" t="n"/>
      <c r="AK270" s="282">
        <f>(AI270-AJ270)/AJ270</f>
        <v/>
      </c>
      <c r="AL270" s="286">
        <f>AF270/AI270</f>
        <v/>
      </c>
      <c r="AM270" s="286">
        <f>AG270/AJ270</f>
        <v/>
      </c>
      <c r="AN270" s="282">
        <f>(AL270-AM270)/AM270</f>
        <v/>
      </c>
    </row>
    <row customHeight="1" ht="15.75" r="271" s="452" spans="1:41">
      <c r="A271" s="279" t="n"/>
      <c r="B271" s="279" t="n"/>
      <c r="C271" s="280" t="n"/>
      <c r="D271" s="297" t="s">
        <v>177</v>
      </c>
      <c r="E271" s="535" t="n"/>
      <c r="F271" s="535" t="n">
        <v>329</v>
      </c>
      <c r="G271" s="282">
        <f>(E271-F271)/F271</f>
        <v/>
      </c>
      <c r="H271" s="535" t="n"/>
      <c r="I271" s="536" t="n">
        <v>6999.33</v>
      </c>
      <c r="J271" s="282">
        <f>(H271-I271)/I271</f>
        <v/>
      </c>
      <c r="K271" s="535">
        <f>H271*1.085</f>
        <v/>
      </c>
      <c r="L271" s="535">
        <f>I271*1.085</f>
        <v/>
      </c>
      <c r="M271" s="282">
        <f>(K271-L271)/L271</f>
        <v/>
      </c>
      <c r="N271" s="536">
        <f>E271/H271</f>
        <v/>
      </c>
      <c r="O271" s="536">
        <f>F271/I271</f>
        <v/>
      </c>
      <c r="P271" s="282">
        <f>(N271-O271)/O271</f>
        <v/>
      </c>
      <c r="Q271" s="536">
        <f>E271/K271</f>
        <v/>
      </c>
      <c r="R271" s="536">
        <f>F271/L271</f>
        <v/>
      </c>
      <c r="S271" s="282">
        <f>(Q271-R271)/R271</f>
        <v/>
      </c>
      <c r="T271" s="537" t="n">
        <v>17</v>
      </c>
      <c r="U271" s="537" t="n">
        <v>14175</v>
      </c>
      <c r="V271" s="282">
        <f>(T271-U271)/U271</f>
        <v/>
      </c>
      <c r="W271" s="537" t="n">
        <v>0</v>
      </c>
      <c r="X271" s="537" t="n">
        <v>4</v>
      </c>
      <c r="Y271" s="282">
        <f>(W271-X271)/X271</f>
        <v/>
      </c>
      <c r="Z271" s="537">
        <f>E271/W271</f>
        <v/>
      </c>
      <c r="AA271" s="537">
        <f>F271/X271</f>
        <v/>
      </c>
      <c r="AB271" s="282">
        <f>(Z271-AA271)/AA271</f>
        <v/>
      </c>
      <c r="AC271" s="537" t="n"/>
      <c r="AD271" s="537" t="n">
        <v>851308</v>
      </c>
      <c r="AE271" s="282">
        <f>(AC271-AD271)/AD271</f>
        <v/>
      </c>
      <c r="AF271" s="537" t="n"/>
      <c r="AG271" s="537" t="n">
        <v>18343</v>
      </c>
      <c r="AH271">
        <f>(AF271-AG271)/AG271</f>
        <v/>
      </c>
      <c r="AI271" s="537" t="n"/>
      <c r="AJ271" s="537" t="n">
        <v>1796790</v>
      </c>
      <c r="AK271" s="282">
        <f>(AI271-AJ271)/AJ271</f>
        <v/>
      </c>
      <c r="AL271" s="286">
        <f>AF271/AI271</f>
        <v/>
      </c>
      <c r="AM271" s="286">
        <f>AG271/AJ271</f>
        <v/>
      </c>
      <c r="AN271" s="282">
        <f>(AL271-AM271)/AM271</f>
        <v/>
      </c>
    </row>
    <row customHeight="1" ht="15.75" r="272" s="452" spans="1:41">
      <c r="A272" s="49" t="s">
        <v>51</v>
      </c>
      <c r="B272" s="49" t="s">
        <v>130</v>
      </c>
      <c r="C272" s="50">
        <f>C266+7</f>
        <v/>
      </c>
      <c r="D272" s="50" t="s">
        <v>60</v>
      </c>
      <c r="E272" s="566">
        <f>SUM(E273:E277)</f>
        <v/>
      </c>
      <c r="F272" s="566">
        <f>SUM(F273:F277)</f>
        <v/>
      </c>
      <c r="G272" s="52">
        <f>(E272-F272)/F272</f>
        <v/>
      </c>
      <c r="H272" s="566">
        <f>SUM(H273:H277)</f>
        <v/>
      </c>
      <c r="I272" s="566">
        <f>SUM(I273:I277)</f>
        <v/>
      </c>
      <c r="J272" s="52">
        <f>(H272-I272)/I272</f>
        <v/>
      </c>
      <c r="K272" s="566">
        <f>SUM(K273:K277)</f>
        <v/>
      </c>
      <c r="L272" s="566">
        <f>I272*1.085</f>
        <v/>
      </c>
      <c r="M272" s="52">
        <f>(K272-L272)/L272</f>
        <v/>
      </c>
      <c r="N272" s="567">
        <f>E272/H272</f>
        <v/>
      </c>
      <c r="O272" s="567">
        <f>F272/I272</f>
        <v/>
      </c>
      <c r="P272" s="52">
        <f>(N272-O272)/O272</f>
        <v/>
      </c>
      <c r="Q272" s="567">
        <f>E272/K272</f>
        <v/>
      </c>
      <c r="R272" s="567">
        <f>F272/L272</f>
        <v/>
      </c>
      <c r="S272" s="52">
        <f>(Q272-R272)/R272</f>
        <v/>
      </c>
      <c r="T272" s="568">
        <f>SUM(T273:T277)</f>
        <v/>
      </c>
      <c r="U272" s="568">
        <f>SUM(U273:U277)</f>
        <v/>
      </c>
      <c r="V272" s="52">
        <f>(T272-U272)/U272</f>
        <v/>
      </c>
      <c r="W272" s="568">
        <f>SUM(W273:W277)</f>
        <v/>
      </c>
      <c r="X272" s="568">
        <f>SUM(X273:X277)</f>
        <v/>
      </c>
      <c r="Y272" s="52">
        <f>(W272-X272)/X272</f>
        <v/>
      </c>
      <c r="Z272" s="566">
        <f>E272/W272</f>
        <v/>
      </c>
      <c r="AA272" s="568">
        <f>F272/X272</f>
        <v/>
      </c>
      <c r="AB272" s="52">
        <f>(Z272-AA272)/AA272</f>
        <v/>
      </c>
      <c r="AC272" s="568">
        <f>SUM(AC273:AC277)</f>
        <v/>
      </c>
      <c r="AD272" s="568">
        <f>SUM(AD273:AD277)</f>
        <v/>
      </c>
      <c r="AE272" s="52">
        <f>(AC272-AD272)/AD272</f>
        <v/>
      </c>
      <c r="AF272" s="568">
        <f>SUM(AF273:AF277)</f>
        <v/>
      </c>
      <c r="AG272" s="568">
        <f>SUM(AG273:AG277)</f>
        <v/>
      </c>
      <c r="AH272" s="67">
        <f>(AF272-AG272)/AG272</f>
        <v/>
      </c>
      <c r="AI272" s="568">
        <f>SUM(AI273:AI277)</f>
        <v/>
      </c>
      <c r="AJ272" s="568">
        <f>SUM(AJ273:AJ277)</f>
        <v/>
      </c>
      <c r="AK272" s="52">
        <f>(AI272-AJ272)/AJ272</f>
        <v/>
      </c>
      <c r="AL272" s="82">
        <f>AF272/AI272</f>
        <v/>
      </c>
      <c r="AM272" s="82">
        <f>AG272/AJ272</f>
        <v/>
      </c>
      <c r="AN272" s="52">
        <f>(AL272-AM272)/AM272</f>
        <v/>
      </c>
    </row>
    <row customHeight="1" ht="15.75" r="273" s="452" spans="1:41">
      <c r="A273" s="279" t="n"/>
      <c r="B273" s="279" t="n"/>
      <c r="C273" s="280" t="n"/>
      <c r="D273" s="440" t="s">
        <v>189</v>
      </c>
      <c r="E273" s="535" t="n">
        <v>0</v>
      </c>
      <c r="F273" s="535" t="n"/>
      <c r="G273" s="282">
        <f>(E273-F273)/F273</f>
        <v/>
      </c>
      <c r="H273" s="535" t="n">
        <v>925.76</v>
      </c>
      <c r="I273" s="536" t="n"/>
      <c r="J273" s="282">
        <f>(H273-I273)/I273</f>
        <v/>
      </c>
      <c r="K273" s="535">
        <f>H273*1.085</f>
        <v/>
      </c>
      <c r="L273" s="535">
        <f>I273*1.085</f>
        <v/>
      </c>
      <c r="M273" s="282">
        <f>(K273-L273)/L273</f>
        <v/>
      </c>
      <c r="N273" s="536">
        <f>E273/H273</f>
        <v/>
      </c>
      <c r="O273" s="536">
        <f>F273/I273</f>
        <v/>
      </c>
      <c r="P273" s="282">
        <f>(N273-O273)/O273</f>
        <v/>
      </c>
      <c r="Q273" s="536">
        <f>E273/K273</f>
        <v/>
      </c>
      <c r="R273" s="536">
        <f>F273/L273</f>
        <v/>
      </c>
      <c r="S273" s="282">
        <f>(Q273-R273)/R273</f>
        <v/>
      </c>
      <c r="T273" s="537" t="n">
        <v>1149</v>
      </c>
      <c r="U273" s="537" t="n"/>
      <c r="V273" s="282">
        <f>(T273-U273)/U273</f>
        <v/>
      </c>
      <c r="W273" s="537" t="n">
        <v>0</v>
      </c>
      <c r="X273" s="537" t="n"/>
      <c r="Y273" s="282">
        <f>(W273-X273)/X273</f>
        <v/>
      </c>
      <c r="Z273" s="537">
        <f>E273/W273</f>
        <v/>
      </c>
      <c r="AA273" s="537">
        <f>F273/X273</f>
        <v/>
      </c>
      <c r="AB273" s="282">
        <f>(Z273-AA273)/AA273</f>
        <v/>
      </c>
      <c r="AC273" s="537" t="n">
        <v>108492</v>
      </c>
      <c r="AD273" s="537" t="n"/>
      <c r="AE273" s="282">
        <f>(AC273-AD273)/AD273</f>
        <v/>
      </c>
      <c r="AF273" s="537" t="n">
        <v>2864</v>
      </c>
      <c r="AG273" s="537" t="n"/>
      <c r="AH273">
        <f>(AF273-AG273)/AG273</f>
        <v/>
      </c>
      <c r="AI273" s="537" t="n">
        <v>181310</v>
      </c>
      <c r="AJ273" s="537" t="n"/>
      <c r="AK273" s="282">
        <f>(AI273-AJ273)/AJ273</f>
        <v/>
      </c>
      <c r="AL273" s="286">
        <f>AF273/AI273</f>
        <v/>
      </c>
      <c r="AM273" s="286">
        <f>AG273/AJ273</f>
        <v/>
      </c>
      <c r="AN273" s="282">
        <f>(AL273-AM273)/AM273</f>
        <v/>
      </c>
    </row>
    <row customHeight="1" ht="15.75" r="274" s="452" spans="1:41">
      <c r="A274" s="279" t="n"/>
      <c r="B274" s="279" t="n"/>
      <c r="C274" s="280" t="n"/>
      <c r="D274" s="440" t="s">
        <v>190</v>
      </c>
      <c r="E274" s="535" t="n">
        <v>139</v>
      </c>
      <c r="F274" s="535" t="n"/>
      <c r="G274" s="282">
        <f>(E274-F274)/F274</f>
        <v/>
      </c>
      <c r="H274" s="535" t="n"/>
      <c r="I274" s="536" t="n"/>
      <c r="J274" s="282">
        <f>(H274-I274)/I274</f>
        <v/>
      </c>
      <c r="K274" s="535" t="n">
        <v>4081.42</v>
      </c>
      <c r="L274" s="535">
        <f>I274*1.085</f>
        <v/>
      </c>
      <c r="M274" s="282">
        <f>(K274-L274)/L274</f>
        <v/>
      </c>
      <c r="N274" s="536">
        <f>E274/H274</f>
        <v/>
      </c>
      <c r="O274" s="536">
        <f>F274/I274</f>
        <v/>
      </c>
      <c r="P274" s="282">
        <f>(N274-O274)/O274</f>
        <v/>
      </c>
      <c r="Q274" s="536">
        <f>E274/K274</f>
        <v/>
      </c>
      <c r="R274" s="536">
        <f>F274/L274</f>
        <v/>
      </c>
      <c r="S274" s="282">
        <f>(Q274-R274)/R274</f>
        <v/>
      </c>
      <c r="T274" s="537" t="n">
        <v>2868</v>
      </c>
      <c r="U274" s="537" t="n"/>
      <c r="V274" s="282">
        <f>(T274-U274)/U274</f>
        <v/>
      </c>
      <c r="W274" s="537" t="n">
        <v>2</v>
      </c>
      <c r="X274" s="537" t="n"/>
      <c r="Y274" s="282">
        <f>(W274-X274)/X274</f>
        <v/>
      </c>
      <c r="Z274" s="537">
        <f>E274/W274</f>
        <v/>
      </c>
      <c r="AA274" s="537">
        <f>F274/X274</f>
        <v/>
      </c>
      <c r="AB274" s="282">
        <f>(Z274-AA274)/AA274</f>
        <v/>
      </c>
      <c r="AC274" s="537" t="n"/>
      <c r="AD274" s="537" t="n"/>
      <c r="AE274" s="282">
        <f>(AC274-AD274)/AD274</f>
        <v/>
      </c>
      <c r="AF274" s="537" t="n">
        <v>4383</v>
      </c>
      <c r="AG274" s="537" t="n"/>
      <c r="AH274">
        <f>(AF274-AG274)/AG274</f>
        <v/>
      </c>
      <c r="AI274" s="537" t="n">
        <v>975705</v>
      </c>
      <c r="AJ274" s="537" t="n"/>
      <c r="AK274" s="282">
        <f>(AI274-AJ274)/AJ274</f>
        <v/>
      </c>
      <c r="AL274" s="286">
        <f>AF274/AI274</f>
        <v/>
      </c>
      <c r="AM274" s="286">
        <f>AG274/AJ274</f>
        <v/>
      </c>
      <c r="AN274" s="282">
        <f>(AL274-AM274)/AM274</f>
        <v/>
      </c>
    </row>
    <row customHeight="1" ht="15.75" r="275" s="452" spans="1:41">
      <c r="A275" s="279" t="n"/>
      <c r="B275" s="279" t="n"/>
      <c r="C275" s="280" t="n"/>
      <c r="D275" s="440" t="s">
        <v>191</v>
      </c>
      <c r="E275" s="535" t="n">
        <v>0</v>
      </c>
      <c r="F275" s="535" t="n"/>
      <c r="G275" s="282">
        <f>(E275-F275)/F275</f>
        <v/>
      </c>
      <c r="H275" s="535" t="n"/>
      <c r="I275" s="536" t="n"/>
      <c r="J275" s="282">
        <f>(H275-I275)/I275</f>
        <v/>
      </c>
      <c r="K275" s="535" t="n">
        <v>559.86</v>
      </c>
      <c r="L275" s="535">
        <f>I275*1.085</f>
        <v/>
      </c>
      <c r="M275" s="282">
        <f>(K275-L275)/L275</f>
        <v/>
      </c>
      <c r="N275" s="536">
        <f>E275/H275</f>
        <v/>
      </c>
      <c r="O275" s="536">
        <f>F275/I275</f>
        <v/>
      </c>
      <c r="P275" s="282">
        <f>(N275-O275)/O275</f>
        <v/>
      </c>
      <c r="Q275" s="536">
        <f>E275/K275</f>
        <v/>
      </c>
      <c r="R275" s="536">
        <f>F275/L275</f>
        <v/>
      </c>
      <c r="S275" s="282">
        <f>(Q275-R275)/R275</f>
        <v/>
      </c>
      <c r="T275" s="537" t="n">
        <v>37</v>
      </c>
      <c r="U275" s="537" t="n"/>
      <c r="V275" s="282">
        <f>(T275-U275)/U275</f>
        <v/>
      </c>
      <c r="W275" s="537" t="n">
        <v>0</v>
      </c>
      <c r="X275" s="537" t="n"/>
      <c r="Y275" s="282">
        <f>(W275-X275)/X275</f>
        <v/>
      </c>
      <c r="Z275" s="537">
        <f>E275/W275</f>
        <v/>
      </c>
      <c r="AA275" s="537">
        <f>F275/X275</f>
        <v/>
      </c>
      <c r="AB275" s="282">
        <f>(Z275-AA275)/AA275</f>
        <v/>
      </c>
      <c r="AC275" s="537" t="n"/>
      <c r="AD275" s="537" t="n"/>
      <c r="AE275" s="282">
        <f>(AC275-AD275)/AD275</f>
        <v/>
      </c>
      <c r="AF275" s="537" t="n">
        <v>223</v>
      </c>
      <c r="AG275" s="537" t="n"/>
      <c r="AH275">
        <f>(AF275-AG275)/AG275</f>
        <v/>
      </c>
      <c r="AI275" s="537" t="n">
        <v>191557</v>
      </c>
      <c r="AJ275" s="537" t="n"/>
      <c r="AK275" s="282">
        <f>(AI275-AJ275)/AJ275</f>
        <v/>
      </c>
      <c r="AL275" s="286">
        <f>AF275/AI275</f>
        <v/>
      </c>
      <c r="AM275" s="286">
        <f>AG275/AJ275</f>
        <v/>
      </c>
      <c r="AN275" s="282">
        <f>(AL275-AM275)/AM275</f>
        <v/>
      </c>
    </row>
    <row customHeight="1" ht="15.75" r="276" s="452" spans="1:41">
      <c r="A276" s="279" t="n"/>
      <c r="B276" s="279" t="n"/>
      <c r="C276" s="280" t="n"/>
      <c r="D276" s="280" t="n"/>
      <c r="E276" s="535" t="n"/>
      <c r="F276" s="535" t="n"/>
      <c r="G276" s="282">
        <f>(E276-F276)/F276</f>
        <v/>
      </c>
      <c r="H276" s="535" t="n"/>
      <c r="I276" s="536" t="n"/>
      <c r="J276" s="282">
        <f>(H276-I276)/I276</f>
        <v/>
      </c>
      <c r="K276" s="535">
        <f>H276*1.085</f>
        <v/>
      </c>
      <c r="L276" s="535">
        <f>I276*1.085</f>
        <v/>
      </c>
      <c r="M276" s="282">
        <f>(K276-L276)/L276</f>
        <v/>
      </c>
      <c r="N276" s="536">
        <f>E276/H276</f>
        <v/>
      </c>
      <c r="O276" s="536">
        <f>F276/I276</f>
        <v/>
      </c>
      <c r="P276" s="282">
        <f>(N276-O276)/O276</f>
        <v/>
      </c>
      <c r="Q276" s="536">
        <f>E276/K276</f>
        <v/>
      </c>
      <c r="R276" s="536">
        <f>F276/L276</f>
        <v/>
      </c>
      <c r="S276" s="282">
        <f>(Q276-R276)/R276</f>
        <v/>
      </c>
      <c r="T276" s="537" t="n"/>
      <c r="U276" s="537" t="n"/>
      <c r="V276" s="282">
        <f>(T276-U276)/U276</f>
        <v/>
      </c>
      <c r="W276" s="537" t="n"/>
      <c r="X276" s="537" t="n"/>
      <c r="Y276" s="282">
        <f>(W276-X276)/X276</f>
        <v/>
      </c>
      <c r="Z276" s="537">
        <f>E276/W276</f>
        <v/>
      </c>
      <c r="AA276" s="537">
        <f>F276/X276</f>
        <v/>
      </c>
      <c r="AB276" s="282">
        <f>(Z276-AA276)/AA276</f>
        <v/>
      </c>
      <c r="AC276" s="537" t="n"/>
      <c r="AD276" s="537" t="n"/>
      <c r="AE276" s="282">
        <f>(AC276-AD276)/AD276</f>
        <v/>
      </c>
      <c r="AF276" s="537" t="n"/>
      <c r="AG276" s="537" t="n"/>
      <c r="AH276">
        <f>(AF276-AG276)/AG276</f>
        <v/>
      </c>
      <c r="AI276" s="537" t="n"/>
      <c r="AJ276" s="537" t="n"/>
      <c r="AK276" s="282">
        <f>(AI276-AJ276)/AJ276</f>
        <v/>
      </c>
      <c r="AL276" s="286">
        <f>AF276/AI276</f>
        <v/>
      </c>
      <c r="AM276" s="286">
        <f>AG276/AJ276</f>
        <v/>
      </c>
      <c r="AN276" s="282">
        <f>(AL276-AM276)/AM276</f>
        <v/>
      </c>
    </row>
    <row customHeight="1" ht="15.75" r="277" s="452" spans="1:41">
      <c r="A277" s="279" t="n"/>
      <c r="B277" s="279" t="n"/>
      <c r="C277" s="280" t="n"/>
      <c r="D277" s="297" t="s">
        <v>177</v>
      </c>
      <c r="E277" s="535" t="n">
        <v>0</v>
      </c>
      <c r="F277" s="535" t="n">
        <v>2494</v>
      </c>
      <c r="G277" s="282">
        <f>(E277-F277)/F277</f>
        <v/>
      </c>
      <c r="H277" s="535" t="n">
        <v>0</v>
      </c>
      <c r="I277" s="536" t="n">
        <v>27071.14</v>
      </c>
      <c r="J277" s="282">
        <f>(H277-I277)/I277</f>
        <v/>
      </c>
      <c r="K277" s="535">
        <f>H277*1.085</f>
        <v/>
      </c>
      <c r="L277" s="535">
        <f>I277*1.085</f>
        <v/>
      </c>
      <c r="M277" s="282">
        <f>(K277-L277)/L277</f>
        <v/>
      </c>
      <c r="N277" s="536">
        <f>E277/H277</f>
        <v/>
      </c>
      <c r="O277" s="536">
        <f>F277/I277</f>
        <v/>
      </c>
      <c r="P277" s="282">
        <f>(N277-O277)/O277</f>
        <v/>
      </c>
      <c r="Q277" s="536">
        <f>E277/K277</f>
        <v/>
      </c>
      <c r="R277" s="536">
        <f>F277/L277</f>
        <v/>
      </c>
      <c r="S277" s="282">
        <f>(Q277-R277)/R277</f>
        <v/>
      </c>
      <c r="T277" s="537" t="n">
        <v>14</v>
      </c>
      <c r="U277" s="537" t="n">
        <v>31013</v>
      </c>
      <c r="V277" s="282">
        <f>(T277-U277)/U277</f>
        <v/>
      </c>
      <c r="W277" s="537" t="n">
        <v>0</v>
      </c>
      <c r="X277" s="537" t="n">
        <v>39</v>
      </c>
      <c r="Y277" s="282">
        <f>(W277-X277)/X277</f>
        <v/>
      </c>
      <c r="Z277" s="537">
        <f>E277/W277</f>
        <v/>
      </c>
      <c r="AA277" s="537">
        <f>F277/X277</f>
        <v/>
      </c>
      <c r="AB277" s="282">
        <f>(Z277-AA277)/AA277</f>
        <v/>
      </c>
      <c r="AC277" s="537" t="n"/>
      <c r="AD277" s="537" t="n">
        <v>2405363</v>
      </c>
      <c r="AE277" s="282">
        <f>(AC277-AD277)/AD277</f>
        <v/>
      </c>
      <c r="AF277" s="537" t="n"/>
      <c r="AG277" s="537" t="n">
        <v>43266</v>
      </c>
      <c r="AH277">
        <f>(AF277-AG277)/AG277</f>
        <v/>
      </c>
      <c r="AI277" s="537" t="n"/>
      <c r="AJ277" s="537" t="n">
        <v>5232649</v>
      </c>
      <c r="AK277" s="282">
        <f>(AI277-AJ277)/AJ277</f>
        <v/>
      </c>
      <c r="AL277" s="286">
        <f>AF277/AI277</f>
        <v/>
      </c>
      <c r="AM277" s="286">
        <f>AG277/AJ277</f>
        <v/>
      </c>
      <c r="AN277" s="282">
        <f>(AL277-AM277)/AM277</f>
        <v/>
      </c>
    </row>
    <row customHeight="1" ht="15.75" r="278" s="452" spans="1:41">
      <c r="A278" s="49" t="s">
        <v>51</v>
      </c>
      <c r="B278" s="49" t="s">
        <v>131</v>
      </c>
      <c r="C278" s="50">
        <f>C272+7</f>
        <v/>
      </c>
      <c r="D278" s="50" t="s">
        <v>60</v>
      </c>
      <c r="E278" s="566">
        <f>SUM(E279:E286)</f>
        <v/>
      </c>
      <c r="F278" s="566">
        <f>SUM(F279:F286)</f>
        <v/>
      </c>
      <c r="G278" s="52">
        <f>(E278-F278)/F278</f>
        <v/>
      </c>
      <c r="H278" s="566">
        <f>SUM(H279:H286)</f>
        <v/>
      </c>
      <c r="I278" s="566">
        <f>SUM(I279:I286)</f>
        <v/>
      </c>
      <c r="J278" s="52">
        <f>(H278-I278)/I278</f>
        <v/>
      </c>
      <c r="K278" s="566">
        <f>H278*1.085</f>
        <v/>
      </c>
      <c r="L278" s="566">
        <f>I278*1.085</f>
        <v/>
      </c>
      <c r="M278" s="52">
        <f>(K278-L278)/L278</f>
        <v/>
      </c>
      <c r="N278" s="567">
        <f>E278/H278</f>
        <v/>
      </c>
      <c r="O278" s="567">
        <f>F278/I278</f>
        <v/>
      </c>
      <c r="P278" s="52">
        <f>(N278-O278)/O278</f>
        <v/>
      </c>
      <c r="Q278" s="567">
        <f>E278/K278</f>
        <v/>
      </c>
      <c r="R278" s="567">
        <f>F278/L278</f>
        <v/>
      </c>
      <c r="S278" s="52">
        <f>(Q278-R278)/R278</f>
        <v/>
      </c>
      <c r="T278" s="568">
        <f>SUM(T279:T286)</f>
        <v/>
      </c>
      <c r="U278" s="568">
        <f>SUM(U279:U286)</f>
        <v/>
      </c>
      <c r="V278" s="52">
        <f>(T278-U278)/U278</f>
        <v/>
      </c>
      <c r="W278" s="568">
        <f>SUM(W279:W286)</f>
        <v/>
      </c>
      <c r="X278" s="568">
        <f>SUM(X279:X286)</f>
        <v/>
      </c>
      <c r="Y278" s="52">
        <f>(W278-X278)/X278</f>
        <v/>
      </c>
      <c r="Z278" s="566">
        <f>E278/W278</f>
        <v/>
      </c>
      <c r="AA278" s="568">
        <f>F278/X278</f>
        <v/>
      </c>
      <c r="AB278" s="52">
        <f>(Z278-AA278)/AA278</f>
        <v/>
      </c>
      <c r="AC278" s="568">
        <f>SUM(AC279:AC286)</f>
        <v/>
      </c>
      <c r="AD278" s="568">
        <f>SUM(AD279:AD286)</f>
        <v/>
      </c>
      <c r="AE278" s="52">
        <f>(AC278-AD278)/AD278</f>
        <v/>
      </c>
      <c r="AF278" s="568">
        <f>SUM(AF279:AF286)</f>
        <v/>
      </c>
      <c r="AG278" s="568">
        <f>SUM(AG279:AG286)</f>
        <v/>
      </c>
      <c r="AH278" s="67">
        <f>(AF278-AG278)/AG278</f>
        <v/>
      </c>
      <c r="AI278" s="568">
        <f>SUM(AI279:AI286)</f>
        <v/>
      </c>
      <c r="AJ278" s="568">
        <f>SUM(AJ279:AJ286)</f>
        <v/>
      </c>
      <c r="AK278" s="52">
        <f>(AI278-AJ278)/AJ278</f>
        <v/>
      </c>
      <c r="AL278" s="82">
        <f>AF278/AI278</f>
        <v/>
      </c>
      <c r="AM278" s="82">
        <f>AG278/AJ278</f>
        <v/>
      </c>
      <c r="AN278" s="52">
        <f>(AL278-AM278)/AM278</f>
        <v/>
      </c>
      <c r="AO278" s="214" t="n"/>
    </row>
    <row customHeight="1" ht="15.75" r="279" s="452" spans="1:41">
      <c r="A279" s="279" t="n"/>
      <c r="B279" s="279" t="n"/>
      <c r="C279" s="280" t="n"/>
      <c r="D279" s="440" t="s">
        <v>192</v>
      </c>
      <c r="E279" s="535" t="n">
        <v>363</v>
      </c>
      <c r="F279" s="535" t="n"/>
      <c r="G279" s="282">
        <f>(E279-F279)/F279</f>
        <v/>
      </c>
      <c r="H279" s="535" t="n">
        <v>3357.04</v>
      </c>
      <c r="I279" s="536" t="n"/>
      <c r="J279" s="282">
        <f>(H279-I279)/I279</f>
        <v/>
      </c>
      <c r="K279" s="535">
        <f>H279*1.085</f>
        <v/>
      </c>
      <c r="L279" s="535">
        <f>I279*1.085</f>
        <v/>
      </c>
      <c r="M279" s="282">
        <f>(K279-L279)/L279</f>
        <v/>
      </c>
      <c r="N279" s="536">
        <f>E279/H279</f>
        <v/>
      </c>
      <c r="O279" s="536">
        <f>F279/I279</f>
        <v/>
      </c>
      <c r="P279" s="282">
        <f>(N279-O279)/O279</f>
        <v/>
      </c>
      <c r="Q279" s="536">
        <f>E279/K279</f>
        <v/>
      </c>
      <c r="R279" s="536">
        <f>F279/L279</f>
        <v/>
      </c>
      <c r="S279" s="282">
        <f>(Q279-R279)/R279</f>
        <v/>
      </c>
      <c r="T279" s="537" t="n">
        <v>3189</v>
      </c>
      <c r="U279" s="537" t="n"/>
      <c r="V279" s="282">
        <f>(T279-U279)/U279</f>
        <v/>
      </c>
      <c r="W279" s="537" t="n">
        <v>3</v>
      </c>
      <c r="X279" s="537" t="n"/>
      <c r="Y279" s="282">
        <f>(W279-X279)/X279</f>
        <v/>
      </c>
      <c r="Z279" s="537">
        <f>E279/W279</f>
        <v/>
      </c>
      <c r="AA279" s="537">
        <f>F279/X279</f>
        <v/>
      </c>
      <c r="AB279" s="282">
        <f>(Z279-AA279)/AA279</f>
        <v/>
      </c>
      <c r="AC279" s="537" t="n">
        <v>68281</v>
      </c>
      <c r="AD279" s="537" t="n"/>
      <c r="AE279" s="282">
        <f>(AC279-AD279)/AD279</f>
        <v/>
      </c>
      <c r="AF279" s="537" t="n">
        <v>7220</v>
      </c>
      <c r="AG279" s="537" t="n"/>
      <c r="AH279">
        <f>(AF279-AG279)/AG279</f>
        <v/>
      </c>
      <c r="AI279" s="537" t="n">
        <v>205237</v>
      </c>
      <c r="AJ279" s="537" t="n"/>
      <c r="AK279" s="282">
        <f>(AI279-AJ279)/AJ279</f>
        <v/>
      </c>
      <c r="AL279" s="286">
        <f>AF279/AI279</f>
        <v/>
      </c>
      <c r="AM279" s="286">
        <f>AG279/AJ279</f>
        <v/>
      </c>
      <c r="AN279" s="282">
        <f>(AL279-AM279)/AM279</f>
        <v/>
      </c>
    </row>
    <row customHeight="1" ht="15.75" r="280" s="452" spans="1:41">
      <c r="A280" s="279" t="n"/>
      <c r="B280" s="279" t="n"/>
      <c r="C280" s="280" t="n"/>
      <c r="D280" s="440" t="s">
        <v>189</v>
      </c>
      <c r="E280" s="535" t="n">
        <v>0</v>
      </c>
      <c r="F280" s="535" t="n"/>
      <c r="G280" s="282">
        <f>(E280-F280)/F280</f>
        <v/>
      </c>
      <c r="H280" s="535" t="n">
        <v>518.85</v>
      </c>
      <c r="I280" s="536" t="n"/>
      <c r="J280" s="282">
        <f>(H280-I280)/I280</f>
        <v/>
      </c>
      <c r="K280" s="535">
        <f>H280*1.085</f>
        <v/>
      </c>
      <c r="L280" s="535">
        <f>I280*1.085</f>
        <v/>
      </c>
      <c r="M280" s="282">
        <f>(K280-L280)/L280</f>
        <v/>
      </c>
      <c r="N280" s="536">
        <f>E280/H280</f>
        <v/>
      </c>
      <c r="O280" s="536">
        <f>F280/I280</f>
        <v/>
      </c>
      <c r="P280" s="282">
        <f>(N280-O280)/O280</f>
        <v/>
      </c>
      <c r="Q280" s="536">
        <f>E280/K280</f>
        <v/>
      </c>
      <c r="R280" s="536">
        <f>F280/L280</f>
        <v/>
      </c>
      <c r="S280" s="282">
        <f>(Q280-R280)/R280</f>
        <v/>
      </c>
      <c r="T280" s="537" t="n">
        <v>384</v>
      </c>
      <c r="U280" s="537" t="n"/>
      <c r="V280" s="282">
        <f>(T280-U280)/U280</f>
        <v/>
      </c>
      <c r="W280" s="537" t="n">
        <v>0</v>
      </c>
      <c r="X280" s="537" t="n"/>
      <c r="Y280" s="282">
        <f>(W280-X280)/X280</f>
        <v/>
      </c>
      <c r="Z280" s="537">
        <f>E280/W280</f>
        <v/>
      </c>
      <c r="AA280" s="537">
        <f>F280/X280</f>
        <v/>
      </c>
      <c r="AB280" s="282">
        <f>(Z280-AA280)/AA280</f>
        <v/>
      </c>
      <c r="AC280" s="537" t="n">
        <v>55799</v>
      </c>
      <c r="AD280" s="537" t="n"/>
      <c r="AE280" s="282">
        <f>(AC280-AD280)/AD280</f>
        <v/>
      </c>
      <c r="AF280" s="537" t="n">
        <v>993</v>
      </c>
      <c r="AG280" s="537" t="n"/>
      <c r="AH280">
        <f>(AF280-AG280)/AG280</f>
        <v/>
      </c>
      <c r="AI280" s="537" t="n">
        <v>71866</v>
      </c>
      <c r="AJ280" s="537" t="n"/>
      <c r="AK280" s="282">
        <f>(AI280-AJ280)/AJ280</f>
        <v/>
      </c>
      <c r="AL280" s="286">
        <f>AF280/AI280</f>
        <v/>
      </c>
      <c r="AM280" s="286">
        <f>AG280/AJ280</f>
        <v/>
      </c>
      <c r="AN280" s="282">
        <f>(AL280-AM280)/AM280</f>
        <v/>
      </c>
    </row>
    <row customHeight="1" ht="15.75" r="281" s="452" spans="1:41">
      <c r="A281" s="279" t="n"/>
      <c r="B281" s="279" t="n"/>
      <c r="C281" s="280" t="n"/>
      <c r="D281" s="440" t="s">
        <v>193</v>
      </c>
      <c r="E281" s="535" t="n">
        <v>683</v>
      </c>
      <c r="F281" s="535" t="n"/>
      <c r="G281" s="282">
        <f>(E281-F281)/F281</f>
        <v/>
      </c>
      <c r="H281" s="535" t="n"/>
      <c r="I281" s="536" t="n"/>
      <c r="J281" s="282">
        <f>(H281-I281)/I281</f>
        <v/>
      </c>
      <c r="K281" s="535" t="n">
        <v>2395.72</v>
      </c>
      <c r="L281" s="535">
        <f>I281*1.085</f>
        <v/>
      </c>
      <c r="M281" s="282">
        <f>(K281-L281)/L281</f>
        <v/>
      </c>
      <c r="N281" s="536">
        <f>E281/K281</f>
        <v/>
      </c>
      <c r="O281" s="536">
        <f>F281/I281</f>
        <v/>
      </c>
      <c r="P281" s="282">
        <f>(N281-O281)/O281</f>
        <v/>
      </c>
      <c r="Q281" s="536">
        <f>E281/K281</f>
        <v/>
      </c>
      <c r="R281" s="536">
        <f>F281/L281</f>
        <v/>
      </c>
      <c r="S281" s="282">
        <f>(Q281-R281)/R281</f>
        <v/>
      </c>
      <c r="T281" s="537" t="n">
        <v>2806</v>
      </c>
      <c r="U281" s="537" t="n"/>
      <c r="V281" s="282">
        <f>(T281-U281)/U281</f>
        <v/>
      </c>
      <c r="W281" s="537" t="n">
        <v>6</v>
      </c>
      <c r="X281" s="537" t="n"/>
      <c r="Y281" s="282">
        <f>(W281-X281)/X281</f>
        <v/>
      </c>
      <c r="Z281" s="537">
        <f>E281/W281</f>
        <v/>
      </c>
      <c r="AA281" s="537">
        <f>F281/X281</f>
        <v/>
      </c>
      <c r="AB281" s="282">
        <f>(Z281-AA281)/AA281</f>
        <v/>
      </c>
      <c r="AC281" s="537" t="n"/>
      <c r="AD281" s="537" t="n"/>
      <c r="AE281" s="282">
        <f>(AC281-AD281)/AD281</f>
        <v/>
      </c>
      <c r="AF281" s="537" t="n">
        <v>3945</v>
      </c>
      <c r="AG281" s="537" t="n"/>
      <c r="AH281">
        <f>(AF281-AG281)/AG281</f>
        <v/>
      </c>
      <c r="AI281" s="537" t="n">
        <v>146125</v>
      </c>
      <c r="AJ281" s="537" t="n"/>
      <c r="AK281" s="282">
        <f>(AI281-AJ281)/AJ281</f>
        <v/>
      </c>
      <c r="AL281" s="286">
        <f>AF281/AI281</f>
        <v/>
      </c>
      <c r="AM281" s="286">
        <f>AG281/AJ281</f>
        <v/>
      </c>
      <c r="AN281" s="282">
        <f>(AL281-AM281)/AM281</f>
        <v/>
      </c>
    </row>
    <row customHeight="1" ht="15.75" r="282" s="452" spans="1:41">
      <c r="A282" s="279" t="n"/>
      <c r="B282" s="279" t="n"/>
      <c r="C282" s="440" t="n"/>
      <c r="D282" s="440" t="s">
        <v>194</v>
      </c>
      <c r="E282" s="535" t="n">
        <v>0</v>
      </c>
      <c r="F282" s="535" t="n"/>
      <c r="G282" s="282">
        <f>(E282-F282)/F282</f>
        <v/>
      </c>
      <c r="H282" s="616" t="n"/>
      <c r="I282" s="536" t="n"/>
      <c r="J282" s="282">
        <f>(H282-I282)/I282</f>
        <v/>
      </c>
      <c r="K282" s="535" t="n">
        <v>331.33</v>
      </c>
      <c r="L282" s="535">
        <f>I282*1.085</f>
        <v/>
      </c>
      <c r="M282" s="282">
        <f>(K282-L282)/L282</f>
        <v/>
      </c>
      <c r="N282" s="536">
        <f>E282/K282</f>
        <v/>
      </c>
      <c r="O282" s="536">
        <f>F282/I282</f>
        <v/>
      </c>
      <c r="P282" s="282">
        <f>(N282-O282)/O282</f>
        <v/>
      </c>
      <c r="Q282" s="536">
        <f>E282/K282</f>
        <v/>
      </c>
      <c r="R282" s="536">
        <f>F282/L282</f>
        <v/>
      </c>
      <c r="S282">
        <f>(Q282-R282)/R282</f>
        <v/>
      </c>
      <c r="T282" s="537" t="n">
        <v>359</v>
      </c>
      <c r="U282" s="537" t="n"/>
      <c r="V282" s="282">
        <f>(T282-U282)/U282</f>
        <v/>
      </c>
      <c r="W282" s="537" t="n">
        <v>0</v>
      </c>
      <c r="X282" s="537" t="n"/>
      <c r="Y282" s="282">
        <f>(W282-X282)/X282</f>
        <v/>
      </c>
      <c r="Z282" s="537">
        <f>E282/W282</f>
        <v/>
      </c>
      <c r="AA282" s="537">
        <f>F282/X282</f>
        <v/>
      </c>
      <c r="AB282" s="282">
        <f>(Z282-AA282)/AA282</f>
        <v/>
      </c>
      <c r="AC282" s="537" t="n"/>
      <c r="AD282" s="537" t="n"/>
      <c r="AE282" s="282">
        <f>(AC282-AD282)/AD282</f>
        <v/>
      </c>
      <c r="AF282" s="537" t="n">
        <v>229</v>
      </c>
      <c r="AG282" s="537" t="n"/>
      <c r="AH282">
        <f>(AF282-AG282)/AG282</f>
        <v/>
      </c>
      <c r="AI282" s="537" t="n">
        <v>28466</v>
      </c>
      <c r="AJ282" s="537" t="n"/>
      <c r="AK282" s="282">
        <f>(AI282-AJ282)/AJ282</f>
        <v/>
      </c>
      <c r="AL282" s="286">
        <f>AF282/AI282</f>
        <v/>
      </c>
      <c r="AM282" s="286">
        <f>AG282/AJ282</f>
        <v/>
      </c>
      <c r="AN282" s="282">
        <f>(AL282-AM282)/AM282</f>
        <v/>
      </c>
    </row>
    <row customHeight="1" ht="15.75" r="283" s="452" spans="1:41">
      <c r="A283" s="279" t="n"/>
      <c r="B283" s="279" t="n"/>
      <c r="C283" s="440" t="n"/>
      <c r="D283" s="440" t="s">
        <v>195</v>
      </c>
      <c r="E283" s="535" t="n">
        <v>303</v>
      </c>
      <c r="F283" s="535" t="n"/>
      <c r="G283" s="282">
        <f>(E283-F283)/F283</f>
        <v/>
      </c>
      <c r="H283" s="535" t="n"/>
      <c r="I283" s="536" t="n"/>
      <c r="J283" s="282">
        <f>(H283-I283)/I283</f>
        <v/>
      </c>
      <c r="K283" s="535" t="n">
        <v>5585.72</v>
      </c>
      <c r="L283" s="535" t="n"/>
      <c r="M283" s="282">
        <f>(K283-L283)/L283</f>
        <v/>
      </c>
      <c r="N283" s="536">
        <f>E283/K283</f>
        <v/>
      </c>
      <c r="O283" s="536">
        <f>F283/I283</f>
        <v/>
      </c>
      <c r="P283" s="282">
        <f>(N283-O283)/O283</f>
        <v/>
      </c>
      <c r="Q283" s="536">
        <f>E283/K283</f>
        <v/>
      </c>
      <c r="R283" s="536">
        <f>F283/L283</f>
        <v/>
      </c>
      <c r="S283">
        <f>(Q283-R283)/R283</f>
        <v/>
      </c>
      <c r="T283" s="537" t="n">
        <v>2826</v>
      </c>
      <c r="U283" s="537" t="n"/>
      <c r="V283" s="282">
        <f>(T283-U283)/U283</f>
        <v/>
      </c>
      <c r="W283" s="537" t="n">
        <v>4</v>
      </c>
      <c r="X283" s="537" t="n"/>
      <c r="Y283" s="282">
        <f>(W283-X283)/X283</f>
        <v/>
      </c>
      <c r="Z283" s="537">
        <f>E283/W283</f>
        <v/>
      </c>
      <c r="AA283" s="537">
        <f>F283/X283</f>
        <v/>
      </c>
      <c r="AB283" s="282">
        <f>(Z283-AA283)/AA283</f>
        <v/>
      </c>
      <c r="AC283" s="537" t="n"/>
      <c r="AD283" s="537" t="n"/>
      <c r="AE283" s="282">
        <f>(AC283-AD283)/AD283</f>
        <v/>
      </c>
      <c r="AF283" s="537" t="n">
        <v>5148</v>
      </c>
      <c r="AG283" s="537" t="n"/>
      <c r="AH283">
        <f>(AF283-AG283)/AG283</f>
        <v/>
      </c>
      <c r="AI283" s="537" t="n">
        <v>1057094</v>
      </c>
      <c r="AJ283" s="537" t="n"/>
      <c r="AK283" s="282">
        <f>(AI283-AJ283)/AJ283</f>
        <v/>
      </c>
      <c r="AL283" s="286">
        <f>AF283/AI283</f>
        <v/>
      </c>
      <c r="AM283" s="286">
        <f>AG283/AJ283</f>
        <v/>
      </c>
      <c r="AN283" s="282">
        <f>(AL283-AM283)/AM283</f>
        <v/>
      </c>
    </row>
    <row customHeight="1" ht="15.75" r="284" s="452" spans="1:41">
      <c r="A284" s="279" t="n"/>
      <c r="B284" s="279" t="n"/>
      <c r="C284" s="280" t="n"/>
      <c r="D284" s="440" t="s">
        <v>191</v>
      </c>
      <c r="E284" s="535" t="n">
        <v>0</v>
      </c>
      <c r="F284" s="535" t="n"/>
      <c r="G284" s="282">
        <f>(E284-F284)/F284</f>
        <v/>
      </c>
      <c r="H284" s="535" t="n"/>
      <c r="I284" s="536" t="n"/>
      <c r="J284" s="282">
        <f>(H284-I284)/I284</f>
        <v/>
      </c>
      <c r="K284" s="535" t="n">
        <v>1491.25</v>
      </c>
      <c r="L284" s="535" t="n"/>
      <c r="M284" s="282">
        <f>(K284-L284)/L284</f>
        <v/>
      </c>
      <c r="N284" s="536">
        <f>E284/K284</f>
        <v/>
      </c>
      <c r="O284" s="536">
        <f>F284/I284</f>
        <v/>
      </c>
      <c r="P284" s="282">
        <f>(N284-O284)/O284</f>
        <v/>
      </c>
      <c r="Q284" s="536">
        <f>E284/K284</f>
        <v/>
      </c>
      <c r="R284" s="536">
        <f>F284/L284</f>
        <v/>
      </c>
      <c r="S284">
        <f>(Q284-R284)/R284</f>
        <v/>
      </c>
      <c r="T284" s="537" t="n">
        <v>78</v>
      </c>
      <c r="U284" s="537" t="n"/>
      <c r="V284" s="282">
        <f>(T284-U284)/U284</f>
        <v/>
      </c>
      <c r="W284" s="537" t="n">
        <v>0</v>
      </c>
      <c r="X284" s="537" t="n"/>
      <c r="Y284" s="282">
        <f>(W284-X284)/X284</f>
        <v/>
      </c>
      <c r="Z284" s="537">
        <f>E284/W284</f>
        <v/>
      </c>
      <c r="AA284" s="537">
        <f>F284/X284</f>
        <v/>
      </c>
      <c r="AB284" s="282">
        <f>(Z284-AA284)/AA284</f>
        <v/>
      </c>
      <c r="AC284" s="537" t="n"/>
      <c r="AD284" s="537" t="n"/>
      <c r="AE284" s="282">
        <f>(AC284-AD284)/AD284</f>
        <v/>
      </c>
      <c r="AF284" s="537" t="n">
        <v>425</v>
      </c>
      <c r="AG284" s="537" t="n"/>
      <c r="AH284">
        <f>(AF284-AG284)/AG284</f>
        <v/>
      </c>
      <c r="AI284" s="537" t="n">
        <v>374878</v>
      </c>
      <c r="AJ284" s="537" t="n"/>
      <c r="AK284" s="282">
        <f>(AI284-AJ284)/AJ284</f>
        <v/>
      </c>
      <c r="AL284" s="286">
        <f>AF284/AI284</f>
        <v/>
      </c>
      <c r="AM284" s="286">
        <f>AG284/AJ284</f>
        <v/>
      </c>
      <c r="AN284" s="282">
        <f>(AL284-AM284)/AM284</f>
        <v/>
      </c>
    </row>
    <row customHeight="1" ht="15.75" r="285" s="452" spans="1:41">
      <c r="A285" s="279" t="n"/>
      <c r="B285" s="279" t="n"/>
      <c r="C285" s="280" t="n"/>
      <c r="D285" s="440" t="n"/>
      <c r="E285" s="535" t="n"/>
      <c r="F285" s="535" t="n"/>
      <c r="G285" s="282">
        <f>(E285-F285)/F285</f>
        <v/>
      </c>
      <c r="H285" s="535" t="n"/>
      <c r="I285" s="536" t="n"/>
      <c r="J285" s="282">
        <f>(H285-I285)/I285</f>
        <v/>
      </c>
      <c r="K285" s="616" t="n"/>
      <c r="L285" s="535" t="n"/>
      <c r="M285" s="282">
        <f>(K285-L285)/L285</f>
        <v/>
      </c>
      <c r="N285" s="536" t="n"/>
      <c r="O285" s="536">
        <f>F285/I285</f>
        <v/>
      </c>
      <c r="P285" s="282">
        <f>(N285-O285)/O285</f>
        <v/>
      </c>
      <c r="Q285" s="536">
        <f>E285/K285</f>
        <v/>
      </c>
      <c r="R285" s="536">
        <f>F285/L285</f>
        <v/>
      </c>
      <c r="S285">
        <f>(Q285-R285)/R285</f>
        <v/>
      </c>
      <c r="T285" s="537" t="n"/>
      <c r="U285" s="537" t="n"/>
      <c r="V285" s="282">
        <f>(T285-U285)/U285</f>
        <v/>
      </c>
      <c r="W285" s="537" t="n"/>
      <c r="X285" s="537" t="n"/>
      <c r="Y285" s="282" t="n"/>
      <c r="Z285" s="537">
        <f>E285/W285</f>
        <v/>
      </c>
      <c r="AA285" s="537">
        <f>F285/X285</f>
        <v/>
      </c>
      <c r="AB285" s="282">
        <f>(Z285-AA285)/AA285</f>
        <v/>
      </c>
      <c r="AC285" s="537" t="n"/>
      <c r="AD285" s="537" t="n"/>
      <c r="AE285" s="282">
        <f>(AC285-AD285)/AD285</f>
        <v/>
      </c>
      <c r="AF285" s="537" t="n"/>
      <c r="AG285" s="537" t="n"/>
      <c r="AH285">
        <f>(AF285-AG285)/AG285</f>
        <v/>
      </c>
      <c r="AI285" s="537" t="n"/>
      <c r="AJ285" s="537" t="n"/>
      <c r="AK285" s="282">
        <f>(AI285-AJ285)/AJ285</f>
        <v/>
      </c>
      <c r="AL285" s="286">
        <f>AF285/AI285</f>
        <v/>
      </c>
      <c r="AM285" s="286">
        <f>AG285/AJ285</f>
        <v/>
      </c>
      <c r="AN285" s="282">
        <f>(AL285-AM285)/AM285</f>
        <v/>
      </c>
    </row>
    <row customHeight="1" ht="15.75" r="286" s="452" spans="1:41">
      <c r="A286" s="279" t="n"/>
      <c r="B286" s="279" t="n"/>
      <c r="C286" s="280" t="n"/>
      <c r="D286" s="297" t="s">
        <v>177</v>
      </c>
      <c r="E286" s="535" t="n">
        <v>0</v>
      </c>
      <c r="F286" s="535" t="n">
        <v>2251</v>
      </c>
      <c r="G286" s="282">
        <f>(E286-F286)/F286</f>
        <v/>
      </c>
      <c r="H286" s="535" t="n">
        <v>0</v>
      </c>
      <c r="I286" s="536" t="n">
        <v>19050</v>
      </c>
      <c r="J286" s="282">
        <f>(H286-I286)/I286</f>
        <v/>
      </c>
      <c r="K286" s="535">
        <f>H286*1.085</f>
        <v/>
      </c>
      <c r="L286" s="535">
        <f>I286*1.085</f>
        <v/>
      </c>
      <c r="M286" s="282">
        <f>(K286-L286)/L286</f>
        <v/>
      </c>
      <c r="N286" s="536">
        <f>E286/H286</f>
        <v/>
      </c>
      <c r="O286" s="536">
        <f>F286/I286</f>
        <v/>
      </c>
      <c r="P286" s="282">
        <f>(N286-O286)/O286</f>
        <v/>
      </c>
      <c r="Q286" s="536">
        <f>E286/K286</f>
        <v/>
      </c>
      <c r="R286" s="536">
        <f>F286/L286</f>
        <v/>
      </c>
      <c r="S286" s="282">
        <f>(Q286-R286)/R286</f>
        <v/>
      </c>
      <c r="T286" s="537" t="n">
        <v>181</v>
      </c>
      <c r="U286" s="537" t="n">
        <v>35198</v>
      </c>
      <c r="V286" s="282">
        <f>(T286-U286)/U286</f>
        <v/>
      </c>
      <c r="W286" s="537" t="n">
        <v>0</v>
      </c>
      <c r="X286" s="537" t="n">
        <v>26</v>
      </c>
      <c r="Y286" s="282">
        <f>(W286-X286)/X286</f>
        <v/>
      </c>
      <c r="Z286" s="537">
        <f>E286/W286</f>
        <v/>
      </c>
      <c r="AA286" s="537">
        <f>F286/X286</f>
        <v/>
      </c>
      <c r="AB286" s="282">
        <f>(Z286-AA286)/AA286</f>
        <v/>
      </c>
      <c r="AC286" s="537" t="n"/>
      <c r="AD286" s="537" t="n">
        <v>1605848</v>
      </c>
      <c r="AE286" s="282">
        <f>(AC286-AD286)/AD286</f>
        <v/>
      </c>
      <c r="AF286" s="537" t="n"/>
      <c r="AG286" s="537" t="n"/>
      <c r="AH286">
        <f>(AF286-AG286)/AG286</f>
        <v/>
      </c>
      <c r="AI286" s="537" t="n"/>
      <c r="AJ286" s="537" t="n"/>
      <c r="AK286" s="282">
        <f>(AI286-AJ286)/AJ286</f>
        <v/>
      </c>
      <c r="AL286" s="286">
        <f>AF286/AI286</f>
        <v/>
      </c>
      <c r="AM286" s="286">
        <f>AG286/AJ286</f>
        <v/>
      </c>
      <c r="AN286" s="282">
        <f>(AL286-AM286)/AM286</f>
        <v/>
      </c>
    </row>
    <row customHeight="1" ht="15.75" r="287" s="452" spans="1:41">
      <c r="A287" s="49" t="s">
        <v>51</v>
      </c>
      <c r="B287" s="49" t="s">
        <v>53</v>
      </c>
      <c r="C287" s="50">
        <f>C278+7</f>
        <v/>
      </c>
      <c r="D287" s="50" t="s">
        <v>60</v>
      </c>
      <c r="E287" s="566">
        <f>SUM(E288:E298)</f>
        <v/>
      </c>
      <c r="F287" s="566">
        <f>SUM(F288:F298)</f>
        <v/>
      </c>
      <c r="G287" s="52">
        <f>(E287-F287)/F287</f>
        <v/>
      </c>
      <c r="H287" s="566">
        <f>SUM(H288:H298)</f>
        <v/>
      </c>
      <c r="I287" s="566">
        <f>SUM(I288:I298)</f>
        <v/>
      </c>
      <c r="J287" s="52">
        <f>(H287-I287)/I287</f>
        <v/>
      </c>
      <c r="K287" s="566">
        <f>H287*1.085</f>
        <v/>
      </c>
      <c r="L287" s="566">
        <f>I287*1.085</f>
        <v/>
      </c>
      <c r="M287" s="52">
        <f>(K287-L287)/L287</f>
        <v/>
      </c>
      <c r="N287" s="567">
        <f>E287/H287</f>
        <v/>
      </c>
      <c r="O287" s="567">
        <f>F287/I287</f>
        <v/>
      </c>
      <c r="P287" s="52">
        <f>(N287-O287)/O287</f>
        <v/>
      </c>
      <c r="Q287" s="567">
        <f>E287/K287</f>
        <v/>
      </c>
      <c r="R287" s="567">
        <f>F287/L287</f>
        <v/>
      </c>
      <c r="S287" s="52">
        <f>(Q287-R287)/R287</f>
        <v/>
      </c>
      <c r="T287" s="568">
        <f>SUM(T288:T298)</f>
        <v/>
      </c>
      <c r="U287" s="568">
        <f>SUM(U288:U298)</f>
        <v/>
      </c>
      <c r="V287" s="52">
        <f>(T287-U287)/U287</f>
        <v/>
      </c>
      <c r="W287" s="568">
        <f>SUM(W288:W298)</f>
        <v/>
      </c>
      <c r="X287" s="568">
        <f>SUM(X288:X298)</f>
        <v/>
      </c>
      <c r="Y287" s="52">
        <f>(W287-X287)/X287</f>
        <v/>
      </c>
      <c r="Z287" s="566">
        <f>E287/W287</f>
        <v/>
      </c>
      <c r="AA287" s="568">
        <f>F287/X287</f>
        <v/>
      </c>
      <c r="AB287" s="52">
        <f>(Z287-AA287)/AA287</f>
        <v/>
      </c>
      <c r="AC287" s="568">
        <f>SUM(AC288:AC298)</f>
        <v/>
      </c>
      <c r="AD287" s="568">
        <f>SUM(AD288:AD298)</f>
        <v/>
      </c>
      <c r="AE287" s="52">
        <f>(AC287-AD287)/AD287</f>
        <v/>
      </c>
      <c r="AF287" s="568">
        <f>SUM(AF288:AF298)</f>
        <v/>
      </c>
      <c r="AG287" s="568">
        <f>SUM(AG288:AG298)</f>
        <v/>
      </c>
      <c r="AH287" s="67">
        <f>(AF287-AG287)/AG287</f>
        <v/>
      </c>
      <c r="AI287" s="568">
        <f>SUM(AI288:AI298)</f>
        <v/>
      </c>
      <c r="AJ287" s="568">
        <f>SUM(AJ288:AJ298)</f>
        <v/>
      </c>
      <c r="AK287" s="52">
        <f>(AI287-AJ287)/AJ287</f>
        <v/>
      </c>
      <c r="AL287" s="82">
        <f>AF287/AI287</f>
        <v/>
      </c>
      <c r="AM287" s="82">
        <f>AG287/AJ287</f>
        <v/>
      </c>
      <c r="AN287" s="52">
        <f>(AL287-AM287)/AM287</f>
        <v/>
      </c>
    </row>
    <row customHeight="1" ht="15.75" r="288" s="452" spans="1:41">
      <c r="A288" s="279" t="n"/>
      <c r="B288" s="279" t="n"/>
      <c r="C288" s="280" t="n"/>
      <c r="D288" s="440" t="s">
        <v>196</v>
      </c>
      <c r="E288" s="535" t="n">
        <v>274</v>
      </c>
      <c r="F288" s="535" t="n"/>
      <c r="G288" s="282">
        <f>(E288-F288)/F288</f>
        <v/>
      </c>
      <c r="H288" s="535" t="n">
        <v>4259.25</v>
      </c>
      <c r="I288" s="536" t="n"/>
      <c r="J288" s="282">
        <f>(H288-I288)/I288</f>
        <v/>
      </c>
      <c r="K288" s="535">
        <f>H288*1.085</f>
        <v/>
      </c>
      <c r="L288" s="535">
        <f>I288*1.085</f>
        <v/>
      </c>
      <c r="M288" s="282">
        <f>(K288-L288)/L288</f>
        <v/>
      </c>
      <c r="N288" s="536">
        <f>E288/H288</f>
        <v/>
      </c>
      <c r="O288" s="536">
        <f>F288/I288</f>
        <v/>
      </c>
      <c r="P288" s="282">
        <f>(N288-O288)/O288</f>
        <v/>
      </c>
      <c r="Q288" s="536">
        <f>E288/K288</f>
        <v/>
      </c>
      <c r="R288" s="536">
        <f>F288/L288</f>
        <v/>
      </c>
      <c r="S288" s="282">
        <f>(Q288-R288)/R288</f>
        <v/>
      </c>
      <c r="T288" s="537" t="n">
        <v>2360</v>
      </c>
      <c r="U288" s="537" t="n"/>
      <c r="V288" s="282">
        <f>(T288-U288)/U288</f>
        <v/>
      </c>
      <c r="W288" s="537" t="n">
        <v>3</v>
      </c>
      <c r="X288" s="537" t="n"/>
      <c r="Y288" s="282">
        <f>(W288-X288)/X288</f>
        <v/>
      </c>
      <c r="Z288" s="537">
        <f>E288/W288</f>
        <v/>
      </c>
      <c r="AA288" s="537">
        <f>F288/X288</f>
        <v/>
      </c>
      <c r="AB288" s="282">
        <f>(Z288-AA288)/AA288</f>
        <v/>
      </c>
      <c r="AC288" s="537" t="n">
        <v>97594</v>
      </c>
      <c r="AD288" s="537" t="n"/>
      <c r="AE288" s="282">
        <f>(AC288-AD288)/AD288</f>
        <v/>
      </c>
      <c r="AF288" s="537" t="n">
        <v>4243</v>
      </c>
      <c r="AG288" s="537" t="n"/>
      <c r="AH288">
        <f>(AF288-AG288)/AG288</f>
        <v/>
      </c>
      <c r="AI288" s="537" t="n">
        <v>151449</v>
      </c>
      <c r="AJ288" s="537" t="n"/>
      <c r="AK288" s="282">
        <f>(AI288-AJ288)/AJ288</f>
        <v/>
      </c>
      <c r="AL288" s="286">
        <f>AF288/AI288</f>
        <v/>
      </c>
      <c r="AM288" s="286">
        <f>AG288/AJ288</f>
        <v/>
      </c>
      <c r="AN288" s="282">
        <f>(AL288-AM288)/AM288</f>
        <v/>
      </c>
    </row>
    <row customHeight="1" ht="15.75" r="289" s="452" spans="1:41">
      <c r="A289" s="279" t="n"/>
      <c r="B289" s="279" t="n"/>
      <c r="C289" s="280" t="n"/>
      <c r="D289" s="440" t="s">
        <v>192</v>
      </c>
      <c r="E289" s="535" t="n">
        <v>0</v>
      </c>
      <c r="F289" s="535" t="n"/>
      <c r="G289" s="282">
        <f>(E289-F289)/F289</f>
        <v/>
      </c>
      <c r="H289" s="535" t="n">
        <v>826.08</v>
      </c>
      <c r="I289" s="536" t="n"/>
      <c r="J289" s="282">
        <f>(H289-I289)/I289</f>
        <v/>
      </c>
      <c r="K289" s="535">
        <f>H289*1.085</f>
        <v/>
      </c>
      <c r="L289" s="535">
        <f>I289*1.085</f>
        <v/>
      </c>
      <c r="M289" s="282">
        <f>(K289-L289)/L289</f>
        <v/>
      </c>
      <c r="N289" s="536">
        <f>E289/H289</f>
        <v/>
      </c>
      <c r="O289" s="536">
        <f>F289/I289</f>
        <v/>
      </c>
      <c r="P289" s="282">
        <f>(N289-O289)/O289</f>
        <v/>
      </c>
      <c r="Q289" s="536">
        <f>E289/K289</f>
        <v/>
      </c>
      <c r="R289" s="536">
        <f>F289/L289</f>
        <v/>
      </c>
      <c r="S289" s="282">
        <f>(Q289-R289)/R289</f>
        <v/>
      </c>
      <c r="T289" s="537" t="n">
        <v>554</v>
      </c>
      <c r="U289" s="537" t="n"/>
      <c r="V289" s="282">
        <f>(T289-U289)/U289</f>
        <v/>
      </c>
      <c r="W289" s="537" t="n">
        <v>0</v>
      </c>
      <c r="X289" s="537" t="n"/>
      <c r="Y289" s="282">
        <f>(W289-X289)/X289</f>
        <v/>
      </c>
      <c r="Z289" s="537">
        <f>E289/W289</f>
        <v/>
      </c>
      <c r="AA289" s="537">
        <f>F289/X289</f>
        <v/>
      </c>
      <c r="AB289" s="282">
        <f>(Z289-AA289)/AA289</f>
        <v/>
      </c>
      <c r="AC289" s="537" t="n">
        <v>33286</v>
      </c>
      <c r="AD289" s="537" t="n"/>
      <c r="AE289" s="282">
        <f>(AC289-AD289)/AD289</f>
        <v/>
      </c>
      <c r="AF289" s="537" t="n">
        <v>1328</v>
      </c>
      <c r="AG289" s="537" t="n"/>
      <c r="AH289">
        <f>(AF289-AG289)/AG289</f>
        <v/>
      </c>
      <c r="AI289" s="537" t="n">
        <v>46333</v>
      </c>
      <c r="AJ289" s="537" t="n"/>
      <c r="AK289" s="282">
        <f>(AI289-AJ289)/AJ289</f>
        <v/>
      </c>
      <c r="AL289" s="286">
        <f>AF289/AI289</f>
        <v/>
      </c>
      <c r="AM289" s="286">
        <f>AG289/AJ289</f>
        <v/>
      </c>
      <c r="AN289" s="282">
        <f>(AL289-AM289)/AM289</f>
        <v/>
      </c>
    </row>
    <row customHeight="1" ht="15.75" r="290" s="452" spans="1:41">
      <c r="A290" s="279" t="n"/>
      <c r="B290" s="279" t="n"/>
      <c r="C290" s="280" t="n"/>
      <c r="D290" s="440" t="s">
        <v>197</v>
      </c>
      <c r="E290" s="535" t="n">
        <v>529</v>
      </c>
      <c r="F290" s="535" t="n"/>
      <c r="G290" s="282">
        <f>(E290-F290)/F290</f>
        <v/>
      </c>
      <c r="H290" s="535" t="n">
        <v>3148.77</v>
      </c>
      <c r="I290" s="536" t="n"/>
      <c r="J290" s="282">
        <f>(H290-I290)/I290</f>
        <v/>
      </c>
      <c r="K290" s="535">
        <f>H290*1.085</f>
        <v/>
      </c>
      <c r="L290" s="535">
        <f>I290*1.085</f>
        <v/>
      </c>
      <c r="M290" s="282">
        <f>(K290-L290)/L290</f>
        <v/>
      </c>
      <c r="N290" s="536">
        <f>E290/H290</f>
        <v/>
      </c>
      <c r="O290" s="536">
        <f>F290/I290</f>
        <v/>
      </c>
      <c r="P290" s="282">
        <f>(N290-O290)/O290</f>
        <v/>
      </c>
      <c r="Q290" s="536">
        <f>E290/K290</f>
        <v/>
      </c>
      <c r="R290" s="536">
        <f>F290/L290</f>
        <v/>
      </c>
      <c r="S290" s="282">
        <f>(Q290-R290)/R290</f>
        <v/>
      </c>
      <c r="T290" s="537" t="n">
        <v>1643</v>
      </c>
      <c r="U290" s="537" t="n"/>
      <c r="V290" s="282">
        <f>(T290-U290)/U290</f>
        <v/>
      </c>
      <c r="W290" s="537" t="n">
        <v>4</v>
      </c>
      <c r="X290" s="537" t="n"/>
      <c r="Y290" s="282">
        <f>(W290-X290)/X290</f>
        <v/>
      </c>
      <c r="Z290" s="537">
        <f>E290/W290</f>
        <v/>
      </c>
      <c r="AA290" s="537">
        <f>F290/X290</f>
        <v/>
      </c>
      <c r="AB290" s="282">
        <f>(Z290-AA290)/AA290</f>
        <v/>
      </c>
      <c r="AC290" s="537" t="n">
        <v>72473</v>
      </c>
      <c r="AD290" s="537" t="n"/>
      <c r="AE290" s="282">
        <f>(AC290-AD290)/AD290</f>
        <v/>
      </c>
      <c r="AF290" s="537" t="n">
        <v>3747</v>
      </c>
      <c r="AG290" s="537" t="n"/>
      <c r="AH290">
        <f>(AF290-AG290)/AG290</f>
        <v/>
      </c>
      <c r="AI290" s="537" t="n">
        <v>151778</v>
      </c>
      <c r="AJ290" s="537" t="n"/>
      <c r="AK290" s="282">
        <f>(AI290-AJ290)/AJ290</f>
        <v/>
      </c>
      <c r="AL290" s="286">
        <f>AF290/AI290</f>
        <v/>
      </c>
      <c r="AM290" s="286">
        <f>AG290/AJ290</f>
        <v/>
      </c>
      <c r="AN290" s="282">
        <f>(AL290-AM290)/AM290</f>
        <v/>
      </c>
    </row>
    <row customHeight="1" ht="15.75" r="291" s="452" spans="1:41">
      <c r="A291" s="279" t="n"/>
      <c r="B291" s="279" t="n"/>
      <c r="C291" s="280" t="n"/>
      <c r="D291" s="440" t="s">
        <v>198</v>
      </c>
      <c r="E291" s="535" t="n">
        <v>20</v>
      </c>
      <c r="F291" s="535" t="n"/>
      <c r="G291" s="282">
        <f>(E291-F291)/F291</f>
        <v/>
      </c>
      <c r="H291" s="535" t="n">
        <v>412.81</v>
      </c>
      <c r="I291" s="536" t="n"/>
      <c r="J291" s="282">
        <f>(H291-I291)/I291</f>
        <v/>
      </c>
      <c r="K291" s="535">
        <f>H291*1.085</f>
        <v/>
      </c>
      <c r="L291" s="535">
        <f>I291*1.085</f>
        <v/>
      </c>
      <c r="M291" s="282">
        <f>(K291-L291)/L291</f>
        <v/>
      </c>
      <c r="N291" s="536">
        <f>E291/H291</f>
        <v/>
      </c>
      <c r="O291" s="536">
        <f>F291/I291</f>
        <v/>
      </c>
      <c r="P291" s="282">
        <f>(N291-O291)/O291</f>
        <v/>
      </c>
      <c r="Q291" s="536">
        <f>E291/K291</f>
        <v/>
      </c>
      <c r="R291" s="536">
        <f>F291/L291</f>
        <v/>
      </c>
      <c r="S291" s="282">
        <f>(Q291-R291)/R291</f>
        <v/>
      </c>
      <c r="T291" s="537" t="n">
        <v>1472</v>
      </c>
      <c r="U291" s="537" t="n"/>
      <c r="V291" s="282">
        <f>(T291-U291)/U291</f>
        <v/>
      </c>
      <c r="W291" s="537" t="n">
        <v>1</v>
      </c>
      <c r="X291" s="537" t="n"/>
      <c r="Y291" s="282">
        <f>(W291-X291)/X291</f>
        <v/>
      </c>
      <c r="Z291" s="537">
        <f>E291/W291</f>
        <v/>
      </c>
      <c r="AA291" s="537">
        <f>F291/X291</f>
        <v/>
      </c>
      <c r="AB291" s="282">
        <f>(Z291-AA291)/AA291</f>
        <v/>
      </c>
      <c r="AC291" s="537" t="n">
        <v>43051</v>
      </c>
      <c r="AD291" s="537" t="n"/>
      <c r="AE291" s="282">
        <f>(AC291-AD291)/AD291</f>
        <v/>
      </c>
      <c r="AF291" s="537" t="n">
        <v>2728</v>
      </c>
      <c r="AG291" s="537" t="n"/>
      <c r="AH291">
        <f>(AF291-AG291)/AG291</f>
        <v/>
      </c>
      <c r="AI291" s="537" t="n">
        <v>75107</v>
      </c>
      <c r="AJ291" s="537" t="n"/>
      <c r="AK291" s="282">
        <f>(AI291-AJ291)/AJ291</f>
        <v/>
      </c>
      <c r="AL291" s="286">
        <f>AF291/AI291</f>
        <v/>
      </c>
      <c r="AM291" s="286">
        <f>AG291/AJ291</f>
        <v/>
      </c>
      <c r="AN291" s="282">
        <f>(AL291-AM291)/AM291</f>
        <v/>
      </c>
    </row>
    <row customHeight="1" ht="15.75" r="292" s="452" spans="1:41">
      <c r="A292" s="279" t="n"/>
      <c r="B292" s="279" t="n"/>
      <c r="C292" s="280" t="n"/>
      <c r="D292" s="440" t="s">
        <v>194</v>
      </c>
      <c r="E292" s="535" t="n">
        <v>95</v>
      </c>
      <c r="F292" s="535" t="n"/>
      <c r="G292" s="282">
        <f>(E292-F292)/F292</f>
        <v/>
      </c>
      <c r="H292" s="535" t="n"/>
      <c r="I292" s="536" t="n"/>
      <c r="J292" s="282">
        <f>(H292-I292)/I292</f>
        <v/>
      </c>
      <c r="K292" s="535" t="n">
        <v>182.43</v>
      </c>
      <c r="L292" s="535" t="n"/>
      <c r="M292" s="282">
        <f>(K292-L292)/L292</f>
        <v/>
      </c>
      <c r="N292" s="536">
        <f>E292/H292</f>
        <v/>
      </c>
      <c r="O292" s="536">
        <f>F292/I292</f>
        <v/>
      </c>
      <c r="P292" s="282">
        <f>(N292-O292)/O292</f>
        <v/>
      </c>
      <c r="Q292" s="536">
        <f>E292/K292</f>
        <v/>
      </c>
      <c r="R292" s="536" t="n"/>
      <c r="S292" s="282">
        <f>(Q292-R292)/R292</f>
        <v/>
      </c>
      <c r="T292" s="537" t="n">
        <v>176</v>
      </c>
      <c r="U292" s="537" t="n"/>
      <c r="V292" s="282">
        <f>(T292-U292)/U292</f>
        <v/>
      </c>
      <c r="W292" s="537" t="n">
        <v>1</v>
      </c>
      <c r="X292" s="537" t="n"/>
      <c r="Y292" s="282">
        <f>(W292-X292)/X292</f>
        <v/>
      </c>
      <c r="Z292" s="537">
        <f>E292/W292</f>
        <v/>
      </c>
      <c r="AA292" s="537" t="n"/>
      <c r="AB292" s="282">
        <f>(Z292-AA292)/AA292</f>
        <v/>
      </c>
      <c r="AC292" s="537" t="n"/>
      <c r="AD292" s="537" t="n"/>
      <c r="AE292" s="282">
        <f>(AC292-AD292)/AD292</f>
        <v/>
      </c>
      <c r="AF292" s="537" t="n">
        <v>106</v>
      </c>
      <c r="AG292" s="537" t="n"/>
      <c r="AH292">
        <f>(AF292-AG292)/AG292</f>
        <v/>
      </c>
      <c r="AI292" s="537" t="n">
        <v>11128</v>
      </c>
      <c r="AJ292" s="537" t="n"/>
      <c r="AK292" s="282">
        <f>(AI292-AJ292)/AJ292</f>
        <v/>
      </c>
      <c r="AL292" s="286">
        <f>AF292/AI292</f>
        <v/>
      </c>
      <c r="AM292" s="286" t="n"/>
      <c r="AN292" s="282">
        <f>(AL292-AM292)/AM292</f>
        <v/>
      </c>
    </row>
    <row customHeight="1" ht="15.75" r="293" s="452" spans="1:41">
      <c r="A293" s="279" t="n"/>
      <c r="B293" s="279" t="n"/>
      <c r="C293" s="280" t="n"/>
      <c r="D293" s="440" t="s">
        <v>199</v>
      </c>
      <c r="E293" s="535" t="n">
        <v>621</v>
      </c>
      <c r="F293" s="535" t="n"/>
      <c r="G293" s="282">
        <f>(E293-F293)/F293</f>
        <v/>
      </c>
      <c r="I293" s="536" t="n"/>
      <c r="J293" s="282">
        <f>(H293-I293)/I293</f>
        <v/>
      </c>
      <c r="K293" s="535" t="n">
        <v>3196.47</v>
      </c>
      <c r="L293" s="535" t="n"/>
      <c r="M293" s="282">
        <f>(K293-L293)/L293</f>
        <v/>
      </c>
      <c r="N293" s="536">
        <f>E293/H293</f>
        <v/>
      </c>
      <c r="O293" s="536">
        <f>F293/I293</f>
        <v/>
      </c>
      <c r="P293" s="282">
        <f>(N293-O293)/O293</f>
        <v/>
      </c>
      <c r="Q293" s="536">
        <f>E293/K293</f>
        <v/>
      </c>
      <c r="R293" s="536" t="n"/>
      <c r="S293" s="282">
        <f>(Q293-R293)/R293</f>
        <v/>
      </c>
      <c r="T293" s="537" t="n">
        <v>2531</v>
      </c>
      <c r="U293" s="537" t="n"/>
      <c r="V293" s="282">
        <f>(T293-U293)/U293</f>
        <v/>
      </c>
      <c r="W293" s="537" t="n">
        <v>5</v>
      </c>
      <c r="X293" s="537" t="n"/>
      <c r="Y293" s="282">
        <f>(W293-X293)/X293</f>
        <v/>
      </c>
      <c r="Z293" s="537">
        <f>E293/W293</f>
        <v/>
      </c>
      <c r="AA293" s="537" t="n"/>
      <c r="AB293" s="282">
        <f>(Z293-AA293)/AA293</f>
        <v/>
      </c>
      <c r="AC293" s="537" t="n"/>
      <c r="AD293" s="537" t="n"/>
      <c r="AE293" s="282">
        <f>(AC293-AD293)/AD293</f>
        <v/>
      </c>
      <c r="AF293" s="537" t="n">
        <v>3679</v>
      </c>
      <c r="AG293" s="537" t="n"/>
      <c r="AH293">
        <f>(AF293-AG293)/AG293</f>
        <v/>
      </c>
      <c r="AI293" s="537" t="n">
        <v>127797</v>
      </c>
      <c r="AJ293" s="537" t="n"/>
      <c r="AK293" s="282">
        <f>(AI293-AJ293)/AJ293</f>
        <v/>
      </c>
      <c r="AL293" s="286">
        <f>AF293/AI293</f>
        <v/>
      </c>
      <c r="AM293" s="286" t="n"/>
      <c r="AN293" s="282">
        <f>(AL293-AM293)/AM293</f>
        <v/>
      </c>
    </row>
    <row customHeight="1" ht="15.75" r="294" s="452" spans="1:41">
      <c r="A294" s="279" t="n"/>
      <c r="B294" s="279" t="n"/>
      <c r="C294" s="280" t="n"/>
      <c r="D294" s="440" t="s">
        <v>200</v>
      </c>
      <c r="E294" s="535" t="n">
        <v>0</v>
      </c>
      <c r="F294" s="535" t="n"/>
      <c r="G294" s="282">
        <f>(E294-F294)/F294</f>
        <v/>
      </c>
      <c r="I294" s="536" t="n"/>
      <c r="J294" s="282">
        <f>(H294-I294)/I294</f>
        <v/>
      </c>
      <c r="K294" s="535" t="n">
        <v>791.05</v>
      </c>
      <c r="L294" s="535" t="n"/>
      <c r="M294" s="282">
        <f>(K294-L294)/L294</f>
        <v/>
      </c>
      <c r="N294" s="536">
        <f>E294/H294</f>
        <v/>
      </c>
      <c r="O294" s="536">
        <f>F294/I294</f>
        <v/>
      </c>
      <c r="P294" s="282">
        <f>(N294-O294)/O294</f>
        <v/>
      </c>
      <c r="Q294" s="536">
        <f>E294/K294</f>
        <v/>
      </c>
      <c r="R294" s="536" t="n"/>
      <c r="S294" s="282">
        <f>(Q294-R294)/R294</f>
        <v/>
      </c>
      <c r="T294" s="537" t="n"/>
      <c r="U294" s="537" t="n"/>
      <c r="V294" s="282">
        <f>(T294-U294)/U294</f>
        <v/>
      </c>
      <c r="W294" s="537" t="n"/>
      <c r="X294" s="537" t="n"/>
      <c r="Y294" s="282">
        <f>(W294-X294)/X294</f>
        <v/>
      </c>
      <c r="Z294" s="537">
        <f>E294/W294</f>
        <v/>
      </c>
      <c r="AA294" s="537" t="n"/>
      <c r="AB294" s="282">
        <f>(Z294-AA294)/AA294</f>
        <v/>
      </c>
      <c r="AC294" s="537" t="n"/>
      <c r="AD294" s="537" t="n"/>
      <c r="AE294" s="282">
        <f>(AC294-AD294)/AD294</f>
        <v/>
      </c>
      <c r="AF294" s="537" t="n">
        <v>711</v>
      </c>
      <c r="AG294" s="537" t="n"/>
      <c r="AH294">
        <f>(AF294-AG294)/AG294</f>
        <v/>
      </c>
      <c r="AI294" s="537" t="n">
        <v>51380</v>
      </c>
      <c r="AJ294" s="537" t="n"/>
      <c r="AK294" s="282">
        <f>(AI294-AJ294)/AJ294</f>
        <v/>
      </c>
      <c r="AL294" s="286">
        <f>AF294/AI294</f>
        <v/>
      </c>
      <c r="AM294" s="286" t="n"/>
      <c r="AN294" s="282">
        <f>(AL294-AM294)/AM294</f>
        <v/>
      </c>
    </row>
    <row customHeight="1" ht="15.75" r="295" s="452" spans="1:41">
      <c r="A295" s="279" t="n"/>
      <c r="B295" s="279" t="n"/>
      <c r="C295" s="280" t="n"/>
      <c r="D295" s="440" t="s">
        <v>201</v>
      </c>
      <c r="E295" s="535" t="n">
        <v>80</v>
      </c>
      <c r="F295" s="535" t="n"/>
      <c r="G295" s="282">
        <f>(E295-F295)/F295</f>
        <v/>
      </c>
      <c r="I295" s="536" t="n"/>
      <c r="J295" s="282">
        <f>(K295-I295)/I295</f>
        <v/>
      </c>
      <c r="K295" s="535" t="n">
        <v>3987.19</v>
      </c>
      <c r="L295" s="535" t="n"/>
      <c r="M295" s="282">
        <f>(#REF!-L295)/L295</f>
        <v/>
      </c>
      <c r="N295" s="536">
        <f>E295/H295</f>
        <v/>
      </c>
      <c r="O295" s="536">
        <f>F295/I295</f>
        <v/>
      </c>
      <c r="P295" s="282">
        <f>(N295-O295)/O295</f>
        <v/>
      </c>
      <c r="Q295" s="536">
        <f>E295/K295</f>
        <v/>
      </c>
      <c r="R295" s="536" t="n"/>
      <c r="S295" s="282">
        <f>(Q295-R295)/R295</f>
        <v/>
      </c>
      <c r="T295" s="537" t="n">
        <v>3176</v>
      </c>
      <c r="U295" s="537" t="n"/>
      <c r="V295" s="282">
        <f>(T295-U295)/U295</f>
        <v/>
      </c>
      <c r="W295" s="537" t="n">
        <v>1</v>
      </c>
      <c r="X295" s="537" t="n"/>
      <c r="Y295" s="282">
        <f>(W295-X295)/X295</f>
        <v/>
      </c>
      <c r="Z295" s="537">
        <f>E295/W295</f>
        <v/>
      </c>
      <c r="AA295" s="537" t="n"/>
      <c r="AB295" s="282">
        <f>(Z295-AA295)/AA295</f>
        <v/>
      </c>
      <c r="AC295" s="537" t="n"/>
      <c r="AD295" s="537" t="n"/>
      <c r="AE295" s="282">
        <f>(AC295-AD295)/AD295</f>
        <v/>
      </c>
      <c r="AF295" s="537" t="n">
        <v>3867</v>
      </c>
      <c r="AG295" s="537" t="n"/>
      <c r="AH295">
        <f>(AF295-AG295)/AG295</f>
        <v/>
      </c>
      <c r="AI295" s="537" t="n">
        <v>107138</v>
      </c>
      <c r="AJ295" s="537" t="n"/>
      <c r="AK295" s="282">
        <f>(AI295-AJ295)/AJ295</f>
        <v/>
      </c>
      <c r="AL295" s="286">
        <f>AF295/AI295</f>
        <v/>
      </c>
      <c r="AM295" s="286" t="n"/>
      <c r="AN295" s="282">
        <f>(AL295-AM295)/AM295</f>
        <v/>
      </c>
    </row>
    <row customHeight="1" ht="15.75" r="296" s="452" spans="1:41">
      <c r="A296" s="279" t="n"/>
      <c r="B296" s="279" t="n"/>
      <c r="C296" s="280" t="n"/>
      <c r="D296" s="440" t="s">
        <v>202</v>
      </c>
      <c r="E296" s="535" t="n">
        <v>0</v>
      </c>
      <c r="F296" s="535" t="n"/>
      <c r="G296" s="282">
        <f>(E296-F296)/F296</f>
        <v/>
      </c>
      <c r="H296" s="535" t="n"/>
      <c r="I296" s="536" t="n"/>
      <c r="J296" s="282">
        <f>(K296-I296)/I296</f>
        <v/>
      </c>
      <c r="K296" s="535" t="n">
        <v>885.8099999999999</v>
      </c>
      <c r="L296" s="535" t="n"/>
      <c r="M296" s="282" t="n"/>
      <c r="N296" s="536">
        <f>E296/H296</f>
        <v/>
      </c>
      <c r="O296" s="536" t="n"/>
      <c r="P296" s="282" t="n"/>
      <c r="Q296" s="536">
        <f>E296/K296</f>
        <v/>
      </c>
      <c r="R296" s="536" t="n"/>
      <c r="S296" s="282" t="n"/>
      <c r="T296" s="537" t="n"/>
      <c r="U296" s="537" t="n"/>
      <c r="V296" s="282" t="n"/>
      <c r="W296" s="537" t="n"/>
      <c r="X296" s="537" t="n"/>
      <c r="Y296" s="282" t="n"/>
      <c r="Z296" s="537">
        <f>E296/W296</f>
        <v/>
      </c>
      <c r="AA296" s="537" t="n"/>
      <c r="AB296" s="282" t="n"/>
      <c r="AC296" s="537" t="n"/>
      <c r="AD296" s="537" t="n"/>
      <c r="AE296" s="282" t="n"/>
      <c r="AF296" s="537" t="n">
        <v>307</v>
      </c>
      <c r="AG296" s="537" t="n"/>
      <c r="AH296">
        <f>(AF296-AG296)/AG296</f>
        <v/>
      </c>
      <c r="AI296" s="537" t="n">
        <v>45779</v>
      </c>
      <c r="AJ296" s="537" t="n"/>
      <c r="AK296" s="282" t="n"/>
      <c r="AL296" s="286">
        <f>AF296/AI296</f>
        <v/>
      </c>
      <c r="AM296" s="286" t="n"/>
      <c r="AN296" s="282" t="n"/>
    </row>
    <row customHeight="1" ht="15.75" r="297" s="452" spans="1:41">
      <c r="A297" s="279" t="n"/>
      <c r="B297" s="279" t="n"/>
      <c r="C297" s="280" t="n"/>
      <c r="D297" s="440" t="s">
        <v>203</v>
      </c>
      <c r="E297" s="535" t="n">
        <v>195</v>
      </c>
      <c r="F297" s="535" t="n"/>
      <c r="G297" s="282" t="n"/>
      <c r="H297" s="535" t="n"/>
      <c r="I297" s="536" t="n"/>
      <c r="J297" s="282" t="n"/>
      <c r="K297" s="535" t="n">
        <v>374.57</v>
      </c>
      <c r="L297" s="535" t="n"/>
      <c r="M297" s="282" t="n"/>
      <c r="N297" s="536" t="n"/>
      <c r="O297" s="536" t="n"/>
      <c r="P297" s="282" t="n"/>
      <c r="Q297" s="536">
        <f>E297/K297</f>
        <v/>
      </c>
      <c r="R297" s="536" t="n"/>
      <c r="S297" s="282" t="n"/>
      <c r="T297" s="537" t="n">
        <v>660</v>
      </c>
      <c r="U297" s="537" t="n"/>
      <c r="V297" s="282" t="n"/>
      <c r="W297" s="537" t="n">
        <v>2</v>
      </c>
      <c r="X297" s="537" t="n"/>
      <c r="Y297" s="282" t="n"/>
      <c r="Z297" s="537">
        <f>E297/W297</f>
        <v/>
      </c>
      <c r="AA297" s="537" t="n"/>
      <c r="AB297" s="282" t="n"/>
      <c r="AC297" s="537" t="n"/>
      <c r="AD297" s="537" t="n"/>
      <c r="AE297" s="282" t="n"/>
      <c r="AF297" s="537" t="n">
        <v>929</v>
      </c>
      <c r="AG297" s="537" t="n"/>
      <c r="AH297">
        <f>(AF297-AG297)/AG297</f>
        <v/>
      </c>
      <c r="AI297" s="537" t="n">
        <v>42337</v>
      </c>
      <c r="AJ297" s="537" t="n"/>
      <c r="AK297" s="282" t="n"/>
      <c r="AL297" s="286">
        <f>AF297/AI297</f>
        <v/>
      </c>
      <c r="AM297" s="286" t="n"/>
      <c r="AN297" s="282" t="n"/>
    </row>
    <row customFormat="1" customHeight="1" ht="15.75" r="298" s="357" spans="1:41">
      <c r="A298" s="347" t="n"/>
      <c r="B298" s="347" t="n"/>
      <c r="C298" s="348" t="n"/>
      <c r="D298" s="349" t="s">
        <v>177</v>
      </c>
      <c r="E298" s="612" t="n">
        <v>85</v>
      </c>
      <c r="F298" s="612" t="n">
        <v>3766</v>
      </c>
      <c r="G298" s="351">
        <f>(E298-F298)/F298</f>
        <v/>
      </c>
      <c r="H298" s="612" t="n"/>
      <c r="I298" s="613" t="n">
        <v>30792</v>
      </c>
      <c r="J298" s="351">
        <f>(H298-I298)/I298</f>
        <v/>
      </c>
      <c r="K298" s="612">
        <f>H298*1.085</f>
        <v/>
      </c>
      <c r="L298" s="612">
        <f>I298*1.085</f>
        <v/>
      </c>
      <c r="M298" s="351">
        <f>(K298-L298)/L298</f>
        <v/>
      </c>
      <c r="N298" s="536">
        <f>E298/K298</f>
        <v/>
      </c>
      <c r="O298" s="613">
        <f>F298/I298</f>
        <v/>
      </c>
      <c r="P298" s="351">
        <f>(N298-O298)/O298</f>
        <v/>
      </c>
      <c r="Q298" s="613">
        <f>E298/K298</f>
        <v/>
      </c>
      <c r="R298" s="613">
        <f>F298/L298</f>
        <v/>
      </c>
      <c r="S298" s="351">
        <f>(Q298-R298)/R298</f>
        <v/>
      </c>
      <c r="T298" s="614" t="n">
        <v>88</v>
      </c>
      <c r="U298" s="614" t="n">
        <v>21268</v>
      </c>
      <c r="V298" s="351">
        <f>(T298-U298)/U298</f>
        <v/>
      </c>
      <c r="W298" s="614" t="n">
        <v>1</v>
      </c>
      <c r="X298" s="614" t="n">
        <v>30</v>
      </c>
      <c r="Y298" s="351">
        <f>(W298-X298)/X298</f>
        <v/>
      </c>
      <c r="Z298" s="614">
        <f>E298/W298</f>
        <v/>
      </c>
      <c r="AA298" s="614">
        <f>F298/X298</f>
        <v/>
      </c>
      <c r="AB298" s="351">
        <f>(Z298-AA298)/AA298</f>
        <v/>
      </c>
      <c r="AC298" s="614" t="n"/>
      <c r="AD298" s="614" t="n">
        <v>1304573</v>
      </c>
      <c r="AE298" s="351">
        <f>(AC298-AD298)/AD298</f>
        <v/>
      </c>
      <c r="AF298" s="614" t="n"/>
      <c r="AG298" s="614" t="n">
        <v>27604</v>
      </c>
      <c r="AH298" s="357">
        <f>(AF298-AG298)/AG298</f>
        <v/>
      </c>
      <c r="AI298" s="614" t="n"/>
      <c r="AJ298" s="614" t="n">
        <v>2695863</v>
      </c>
      <c r="AK298" s="351">
        <f>(AI298-AJ298)/AJ298</f>
        <v/>
      </c>
      <c r="AL298" s="356">
        <f>AF298/AI298</f>
        <v/>
      </c>
      <c r="AM298" s="356">
        <f>AG298/AJ298</f>
        <v/>
      </c>
      <c r="AN298" s="351">
        <f>(AL298-AM298)/AM298</f>
        <v/>
      </c>
      <c r="AO298" s="357" t="n"/>
    </row>
    <row customHeight="1" ht="15.75" r="299" s="452" spans="1:41">
      <c r="A299" s="49" t="s">
        <v>52</v>
      </c>
      <c r="B299" s="49" t="s">
        <v>132</v>
      </c>
      <c r="C299" s="50">
        <f>C287+7</f>
        <v/>
      </c>
      <c r="D299" s="50" t="s">
        <v>60</v>
      </c>
      <c r="E299" s="566">
        <f>SUM(E300:E304)</f>
        <v/>
      </c>
      <c r="F299" s="566">
        <f>SUM(F300:F304)</f>
        <v/>
      </c>
      <c r="G299" s="52">
        <f>(E299-F299)/F299</f>
        <v/>
      </c>
      <c r="H299" s="566">
        <f>SUM(H300:H304)</f>
        <v/>
      </c>
      <c r="I299" s="566">
        <f>SUM(I300:I304)</f>
        <v/>
      </c>
      <c r="J299" s="52">
        <f>(H299-I299)/I299</f>
        <v/>
      </c>
      <c r="K299" s="566">
        <f>H299*1.085</f>
        <v/>
      </c>
      <c r="L299" s="566">
        <f>I299*1.085</f>
        <v/>
      </c>
      <c r="M299" s="52">
        <f>(K299-L299)/L299</f>
        <v/>
      </c>
      <c r="N299" s="567">
        <f>E299/H299</f>
        <v/>
      </c>
      <c r="O299" s="567">
        <f>F299/I299</f>
        <v/>
      </c>
      <c r="P299" s="52">
        <f>(N299-O299)/O299</f>
        <v/>
      </c>
      <c r="Q299" s="567">
        <f>E299/K299</f>
        <v/>
      </c>
      <c r="R299" s="567">
        <f>F299/L299</f>
        <v/>
      </c>
      <c r="S299" s="52">
        <f>(Q299-R299)/R299</f>
        <v/>
      </c>
      <c r="T299" s="568">
        <f>SUM(T300:T304)</f>
        <v/>
      </c>
      <c r="U299" s="568">
        <f>SUM(U300:U304)</f>
        <v/>
      </c>
      <c r="V299" s="52">
        <f>(T299-U299)/U299</f>
        <v/>
      </c>
      <c r="W299" s="568">
        <f>SUM(W300:W304)</f>
        <v/>
      </c>
      <c r="X299" s="568">
        <f>SUM(X300:X304)</f>
        <v/>
      </c>
      <c r="Y299" s="52">
        <f>(W299-X299)/X299</f>
        <v/>
      </c>
      <c r="Z299" s="566">
        <f>E299/W299</f>
        <v/>
      </c>
      <c r="AA299" s="568">
        <f>F299/X299</f>
        <v/>
      </c>
      <c r="AB299" s="52">
        <f>(Z299-AA299)/AA299</f>
        <v/>
      </c>
      <c r="AC299" s="568">
        <f>SUM(AC300:AC304)</f>
        <v/>
      </c>
      <c r="AD299" s="568">
        <f>SUM(AD300:AD304)</f>
        <v/>
      </c>
      <c r="AE299" s="52">
        <f>(AC299-AD299)/AD299</f>
        <v/>
      </c>
      <c r="AF299" s="568">
        <f>SUM(AF300:AF304)</f>
        <v/>
      </c>
      <c r="AG299" s="568">
        <f>SUM(AG300:AG304)</f>
        <v/>
      </c>
      <c r="AH299" s="67">
        <f>(AF299-AG299)/AG299</f>
        <v/>
      </c>
      <c r="AI299" s="568">
        <f>SUM(AI300:AI304)</f>
        <v/>
      </c>
      <c r="AJ299" s="568">
        <f>SUM(AJ300:AJ304)</f>
        <v/>
      </c>
      <c r="AK299" s="52">
        <f>(AI299-AJ299)/AJ299</f>
        <v/>
      </c>
      <c r="AL299" s="82">
        <f>AF299/AI299</f>
        <v/>
      </c>
      <c r="AM299" s="82">
        <f>AG299/AJ299</f>
        <v/>
      </c>
      <c r="AN299" s="52">
        <f>(AL299-AM299)/AM299</f>
        <v/>
      </c>
    </row>
    <row customHeight="1" ht="15.75" r="300" s="452" spans="1:41">
      <c r="A300" s="279" t="n"/>
      <c r="B300" s="279" t="n"/>
      <c r="C300" s="280" t="n"/>
      <c r="D300" s="280" t="n"/>
      <c r="E300" s="535" t="n"/>
      <c r="F300" s="535" t="n"/>
      <c r="G300" s="282">
        <f>(E300-F300)/F300</f>
        <v/>
      </c>
      <c r="H300" s="535" t="n"/>
      <c r="I300" s="536" t="n"/>
      <c r="J300" s="282">
        <f>(H300-I300)/I300</f>
        <v/>
      </c>
      <c r="K300" s="535">
        <f>H300*1.085</f>
        <v/>
      </c>
      <c r="L300" s="535">
        <f>I300*1.085</f>
        <v/>
      </c>
      <c r="M300" s="282">
        <f>(K300-L300)/L300</f>
        <v/>
      </c>
      <c r="N300" s="536">
        <f>E300/H300</f>
        <v/>
      </c>
      <c r="O300" s="536">
        <f>F300/I300</f>
        <v/>
      </c>
      <c r="P300" s="282">
        <f>(N300-O300)/O300</f>
        <v/>
      </c>
      <c r="Q300" s="536">
        <f>E300/K300</f>
        <v/>
      </c>
      <c r="R300" s="536">
        <f>F300/L300</f>
        <v/>
      </c>
      <c r="S300" s="282">
        <f>(Q300-R300)/R300</f>
        <v/>
      </c>
      <c r="T300" s="537" t="n"/>
      <c r="U300" s="537" t="n"/>
      <c r="V300" s="282">
        <f>(T300-U300)/U300</f>
        <v/>
      </c>
      <c r="W300" s="537" t="n"/>
      <c r="X300" s="537" t="n"/>
      <c r="Y300" s="282">
        <f>(W300-X300)/X300</f>
        <v/>
      </c>
      <c r="Z300" s="537">
        <f>E300/W300</f>
        <v/>
      </c>
      <c r="AA300" s="537">
        <f>F300/X300</f>
        <v/>
      </c>
      <c r="AB300" s="282">
        <f>(Z300-AA300)/AA300</f>
        <v/>
      </c>
      <c r="AC300" s="537" t="n"/>
      <c r="AD300" s="537" t="n"/>
      <c r="AE300" s="282">
        <f>(AC300-AD300)/AD300</f>
        <v/>
      </c>
      <c r="AF300" s="537" t="n"/>
      <c r="AG300" s="537" t="n"/>
      <c r="AH300">
        <f>(AF300-AG300)/AG300</f>
        <v/>
      </c>
      <c r="AI300" s="537" t="n"/>
      <c r="AJ300" s="537" t="n"/>
      <c r="AK300" s="282">
        <f>(AI300-AJ300)/AJ300</f>
        <v/>
      </c>
      <c r="AL300" s="286">
        <f>AF300/AI300</f>
        <v/>
      </c>
      <c r="AM300" s="286">
        <f>AG300/AJ300</f>
        <v/>
      </c>
      <c r="AN300" s="282">
        <f>(AL300-AM300)/AM300</f>
        <v/>
      </c>
    </row>
    <row customHeight="1" ht="15.75" r="301" s="452" spans="1:41">
      <c r="A301" s="279" t="n"/>
      <c r="B301" s="279" t="n"/>
      <c r="C301" s="280" t="n"/>
      <c r="D301" s="280" t="n"/>
      <c r="E301" s="535" t="n"/>
      <c r="F301" s="535" t="n"/>
      <c r="G301" s="282">
        <f>(E301-F301)/F301</f>
        <v/>
      </c>
      <c r="H301" s="535" t="n"/>
      <c r="I301" s="536" t="n"/>
      <c r="J301" s="282">
        <f>(H301-I301)/I301</f>
        <v/>
      </c>
      <c r="K301" s="535">
        <f>H301*1.085</f>
        <v/>
      </c>
      <c r="L301" s="535">
        <f>I301*1.085</f>
        <v/>
      </c>
      <c r="M301" s="282">
        <f>(K301-L301)/L301</f>
        <v/>
      </c>
      <c r="N301" s="536">
        <f>E301/H301</f>
        <v/>
      </c>
      <c r="O301" s="536">
        <f>F301/I301</f>
        <v/>
      </c>
      <c r="P301" s="282">
        <f>(N301-O301)/O301</f>
        <v/>
      </c>
      <c r="Q301" s="536">
        <f>E301/K301</f>
        <v/>
      </c>
      <c r="R301" s="536">
        <f>F301/L301</f>
        <v/>
      </c>
      <c r="S301" s="282">
        <f>(Q301-R301)/R301</f>
        <v/>
      </c>
      <c r="T301" s="537" t="n"/>
      <c r="U301" s="537" t="n"/>
      <c r="V301" s="282">
        <f>(T301-U301)/U301</f>
        <v/>
      </c>
      <c r="W301" s="537" t="n"/>
      <c r="X301" s="537" t="n"/>
      <c r="Y301" s="282">
        <f>(W301-X301)/X301</f>
        <v/>
      </c>
      <c r="Z301" s="537">
        <f>E301/W301</f>
        <v/>
      </c>
      <c r="AA301" s="537">
        <f>F301/X301</f>
        <v/>
      </c>
      <c r="AB301" s="282">
        <f>(Z301-AA301)/AA301</f>
        <v/>
      </c>
      <c r="AC301" s="537" t="n"/>
      <c r="AD301" s="537" t="n"/>
      <c r="AE301" s="282">
        <f>(AC301-AD301)/AD301</f>
        <v/>
      </c>
      <c r="AF301" s="537" t="n"/>
      <c r="AG301" s="537" t="n"/>
      <c r="AH301">
        <f>(AF301-AG301)/AG301</f>
        <v/>
      </c>
      <c r="AI301" s="537" t="n"/>
      <c r="AJ301" s="537" t="n"/>
      <c r="AK301" s="282">
        <f>(AI301-AJ301)/AJ301</f>
        <v/>
      </c>
      <c r="AL301" s="286">
        <f>AF301/AI301</f>
        <v/>
      </c>
      <c r="AM301" s="286">
        <f>AG301/AJ301</f>
        <v/>
      </c>
      <c r="AN301" s="282">
        <f>(AL301-AM301)/AM301</f>
        <v/>
      </c>
    </row>
    <row customHeight="1" ht="15.75" r="302" s="452" spans="1:41">
      <c r="A302" s="279" t="n"/>
      <c r="B302" s="279" t="n"/>
      <c r="C302" s="280" t="n"/>
      <c r="D302" s="280" t="n"/>
      <c r="E302" s="535" t="n"/>
      <c r="F302" s="535" t="n"/>
      <c r="G302" s="282">
        <f>(E302-F302)/F302</f>
        <v/>
      </c>
      <c r="H302" s="535" t="n"/>
      <c r="I302" s="536" t="n"/>
      <c r="J302" s="282">
        <f>(H302-I302)/I302</f>
        <v/>
      </c>
      <c r="K302" s="535">
        <f>H302*1.085</f>
        <v/>
      </c>
      <c r="L302" s="535">
        <f>I302*1.085</f>
        <v/>
      </c>
      <c r="M302" s="282">
        <f>(K302-L302)/L302</f>
        <v/>
      </c>
      <c r="N302" s="536">
        <f>E302/H302</f>
        <v/>
      </c>
      <c r="O302" s="536">
        <f>F302/I302</f>
        <v/>
      </c>
      <c r="P302" s="282">
        <f>(N302-O302)/O302</f>
        <v/>
      </c>
      <c r="Q302" s="536">
        <f>E302/K302</f>
        <v/>
      </c>
      <c r="R302" s="536">
        <f>F302/L302</f>
        <v/>
      </c>
      <c r="S302" s="282">
        <f>(Q302-R302)/R302</f>
        <v/>
      </c>
      <c r="T302" s="537" t="n"/>
      <c r="U302" s="537" t="n"/>
      <c r="V302" s="282">
        <f>(T302-U302)/U302</f>
        <v/>
      </c>
      <c r="W302" s="537" t="n"/>
      <c r="X302" s="537" t="n"/>
      <c r="Y302" s="282">
        <f>(W302-X302)/X302</f>
        <v/>
      </c>
      <c r="Z302" s="537">
        <f>E302/W302</f>
        <v/>
      </c>
      <c r="AA302" s="537">
        <f>F302/X302</f>
        <v/>
      </c>
      <c r="AB302" s="282">
        <f>(Z302-AA302)/AA302</f>
        <v/>
      </c>
      <c r="AC302" s="537" t="n"/>
      <c r="AD302" s="537" t="n"/>
      <c r="AE302" s="282">
        <f>(AC302-AD302)/AD302</f>
        <v/>
      </c>
      <c r="AF302" s="537" t="n"/>
      <c r="AG302" s="537" t="n"/>
      <c r="AH302">
        <f>(AF302-AG302)/AG302</f>
        <v/>
      </c>
      <c r="AI302" s="537" t="n"/>
      <c r="AJ302" s="537" t="n"/>
      <c r="AK302" s="282">
        <f>(AI302-AJ302)/AJ302</f>
        <v/>
      </c>
      <c r="AL302" s="286">
        <f>AF302/AI302</f>
        <v/>
      </c>
      <c r="AM302" s="286">
        <f>AG302/AJ302</f>
        <v/>
      </c>
      <c r="AN302" s="282">
        <f>(AL302-AM302)/AM302</f>
        <v/>
      </c>
    </row>
    <row customHeight="1" ht="15.75" r="303" s="452" spans="1:41">
      <c r="A303" s="279" t="n"/>
      <c r="B303" s="279" t="n"/>
      <c r="C303" s="280" t="n"/>
      <c r="D303" s="280" t="n"/>
      <c r="E303" s="535" t="n"/>
      <c r="F303" s="535" t="n"/>
      <c r="G303" s="282">
        <f>(E303-F303)/F303</f>
        <v/>
      </c>
      <c r="H303" s="535" t="n"/>
      <c r="I303" s="536" t="n"/>
      <c r="J303" s="282">
        <f>(H303-I303)/I303</f>
        <v/>
      </c>
      <c r="K303" s="535">
        <f>H303*1.085</f>
        <v/>
      </c>
      <c r="L303" s="535">
        <f>I303*1.085</f>
        <v/>
      </c>
      <c r="M303" s="282">
        <f>(K303-L303)/L303</f>
        <v/>
      </c>
      <c r="N303" s="536">
        <f>E303/H303</f>
        <v/>
      </c>
      <c r="O303" s="536">
        <f>F303/I303</f>
        <v/>
      </c>
      <c r="P303" s="282">
        <f>(N303-O303)/O303</f>
        <v/>
      </c>
      <c r="Q303" s="536">
        <f>E303/K303</f>
        <v/>
      </c>
      <c r="R303" s="536">
        <f>F303/L303</f>
        <v/>
      </c>
      <c r="S303" s="282">
        <f>(Q303-R303)/R303</f>
        <v/>
      </c>
      <c r="T303" s="537" t="n"/>
      <c r="U303" s="537" t="n"/>
      <c r="V303" s="282">
        <f>(T303-U303)/U303</f>
        <v/>
      </c>
      <c r="W303" s="537" t="n"/>
      <c r="X303" s="537" t="n"/>
      <c r="Y303" s="282">
        <f>(W303-X303)/X303</f>
        <v/>
      </c>
      <c r="Z303" s="537">
        <f>E303/W303</f>
        <v/>
      </c>
      <c r="AA303" s="537">
        <f>F303/X303</f>
        <v/>
      </c>
      <c r="AB303" s="282">
        <f>(Z303-AA303)/AA303</f>
        <v/>
      </c>
      <c r="AC303" s="537" t="n"/>
      <c r="AD303" s="537" t="n"/>
      <c r="AE303" s="282">
        <f>(AC303-AD303)/AD303</f>
        <v/>
      </c>
      <c r="AF303" s="537" t="n"/>
      <c r="AG303" s="537" t="n"/>
      <c r="AH303">
        <f>(AF303-AG303)/AG303</f>
        <v/>
      </c>
      <c r="AI303" s="537" t="n"/>
      <c r="AJ303" s="537" t="n"/>
      <c r="AK303" s="282">
        <f>(AI303-AJ303)/AJ303</f>
        <v/>
      </c>
      <c r="AL303" s="286">
        <f>AF303/AI303</f>
        <v/>
      </c>
      <c r="AM303" s="286">
        <f>AG303/AJ303</f>
        <v/>
      </c>
      <c r="AN303" s="282">
        <f>(AL303-AM303)/AM303</f>
        <v/>
      </c>
    </row>
    <row customHeight="1" ht="15.75" r="304" s="452" spans="1:41">
      <c r="A304" s="279" t="n"/>
      <c r="B304" s="279" t="n"/>
      <c r="C304" s="280" t="n"/>
      <c r="D304" s="297" t="s">
        <v>177</v>
      </c>
      <c r="E304" s="535" t="n"/>
      <c r="F304" s="535" t="n">
        <v>19</v>
      </c>
      <c r="G304" s="282">
        <f>(E304-F304)/F304</f>
        <v/>
      </c>
      <c r="H304" s="535" t="n"/>
      <c r="I304" s="536" t="n">
        <v>0</v>
      </c>
      <c r="J304" s="282">
        <f>(H304-I304)/I304</f>
        <v/>
      </c>
      <c r="K304" s="535">
        <f>H304*1.085</f>
        <v/>
      </c>
      <c r="L304" s="535">
        <f>I304*1.085</f>
        <v/>
      </c>
      <c r="M304" s="282">
        <f>(K304-L304)/L304</f>
        <v/>
      </c>
      <c r="N304" s="536">
        <f>E304/H304</f>
        <v/>
      </c>
      <c r="O304" s="536">
        <f>F304/I304</f>
        <v/>
      </c>
      <c r="P304" s="282">
        <f>(N304-O304)/O304</f>
        <v/>
      </c>
      <c r="Q304" s="536">
        <f>E304/K304</f>
        <v/>
      </c>
      <c r="R304" s="536">
        <f>F304/L304</f>
        <v/>
      </c>
      <c r="S304" s="282">
        <f>(Q304-R304)/R304</f>
        <v/>
      </c>
      <c r="T304" s="537" t="n"/>
      <c r="U304" s="537" t="n">
        <v>13</v>
      </c>
      <c r="V304" s="282">
        <f>(T304-U304)/U304</f>
        <v/>
      </c>
      <c r="W304" s="537" t="n"/>
      <c r="X304" s="537" t="n">
        <v>1</v>
      </c>
      <c r="Y304" s="282">
        <f>(W304-X304)/X304</f>
        <v/>
      </c>
      <c r="Z304" s="537">
        <f>E304/W304</f>
        <v/>
      </c>
      <c r="AA304" s="537">
        <f>F304/X304</f>
        <v/>
      </c>
      <c r="AB304" s="282">
        <f>(Z304-AA304)/AA304</f>
        <v/>
      </c>
      <c r="AC304" s="537" t="n"/>
      <c r="AD304" s="537" t="n">
        <v>0</v>
      </c>
      <c r="AE304" s="282">
        <f>(AC304-AD304)/AD304</f>
        <v/>
      </c>
      <c r="AF304" s="537" t="n"/>
      <c r="AG304" s="537" t="n">
        <v>0</v>
      </c>
      <c r="AH304">
        <f>(AF304-AG304)/AG304</f>
        <v/>
      </c>
      <c r="AI304" s="537" t="n"/>
      <c r="AJ304" s="537" t="n">
        <v>0</v>
      </c>
      <c r="AK304" s="282">
        <f>(AI304-AJ304)/AJ304</f>
        <v/>
      </c>
      <c r="AL304" s="286">
        <f>AF304/AI304</f>
        <v/>
      </c>
      <c r="AM304" s="286">
        <f>AG304/AJ304</f>
        <v/>
      </c>
      <c r="AN304" s="282">
        <f>(AL304-AM304)/AM304</f>
        <v/>
      </c>
    </row>
    <row customHeight="1" ht="15.75" r="305" s="452" spans="1:41">
      <c r="A305" s="49" t="s">
        <v>52</v>
      </c>
      <c r="B305" s="49" t="s">
        <v>133</v>
      </c>
      <c r="C305" s="50">
        <f>C299+7</f>
        <v/>
      </c>
      <c r="D305" s="50" t="s">
        <v>60</v>
      </c>
      <c r="E305" s="566">
        <f>SUM(E306:E310)</f>
        <v/>
      </c>
      <c r="F305" s="566">
        <f>SUM(F306:F310)</f>
        <v/>
      </c>
      <c r="G305" s="52">
        <f>(E305-F305)/F305</f>
        <v/>
      </c>
      <c r="H305" s="566">
        <f>SUM(H306:H310)</f>
        <v/>
      </c>
      <c r="I305" s="566">
        <f>SUM(I306:I310)</f>
        <v/>
      </c>
      <c r="J305" s="52">
        <f>(H305-I305)/I305</f>
        <v/>
      </c>
      <c r="K305" s="566">
        <f>H305*1.085</f>
        <v/>
      </c>
      <c r="L305" s="566">
        <f>I305*1.085</f>
        <v/>
      </c>
      <c r="M305" s="52">
        <f>(K305-L305)/L305</f>
        <v/>
      </c>
      <c r="N305" s="567">
        <f>E305/H305</f>
        <v/>
      </c>
      <c r="O305" s="567">
        <f>F305/I305</f>
        <v/>
      </c>
      <c r="P305" s="52">
        <f>(N305-O305)/O305</f>
        <v/>
      </c>
      <c r="Q305" s="567">
        <f>E305/K305</f>
        <v/>
      </c>
      <c r="R305" s="567">
        <f>F305/L305</f>
        <v/>
      </c>
      <c r="S305" s="52">
        <f>(Q305-R305)/R305</f>
        <v/>
      </c>
      <c r="T305" s="568">
        <f>SUM(T306:T310)</f>
        <v/>
      </c>
      <c r="U305" s="568">
        <f>SUM(U306:U310)</f>
        <v/>
      </c>
      <c r="V305" s="52">
        <f>(T305-U305)/U305</f>
        <v/>
      </c>
      <c r="W305" s="568">
        <f>SUM(W306:W310)</f>
        <v/>
      </c>
      <c r="X305" s="568">
        <f>SUM(X306:X310)</f>
        <v/>
      </c>
      <c r="Y305" s="52">
        <f>(W305-X305)/X305</f>
        <v/>
      </c>
      <c r="Z305" s="566">
        <f>E305/W305</f>
        <v/>
      </c>
      <c r="AA305" s="568">
        <f>F305/X305</f>
        <v/>
      </c>
      <c r="AB305" s="52">
        <f>(Z305-AA305)/AA305</f>
        <v/>
      </c>
      <c r="AC305" s="568">
        <f>SUM(AC306:AC310)</f>
        <v/>
      </c>
      <c r="AD305" s="568">
        <f>SUM(AD306:AD310)</f>
        <v/>
      </c>
      <c r="AE305" s="52">
        <f>(AC305-AD305)/AD305</f>
        <v/>
      </c>
      <c r="AF305" s="568">
        <f>SUM(AF306:AF310)</f>
        <v/>
      </c>
      <c r="AG305" s="568">
        <f>SUM(AG306:AG310)</f>
        <v/>
      </c>
      <c r="AH305" s="67">
        <f>(AF305-AG305)/AG305</f>
        <v/>
      </c>
      <c r="AI305" s="568">
        <f>SUM(AI306:AI310)</f>
        <v/>
      </c>
      <c r="AJ305" s="568">
        <f>SUM(AJ306:AJ310)</f>
        <v/>
      </c>
      <c r="AK305" s="52">
        <f>(AI305-AJ305)/AJ305</f>
        <v/>
      </c>
      <c r="AL305" s="82">
        <f>AF305/AI305</f>
        <v/>
      </c>
      <c r="AM305" s="82">
        <f>AG305/AJ305</f>
        <v/>
      </c>
      <c r="AN305" s="52">
        <f>(AL305-AM305)/AM305</f>
        <v/>
      </c>
    </row>
    <row customHeight="1" ht="15.75" r="306" s="452" spans="1:41">
      <c r="A306" s="279" t="n"/>
      <c r="B306" s="279" t="n"/>
      <c r="C306" s="280" t="n"/>
      <c r="D306" s="280" t="n"/>
      <c r="E306" s="535" t="n"/>
      <c r="F306" s="535" t="n"/>
      <c r="G306" s="282">
        <f>(E306-F306)/F306</f>
        <v/>
      </c>
      <c r="H306" s="535" t="n"/>
      <c r="I306" s="536" t="n"/>
      <c r="J306" s="282">
        <f>(H306-I306)/I306</f>
        <v/>
      </c>
      <c r="K306" s="535">
        <f>H306*1.085</f>
        <v/>
      </c>
      <c r="L306" s="535">
        <f>I306*1.085</f>
        <v/>
      </c>
      <c r="M306" s="282">
        <f>(K306-L306)/L306</f>
        <v/>
      </c>
      <c r="N306" s="536">
        <f>E306/H306</f>
        <v/>
      </c>
      <c r="O306" s="536">
        <f>F306/I306</f>
        <v/>
      </c>
      <c r="P306" s="282">
        <f>(N306-O306)/O306</f>
        <v/>
      </c>
      <c r="Q306" s="536">
        <f>E306/K306</f>
        <v/>
      </c>
      <c r="R306" s="536">
        <f>F306/L306</f>
        <v/>
      </c>
      <c r="S306" s="282">
        <f>(Q306-R306)/R306</f>
        <v/>
      </c>
      <c r="T306" s="537" t="n"/>
      <c r="U306" s="537" t="n"/>
      <c r="V306" s="282">
        <f>(T306-U306)/U306</f>
        <v/>
      </c>
      <c r="W306" s="537" t="n"/>
      <c r="X306" s="537" t="n"/>
      <c r="Y306" s="282">
        <f>(W306-X306)/X306</f>
        <v/>
      </c>
      <c r="Z306" s="537">
        <f>E306/W306</f>
        <v/>
      </c>
      <c r="AA306" s="537">
        <f>F306/X306</f>
        <v/>
      </c>
      <c r="AB306" s="282">
        <f>(Z306-AA306)/AA306</f>
        <v/>
      </c>
      <c r="AC306" s="537" t="n"/>
      <c r="AD306" s="537" t="n"/>
      <c r="AE306" s="282">
        <f>(AC306-AD306)/AD306</f>
        <v/>
      </c>
      <c r="AF306" s="537" t="n"/>
      <c r="AG306" s="537" t="n"/>
      <c r="AH306">
        <f>(AF306-AG306)/AG306</f>
        <v/>
      </c>
      <c r="AI306" s="537" t="n"/>
      <c r="AJ306" s="537" t="n"/>
      <c r="AK306" s="282">
        <f>(AI306-AJ306)/AJ306</f>
        <v/>
      </c>
      <c r="AL306" s="286">
        <f>AF306/AI306</f>
        <v/>
      </c>
      <c r="AM306" s="286">
        <f>AG306/AJ306</f>
        <v/>
      </c>
      <c r="AN306" s="282">
        <f>(AL306-AM306)/AM306</f>
        <v/>
      </c>
    </row>
    <row customHeight="1" ht="15.75" r="307" s="452" spans="1:41">
      <c r="A307" s="279" t="n"/>
      <c r="B307" s="279" t="n"/>
      <c r="C307" s="280" t="n"/>
      <c r="D307" s="280" t="n"/>
      <c r="E307" s="535" t="n"/>
      <c r="F307" s="535" t="n"/>
      <c r="G307" s="282">
        <f>(E307-F307)/F307</f>
        <v/>
      </c>
      <c r="H307" s="535" t="n"/>
      <c r="I307" s="536" t="n"/>
      <c r="J307" s="282">
        <f>(H307-I307)/I307</f>
        <v/>
      </c>
      <c r="K307" s="535">
        <f>H307*1.085</f>
        <v/>
      </c>
      <c r="L307" s="535">
        <f>I307*1.085</f>
        <v/>
      </c>
      <c r="M307" s="282">
        <f>(K307-L307)/L307</f>
        <v/>
      </c>
      <c r="N307" s="536">
        <f>E307/H307</f>
        <v/>
      </c>
      <c r="O307" s="536">
        <f>F307/I307</f>
        <v/>
      </c>
      <c r="P307" s="282">
        <f>(N307-O307)/O307</f>
        <v/>
      </c>
      <c r="Q307" s="536">
        <f>E307/K307</f>
        <v/>
      </c>
      <c r="R307" s="536">
        <f>F307/L307</f>
        <v/>
      </c>
      <c r="S307" s="282">
        <f>(Q307-R307)/R307</f>
        <v/>
      </c>
      <c r="T307" s="537" t="n"/>
      <c r="U307" s="537" t="n"/>
      <c r="V307" s="282">
        <f>(T307-U307)/U307</f>
        <v/>
      </c>
      <c r="W307" s="537" t="n"/>
      <c r="X307" s="537" t="n"/>
      <c r="Y307" s="282">
        <f>(W307-X307)/X307</f>
        <v/>
      </c>
      <c r="Z307" s="537">
        <f>E307/W307</f>
        <v/>
      </c>
      <c r="AA307" s="537">
        <f>F307/X307</f>
        <v/>
      </c>
      <c r="AB307" s="282">
        <f>(Z307-AA307)/AA307</f>
        <v/>
      </c>
      <c r="AC307" s="537" t="n"/>
      <c r="AD307" s="537" t="n"/>
      <c r="AE307" s="282">
        <f>(AC307-AD307)/AD307</f>
        <v/>
      </c>
      <c r="AF307" s="537" t="n"/>
      <c r="AG307" s="537" t="n"/>
      <c r="AH307">
        <f>(AF307-AG307)/AG307</f>
        <v/>
      </c>
      <c r="AI307" s="537" t="n"/>
      <c r="AJ307" s="537" t="n"/>
      <c r="AK307" s="282">
        <f>(AI307-AJ307)/AJ307</f>
        <v/>
      </c>
      <c r="AL307" s="286">
        <f>AF307/AI307</f>
        <v/>
      </c>
      <c r="AM307" s="286">
        <f>AG307/AJ307</f>
        <v/>
      </c>
      <c r="AN307" s="282">
        <f>(AL307-AM307)/AM307</f>
        <v/>
      </c>
    </row>
    <row customHeight="1" ht="15.75" r="308" s="452" spans="1:41">
      <c r="A308" s="279" t="n"/>
      <c r="B308" s="279" t="n"/>
      <c r="C308" s="280" t="n"/>
      <c r="D308" s="280" t="n"/>
      <c r="E308" s="535" t="n"/>
      <c r="F308" s="535" t="n"/>
      <c r="G308" s="282">
        <f>(E308-F308)/F308</f>
        <v/>
      </c>
      <c r="H308" s="535" t="n"/>
      <c r="I308" s="536" t="n"/>
      <c r="J308" s="282">
        <f>(H308-I308)/I308</f>
        <v/>
      </c>
      <c r="K308" s="535">
        <f>H308*1.085</f>
        <v/>
      </c>
      <c r="L308" s="535">
        <f>I308*1.085</f>
        <v/>
      </c>
      <c r="M308" s="282">
        <f>(K308-L308)/L308</f>
        <v/>
      </c>
      <c r="N308" s="536">
        <f>E308/H308</f>
        <v/>
      </c>
      <c r="O308" s="536">
        <f>F308/I308</f>
        <v/>
      </c>
      <c r="P308" s="282">
        <f>(N308-O308)/O308</f>
        <v/>
      </c>
      <c r="Q308" s="536">
        <f>E308/K308</f>
        <v/>
      </c>
      <c r="R308" s="536">
        <f>F308/L308</f>
        <v/>
      </c>
      <c r="S308" s="282">
        <f>(Q308-R308)/R308</f>
        <v/>
      </c>
      <c r="T308" s="537" t="n"/>
      <c r="U308" s="537" t="n"/>
      <c r="V308" s="282">
        <f>(T308-U308)/U308</f>
        <v/>
      </c>
      <c r="W308" s="537" t="n"/>
      <c r="X308" s="537" t="n"/>
      <c r="Y308" s="282">
        <f>(W308-X308)/X308</f>
        <v/>
      </c>
      <c r="Z308" s="537">
        <f>E308/W308</f>
        <v/>
      </c>
      <c r="AA308" s="537">
        <f>F308/X308</f>
        <v/>
      </c>
      <c r="AB308" s="282">
        <f>(Z308-AA308)/AA308</f>
        <v/>
      </c>
      <c r="AC308" s="537" t="n"/>
      <c r="AD308" s="537" t="n"/>
      <c r="AE308" s="282">
        <f>(AC308-AD308)/AD308</f>
        <v/>
      </c>
      <c r="AF308" s="537" t="n"/>
      <c r="AG308" s="537" t="n"/>
      <c r="AH308">
        <f>(AF308-AG308)/AG308</f>
        <v/>
      </c>
      <c r="AI308" s="537" t="n"/>
      <c r="AJ308" s="537" t="n"/>
      <c r="AK308" s="282">
        <f>(AI308-AJ308)/AJ308</f>
        <v/>
      </c>
      <c r="AL308" s="286">
        <f>AF308/AI308</f>
        <v/>
      </c>
      <c r="AM308" s="286">
        <f>AG308/AJ308</f>
        <v/>
      </c>
      <c r="AN308" s="282">
        <f>(AL308-AM308)/AM308</f>
        <v/>
      </c>
    </row>
    <row customHeight="1" ht="15.75" r="309" s="452" spans="1:41">
      <c r="A309" s="279" t="n"/>
      <c r="B309" s="279" t="n"/>
      <c r="C309" s="280" t="n"/>
      <c r="D309" s="280" t="n"/>
      <c r="E309" s="535" t="n"/>
      <c r="F309" s="535" t="n"/>
      <c r="G309" s="282">
        <f>(E309-F309)/F309</f>
        <v/>
      </c>
      <c r="H309" s="535" t="n"/>
      <c r="I309" s="536" t="n"/>
      <c r="J309" s="282">
        <f>(H309-I309)/I309</f>
        <v/>
      </c>
      <c r="K309" s="535">
        <f>H309*1.085</f>
        <v/>
      </c>
      <c r="L309" s="535">
        <f>I309*1.085</f>
        <v/>
      </c>
      <c r="M309" s="282">
        <f>(K309-L309)/L309</f>
        <v/>
      </c>
      <c r="N309" s="536">
        <f>E309/H309</f>
        <v/>
      </c>
      <c r="O309" s="536">
        <f>F309/I309</f>
        <v/>
      </c>
      <c r="P309" s="282">
        <f>(N309-O309)/O309</f>
        <v/>
      </c>
      <c r="Q309" s="536">
        <f>E309/K309</f>
        <v/>
      </c>
      <c r="R309" s="536">
        <f>F309/L309</f>
        <v/>
      </c>
      <c r="S309" s="282">
        <f>(Q309-R309)/R309</f>
        <v/>
      </c>
      <c r="T309" s="537" t="n"/>
      <c r="U309" s="537" t="n"/>
      <c r="V309" s="282">
        <f>(T309-U309)/U309</f>
        <v/>
      </c>
      <c r="W309" s="537" t="n"/>
      <c r="X309" s="537" t="n"/>
      <c r="Y309" s="282">
        <f>(W309-X309)/X309</f>
        <v/>
      </c>
      <c r="Z309" s="537">
        <f>E309/W309</f>
        <v/>
      </c>
      <c r="AA309" s="537">
        <f>F309/X309</f>
        <v/>
      </c>
      <c r="AB309" s="282">
        <f>(Z309-AA309)/AA309</f>
        <v/>
      </c>
      <c r="AC309" s="537" t="n"/>
      <c r="AD309" s="537" t="n"/>
      <c r="AE309" s="282">
        <f>(AC309-AD309)/AD309</f>
        <v/>
      </c>
      <c r="AF309" s="537" t="n"/>
      <c r="AG309" s="537" t="n"/>
      <c r="AH309">
        <f>(AF309-AG309)/AG309</f>
        <v/>
      </c>
      <c r="AI309" s="537" t="n"/>
      <c r="AJ309" s="537" t="n"/>
      <c r="AK309" s="282">
        <f>(AI309-AJ309)/AJ309</f>
        <v/>
      </c>
      <c r="AL309" s="286">
        <f>AF309/AI309</f>
        <v/>
      </c>
      <c r="AM309" s="286">
        <f>AG309/AJ309</f>
        <v/>
      </c>
      <c r="AN309" s="282">
        <f>(AL309-AM309)/AM309</f>
        <v/>
      </c>
    </row>
    <row customHeight="1" ht="15.75" r="310" s="452" spans="1:41">
      <c r="A310" s="279" t="n"/>
      <c r="B310" s="279" t="n"/>
      <c r="C310" s="280" t="n"/>
      <c r="D310" s="297" t="s">
        <v>177</v>
      </c>
      <c r="E310" s="535" t="n"/>
      <c r="F310" s="535" t="n">
        <v>164</v>
      </c>
      <c r="G310" s="282">
        <f>(E310-F310)/F310</f>
        <v/>
      </c>
      <c r="H310" s="535" t="n"/>
      <c r="I310" s="536" t="n">
        <v>0</v>
      </c>
      <c r="J310" s="282">
        <f>(H310-I310)/I310</f>
        <v/>
      </c>
      <c r="K310" s="535">
        <f>H310*1.085</f>
        <v/>
      </c>
      <c r="L310" s="535">
        <f>I310*1.085</f>
        <v/>
      </c>
      <c r="M310" s="282">
        <f>(K310-L310)/L310</f>
        <v/>
      </c>
      <c r="N310" s="536">
        <f>E310/H310</f>
        <v/>
      </c>
      <c r="O310" s="536">
        <f>F310/I310</f>
        <v/>
      </c>
      <c r="P310" s="282">
        <f>(N310-O310)/O310</f>
        <v/>
      </c>
      <c r="Q310" s="536">
        <f>E310/K310</f>
        <v/>
      </c>
      <c r="R310" s="536">
        <f>F310/L310</f>
        <v/>
      </c>
      <c r="S310" s="282">
        <f>(Q310-R310)/R310</f>
        <v/>
      </c>
      <c r="T310" s="537" t="n"/>
      <c r="U310" s="537" t="n">
        <v>387</v>
      </c>
      <c r="V310" s="282">
        <f>(T310-U310)/U310</f>
        <v/>
      </c>
      <c r="W310" s="537" t="n"/>
      <c r="X310" s="537" t="n">
        <v>1</v>
      </c>
      <c r="Y310" s="282">
        <f>(W310-X310)/X310</f>
        <v/>
      </c>
      <c r="Z310" s="537">
        <f>E310/W310</f>
        <v/>
      </c>
      <c r="AA310" s="537">
        <f>F310/X310</f>
        <v/>
      </c>
      <c r="AB310" s="282">
        <f>(Z310-AA310)/AA310</f>
        <v/>
      </c>
      <c r="AC310" s="537" t="n"/>
      <c r="AD310" s="537" t="n">
        <v>0</v>
      </c>
      <c r="AE310" s="282">
        <f>(AC310-AD310)/AD310</f>
        <v/>
      </c>
      <c r="AF310" s="537" t="n"/>
      <c r="AG310" s="537" t="n">
        <v>0</v>
      </c>
      <c r="AH310">
        <f>(AF310-AG310)/AG310</f>
        <v/>
      </c>
      <c r="AI310" s="537" t="n"/>
      <c r="AJ310" s="537" t="n">
        <v>0</v>
      </c>
      <c r="AK310" s="282">
        <f>(AI310-AJ310)/AJ310</f>
        <v/>
      </c>
      <c r="AL310" s="286">
        <f>AF310/AI310</f>
        <v/>
      </c>
      <c r="AM310" s="286">
        <f>AG310/AJ310</f>
        <v/>
      </c>
      <c r="AN310" s="282">
        <f>(AL310-AM310)/AM310</f>
        <v/>
      </c>
    </row>
    <row customHeight="1" ht="15.75" r="311" s="452" spans="1:41">
      <c r="A311" s="49" t="s">
        <v>52</v>
      </c>
      <c r="B311" s="49" t="s">
        <v>134</v>
      </c>
      <c r="C311" s="50">
        <f>C305+7</f>
        <v/>
      </c>
      <c r="D311" s="50" t="s">
        <v>60</v>
      </c>
      <c r="E311" s="566">
        <f>SUM(E312:E316)</f>
        <v/>
      </c>
      <c r="F311" s="566">
        <f>SUM(F312:F316)</f>
        <v/>
      </c>
      <c r="G311" s="52">
        <f>(E311-F311)/F311</f>
        <v/>
      </c>
      <c r="H311" s="566">
        <f>SUM(H312:H316)</f>
        <v/>
      </c>
      <c r="I311" s="566">
        <f>SUM(I312:I316)</f>
        <v/>
      </c>
      <c r="J311" s="52">
        <f>(H311-I311)/I311</f>
        <v/>
      </c>
      <c r="K311" s="566">
        <f>H311*1.085</f>
        <v/>
      </c>
      <c r="L311" s="566">
        <f>I311*1.085</f>
        <v/>
      </c>
      <c r="M311" s="52">
        <f>(K311-L311)/L311</f>
        <v/>
      </c>
      <c r="N311" s="567">
        <f>E311/H311</f>
        <v/>
      </c>
      <c r="O311" s="567">
        <f>F311/I311</f>
        <v/>
      </c>
      <c r="P311" s="52">
        <f>(N311-O311)/O311</f>
        <v/>
      </c>
      <c r="Q311" s="567">
        <f>E311/K311</f>
        <v/>
      </c>
      <c r="R311" s="567">
        <f>F311/L311</f>
        <v/>
      </c>
      <c r="S311" s="52">
        <f>(Q311-R311)/R311</f>
        <v/>
      </c>
      <c r="T311" s="568">
        <f>SUM(T312:T316)</f>
        <v/>
      </c>
      <c r="U311" s="568">
        <f>SUM(U312:U316)</f>
        <v/>
      </c>
      <c r="V311" s="52">
        <f>(T311-U311)/U311</f>
        <v/>
      </c>
      <c r="W311" s="568">
        <f>SUM(W312:W316)</f>
        <v/>
      </c>
      <c r="X311" s="568">
        <f>SUM(X312:X316)</f>
        <v/>
      </c>
      <c r="Y311" s="52">
        <f>(W311-X311)/X311</f>
        <v/>
      </c>
      <c r="Z311" s="566">
        <f>E311/W311</f>
        <v/>
      </c>
      <c r="AA311" s="568">
        <f>F311/X311</f>
        <v/>
      </c>
      <c r="AB311" s="52">
        <f>(Z311-AA311)/AA311</f>
        <v/>
      </c>
      <c r="AC311" s="568">
        <f>SUM(AC312:AC316)</f>
        <v/>
      </c>
      <c r="AD311" s="568">
        <f>SUM(AD312:AD316)</f>
        <v/>
      </c>
      <c r="AE311" s="52">
        <f>(AC311-AD311)/AD311</f>
        <v/>
      </c>
      <c r="AF311" s="568">
        <f>SUM(AF312:AF316)</f>
        <v/>
      </c>
      <c r="AG311" s="568">
        <f>SUM(AG312:AG316)</f>
        <v/>
      </c>
      <c r="AH311" s="67">
        <f>(AF311-AG311)/AG311</f>
        <v/>
      </c>
      <c r="AI311" s="568">
        <f>SUM(AI312:AI316)</f>
        <v/>
      </c>
      <c r="AJ311" s="568">
        <f>SUM(AJ312:AJ316)</f>
        <v/>
      </c>
      <c r="AK311" s="52">
        <f>(AI311-AJ311)/AJ311</f>
        <v/>
      </c>
      <c r="AL311" s="82">
        <f>AF311/AI311</f>
        <v/>
      </c>
      <c r="AM311" s="82">
        <f>AG311/AJ311</f>
        <v/>
      </c>
      <c r="AN311" s="52">
        <f>(AL311-AM311)/AM311</f>
        <v/>
      </c>
    </row>
    <row customHeight="1" ht="15.75" r="312" s="452" spans="1:41">
      <c r="A312" s="279" t="n"/>
      <c r="B312" s="279" t="n"/>
      <c r="C312" s="280" t="n"/>
      <c r="D312" s="280" t="n"/>
      <c r="E312" s="535" t="n"/>
      <c r="F312" s="535" t="n"/>
      <c r="G312" s="282">
        <f>(E312-F312)/F312</f>
        <v/>
      </c>
      <c r="H312" s="535" t="n"/>
      <c r="I312" s="536" t="n"/>
      <c r="J312" s="282">
        <f>(H312-I312)/I312</f>
        <v/>
      </c>
      <c r="K312" s="535">
        <f>H312*1.085</f>
        <v/>
      </c>
      <c r="L312" s="535">
        <f>I312*1.085</f>
        <v/>
      </c>
      <c r="M312" s="282">
        <f>(K312-L312)/L312</f>
        <v/>
      </c>
      <c r="N312" s="536">
        <f>E312/H312</f>
        <v/>
      </c>
      <c r="O312" s="536">
        <f>F312/I312</f>
        <v/>
      </c>
      <c r="P312" s="282">
        <f>(N312-O312)/O312</f>
        <v/>
      </c>
      <c r="Q312" s="536">
        <f>E312/K312</f>
        <v/>
      </c>
      <c r="R312" s="536">
        <f>F312/L312</f>
        <v/>
      </c>
      <c r="S312" s="282">
        <f>(Q312-R312)/R312</f>
        <v/>
      </c>
      <c r="T312" s="537" t="n"/>
      <c r="U312" s="537" t="n"/>
      <c r="V312" s="282">
        <f>(T312-U312)/U312</f>
        <v/>
      </c>
      <c r="W312" s="537" t="n"/>
      <c r="X312" s="537" t="n"/>
      <c r="Y312" s="282">
        <f>(W312-X312)/X312</f>
        <v/>
      </c>
      <c r="Z312" s="537">
        <f>E312/W312</f>
        <v/>
      </c>
      <c r="AA312" s="537">
        <f>F312/X312</f>
        <v/>
      </c>
      <c r="AB312" s="282">
        <f>(Z312-AA312)/AA312</f>
        <v/>
      </c>
      <c r="AC312" s="537" t="n"/>
      <c r="AD312" s="537" t="n"/>
      <c r="AE312" s="282">
        <f>(AC312-AD312)/AD312</f>
        <v/>
      </c>
      <c r="AF312" s="537" t="n"/>
      <c r="AG312" s="537" t="n"/>
      <c r="AH312">
        <f>(AF312-AG312)/AG312</f>
        <v/>
      </c>
      <c r="AI312" s="537" t="n"/>
      <c r="AJ312" s="537" t="n"/>
      <c r="AK312" s="282">
        <f>(AI312-AJ312)/AJ312</f>
        <v/>
      </c>
      <c r="AL312" s="286">
        <f>AF312/AI312</f>
        <v/>
      </c>
      <c r="AM312" s="286">
        <f>AG312/AJ312</f>
        <v/>
      </c>
      <c r="AN312" s="282">
        <f>(AL312-AM312)/AM312</f>
        <v/>
      </c>
    </row>
    <row customHeight="1" ht="15.75" r="313" s="452" spans="1:41">
      <c r="A313" s="279" t="n"/>
      <c r="B313" s="279" t="n"/>
      <c r="C313" s="280" t="n"/>
      <c r="D313" s="280" t="n"/>
      <c r="E313" s="535" t="n"/>
      <c r="F313" s="535" t="n"/>
      <c r="G313" s="282">
        <f>(E313-F313)/F313</f>
        <v/>
      </c>
      <c r="H313" s="535" t="n"/>
      <c r="I313" s="536" t="n"/>
      <c r="J313" s="282">
        <f>(H313-I313)/I313</f>
        <v/>
      </c>
      <c r="K313" s="535">
        <f>H313*1.085</f>
        <v/>
      </c>
      <c r="L313" s="535">
        <f>I313*1.085</f>
        <v/>
      </c>
      <c r="M313" s="282">
        <f>(K313-L313)/L313</f>
        <v/>
      </c>
      <c r="N313" s="536">
        <f>E313/H313</f>
        <v/>
      </c>
      <c r="O313" s="536">
        <f>F313/I313</f>
        <v/>
      </c>
      <c r="P313" s="282">
        <f>(N313-O313)/O313</f>
        <v/>
      </c>
      <c r="Q313" s="536">
        <f>E313/K313</f>
        <v/>
      </c>
      <c r="R313" s="536">
        <f>F313/L313</f>
        <v/>
      </c>
      <c r="S313" s="282">
        <f>(Q313-R313)/R313</f>
        <v/>
      </c>
      <c r="T313" s="537" t="n"/>
      <c r="U313" s="537" t="n"/>
      <c r="V313" s="282">
        <f>(T313-U313)/U313</f>
        <v/>
      </c>
      <c r="W313" s="537" t="n"/>
      <c r="X313" s="537" t="n"/>
      <c r="Y313" s="282">
        <f>(W313-X313)/X313</f>
        <v/>
      </c>
      <c r="Z313" s="537">
        <f>E313/W313</f>
        <v/>
      </c>
      <c r="AA313" s="537">
        <f>F313/X313</f>
        <v/>
      </c>
      <c r="AB313" s="282">
        <f>(Z313-AA313)/AA313</f>
        <v/>
      </c>
      <c r="AC313" s="537" t="n"/>
      <c r="AD313" s="537" t="n"/>
      <c r="AE313" s="282">
        <f>(AC313-AD313)/AD313</f>
        <v/>
      </c>
      <c r="AF313" s="537" t="n"/>
      <c r="AG313" s="537" t="n"/>
      <c r="AH313">
        <f>(AF313-AG313)/AG313</f>
        <v/>
      </c>
      <c r="AI313" s="537" t="n"/>
      <c r="AJ313" s="537" t="n"/>
      <c r="AK313" s="282">
        <f>(AI313-AJ313)/AJ313</f>
        <v/>
      </c>
      <c r="AL313" s="286">
        <f>AF313/AI313</f>
        <v/>
      </c>
      <c r="AM313" s="286">
        <f>AG313/AJ313</f>
        <v/>
      </c>
      <c r="AN313" s="282">
        <f>(AL313-AM313)/AM313</f>
        <v/>
      </c>
    </row>
    <row customHeight="1" ht="15.75" r="314" s="452" spans="1:41">
      <c r="A314" s="279" t="n"/>
      <c r="B314" s="279" t="n"/>
      <c r="C314" s="280" t="n"/>
      <c r="D314" s="280" t="n"/>
      <c r="E314" s="535" t="n"/>
      <c r="F314" s="535" t="n"/>
      <c r="G314" s="282">
        <f>(E314-F314)/F314</f>
        <v/>
      </c>
      <c r="H314" s="535" t="n"/>
      <c r="I314" s="536" t="n"/>
      <c r="J314" s="282">
        <f>(H314-I314)/I314</f>
        <v/>
      </c>
      <c r="K314" s="535">
        <f>H314*1.085</f>
        <v/>
      </c>
      <c r="L314" s="535">
        <f>I314*1.085</f>
        <v/>
      </c>
      <c r="M314" s="282">
        <f>(K314-L314)/L314</f>
        <v/>
      </c>
      <c r="N314" s="536">
        <f>E314/H314</f>
        <v/>
      </c>
      <c r="O314" s="536">
        <f>F314/I314</f>
        <v/>
      </c>
      <c r="P314" s="282">
        <f>(N314-O314)/O314</f>
        <v/>
      </c>
      <c r="Q314" s="536">
        <f>E314/K314</f>
        <v/>
      </c>
      <c r="R314" s="536">
        <f>F314/L314</f>
        <v/>
      </c>
      <c r="S314" s="282">
        <f>(Q314-R314)/R314</f>
        <v/>
      </c>
      <c r="T314" s="537" t="n"/>
      <c r="U314" s="537" t="n"/>
      <c r="V314" s="282">
        <f>(T314-U314)/U314</f>
        <v/>
      </c>
      <c r="W314" s="537" t="n"/>
      <c r="X314" s="537" t="n"/>
      <c r="Y314" s="282">
        <f>(W314-X314)/X314</f>
        <v/>
      </c>
      <c r="Z314" s="537">
        <f>E314/W314</f>
        <v/>
      </c>
      <c r="AA314" s="537">
        <f>F314/X314</f>
        <v/>
      </c>
      <c r="AB314" s="282">
        <f>(Z314-AA314)/AA314</f>
        <v/>
      </c>
      <c r="AC314" s="537" t="n"/>
      <c r="AD314" s="537" t="n"/>
      <c r="AE314" s="282">
        <f>(AC314-AD314)/AD314</f>
        <v/>
      </c>
      <c r="AF314" s="537" t="n"/>
      <c r="AG314" s="537" t="n"/>
      <c r="AH314">
        <f>(AF314-AG314)/AG314</f>
        <v/>
      </c>
      <c r="AI314" s="537" t="n"/>
      <c r="AJ314" s="537" t="n"/>
      <c r="AK314" s="282">
        <f>(AI314-AJ314)/AJ314</f>
        <v/>
      </c>
      <c r="AL314" s="286">
        <f>AF314/AI314</f>
        <v/>
      </c>
      <c r="AM314" s="286">
        <f>AG314/AJ314</f>
        <v/>
      </c>
      <c r="AN314" s="282">
        <f>(AL314-AM314)/AM314</f>
        <v/>
      </c>
    </row>
    <row customHeight="1" ht="15.75" r="315" s="452" spans="1:41">
      <c r="A315" s="279" t="n"/>
      <c r="B315" s="279" t="n"/>
      <c r="C315" s="280" t="n"/>
      <c r="D315" s="280" t="n"/>
      <c r="E315" s="535" t="n"/>
      <c r="F315" s="535" t="n"/>
      <c r="G315" s="282">
        <f>(E315-F315)/F315</f>
        <v/>
      </c>
      <c r="H315" s="535" t="n"/>
      <c r="I315" s="536" t="n"/>
      <c r="J315" s="282">
        <f>(H315-I315)/I315</f>
        <v/>
      </c>
      <c r="K315" s="535">
        <f>H315*1.085</f>
        <v/>
      </c>
      <c r="L315" s="535">
        <f>I315*1.085</f>
        <v/>
      </c>
      <c r="M315" s="282">
        <f>(K315-L315)/L315</f>
        <v/>
      </c>
      <c r="N315" s="536">
        <f>E315/H315</f>
        <v/>
      </c>
      <c r="O315" s="536">
        <f>F315/I315</f>
        <v/>
      </c>
      <c r="P315" s="282">
        <f>(N315-O315)/O315</f>
        <v/>
      </c>
      <c r="Q315" s="536">
        <f>E315/K315</f>
        <v/>
      </c>
      <c r="R315" s="536">
        <f>F315/L315</f>
        <v/>
      </c>
      <c r="S315" s="282">
        <f>(Q315-R315)/R315</f>
        <v/>
      </c>
      <c r="T315" s="537" t="n"/>
      <c r="U315" s="537" t="n"/>
      <c r="V315" s="282">
        <f>(T315-U315)/U315</f>
        <v/>
      </c>
      <c r="W315" s="537" t="n"/>
      <c r="X315" s="537" t="n"/>
      <c r="Y315" s="282">
        <f>(W315-X315)/X315</f>
        <v/>
      </c>
      <c r="Z315" s="537">
        <f>E315/W315</f>
        <v/>
      </c>
      <c r="AA315" s="537">
        <f>F315/X315</f>
        <v/>
      </c>
      <c r="AB315" s="282">
        <f>(Z315-AA315)/AA315</f>
        <v/>
      </c>
      <c r="AC315" s="537" t="n"/>
      <c r="AD315" s="537" t="n"/>
      <c r="AE315" s="282">
        <f>(AC315-AD315)/AD315</f>
        <v/>
      </c>
      <c r="AF315" s="537" t="n"/>
      <c r="AG315" s="537" t="n"/>
      <c r="AH315">
        <f>(AF315-AG315)/AG315</f>
        <v/>
      </c>
      <c r="AI315" s="537" t="n"/>
      <c r="AJ315" s="537" t="n"/>
      <c r="AK315" s="282">
        <f>(AI315-AJ315)/AJ315</f>
        <v/>
      </c>
      <c r="AL315" s="286">
        <f>AF315/AI315</f>
        <v/>
      </c>
      <c r="AM315" s="286">
        <f>AG315/AJ315</f>
        <v/>
      </c>
      <c r="AN315" s="282">
        <f>(AL315-AM315)/AM315</f>
        <v/>
      </c>
    </row>
    <row customHeight="1" ht="15.75" r="316" s="452" spans="1:41">
      <c r="A316" s="279" t="n"/>
      <c r="B316" s="279" t="n"/>
      <c r="C316" s="280" t="n"/>
      <c r="D316" s="297" t="s">
        <v>177</v>
      </c>
      <c r="E316" s="535" t="n"/>
      <c r="F316" s="535" t="n">
        <v>1047</v>
      </c>
      <c r="G316" s="282">
        <f>(E316-F316)/F316</f>
        <v/>
      </c>
      <c r="H316" s="535" t="n"/>
      <c r="I316" s="536" t="n">
        <v>13043</v>
      </c>
      <c r="J316" s="282">
        <f>(H316-I316)/I316</f>
        <v/>
      </c>
      <c r="K316" s="535">
        <f>H316*1.085</f>
        <v/>
      </c>
      <c r="L316" s="535">
        <f>I316*1.085</f>
        <v/>
      </c>
      <c r="M316" s="282">
        <f>(K316-L316)/L316</f>
        <v/>
      </c>
      <c r="N316" s="536">
        <f>E316/H316</f>
        <v/>
      </c>
      <c r="O316" s="536">
        <f>F316/I316</f>
        <v/>
      </c>
      <c r="P316" s="282">
        <f>(N316-O316)/O316</f>
        <v/>
      </c>
      <c r="Q316" s="536">
        <f>E316/K316</f>
        <v/>
      </c>
      <c r="R316" s="536">
        <f>F316/L316</f>
        <v/>
      </c>
      <c r="S316" s="282">
        <f>(Q316-R316)/R316</f>
        <v/>
      </c>
      <c r="T316" s="537" t="n"/>
      <c r="U316" s="537" t="n">
        <v>17464</v>
      </c>
      <c r="V316" s="282">
        <f>(T316-U316)/U316</f>
        <v/>
      </c>
      <c r="W316" s="537" t="n"/>
      <c r="X316" s="537" t="n">
        <v>10</v>
      </c>
      <c r="Y316" s="282">
        <f>(W316-X316)/X316</f>
        <v/>
      </c>
      <c r="Z316" s="537">
        <f>E316/W316</f>
        <v/>
      </c>
      <c r="AA316" s="537">
        <f>F316/X316</f>
        <v/>
      </c>
      <c r="AB316" s="282">
        <f>(Z316-AA316)/AA316</f>
        <v/>
      </c>
      <c r="AC316" s="537" t="n"/>
      <c r="AD316" s="537" t="n">
        <v>1252606</v>
      </c>
      <c r="AE316" s="282">
        <f>(AC316-AD316)/AD316</f>
        <v/>
      </c>
      <c r="AF316" s="537" t="n"/>
      <c r="AG316" s="537" t="n">
        <v>22214</v>
      </c>
      <c r="AH316">
        <f>(AF316-AG316)/AG316</f>
        <v/>
      </c>
      <c r="AI316" s="537" t="n"/>
      <c r="AJ316" s="537" t="n">
        <v>2088998</v>
      </c>
      <c r="AK316" s="282">
        <f>(AI316-AJ316)/AJ316</f>
        <v/>
      </c>
      <c r="AL316" s="286">
        <f>AF316/AI316</f>
        <v/>
      </c>
      <c r="AM316" s="286">
        <f>AG316/AJ316</f>
        <v/>
      </c>
      <c r="AN316" s="282">
        <f>(AL316-AM316)/AM316</f>
        <v/>
      </c>
    </row>
    <row customHeight="1" ht="15.75" r="317" s="452" spans="1:41">
      <c r="A317" s="49" t="s">
        <v>52</v>
      </c>
      <c r="B317" s="49" t="s">
        <v>135</v>
      </c>
      <c r="C317" s="50">
        <f>C311+7</f>
        <v/>
      </c>
      <c r="D317" s="50" t="s">
        <v>60</v>
      </c>
      <c r="E317" s="566">
        <f>SUM(E318:E322)</f>
        <v/>
      </c>
      <c r="F317" s="566">
        <f>SUM(F318:F322)</f>
        <v/>
      </c>
      <c r="G317" s="52">
        <f>(E317-F317)/F317</f>
        <v/>
      </c>
      <c r="H317" s="566">
        <f>SUM(H318:H322)</f>
        <v/>
      </c>
      <c r="I317" s="566">
        <f>SUM(I318:I322)</f>
        <v/>
      </c>
      <c r="J317" s="52">
        <f>(H317-I317)/I317</f>
        <v/>
      </c>
      <c r="K317" s="566">
        <f>H317*1.085</f>
        <v/>
      </c>
      <c r="L317" s="566">
        <f>I317*1.085</f>
        <v/>
      </c>
      <c r="M317" s="52">
        <f>(K317-L317)/L317</f>
        <v/>
      </c>
      <c r="N317" s="567">
        <f>E317/H317</f>
        <v/>
      </c>
      <c r="O317" s="567">
        <f>F317/I317</f>
        <v/>
      </c>
      <c r="P317" s="52">
        <f>(N317-O317)/O317</f>
        <v/>
      </c>
      <c r="Q317" s="567">
        <f>E317/K317</f>
        <v/>
      </c>
      <c r="R317" s="567">
        <f>F317/L317</f>
        <v/>
      </c>
      <c r="S317" s="52">
        <f>(Q317-R317)/R317</f>
        <v/>
      </c>
      <c r="T317" s="568">
        <f>SUM(T318:T322)</f>
        <v/>
      </c>
      <c r="U317" s="568">
        <f>SUM(U318:U322)</f>
        <v/>
      </c>
      <c r="V317" s="52">
        <f>(T317-U317)/U317</f>
        <v/>
      </c>
      <c r="W317" s="568">
        <f>SUM(W318:W322)</f>
        <v/>
      </c>
      <c r="X317" s="568">
        <f>SUM(X318:X322)</f>
        <v/>
      </c>
      <c r="Y317" s="52">
        <f>(W317-X317)/X317</f>
        <v/>
      </c>
      <c r="Z317" s="566">
        <f>E317/W317</f>
        <v/>
      </c>
      <c r="AA317" s="568">
        <f>F317/X317</f>
        <v/>
      </c>
      <c r="AB317" s="52">
        <f>(Z317-AA317)/AA317</f>
        <v/>
      </c>
      <c r="AC317" s="568">
        <f>SUM(AC318:AC322)</f>
        <v/>
      </c>
      <c r="AD317" s="568">
        <f>SUM(AD318:AD322)</f>
        <v/>
      </c>
      <c r="AE317" s="52">
        <f>(AC317-AD317)/AD317</f>
        <v/>
      </c>
      <c r="AF317" s="568">
        <f>SUM(AF318:AF322)</f>
        <v/>
      </c>
      <c r="AG317" s="568">
        <f>SUM(AG318:AG322)</f>
        <v/>
      </c>
      <c r="AH317" s="67">
        <f>(AF317-AG317)/AG317</f>
        <v/>
      </c>
      <c r="AI317" s="568">
        <f>SUM(AI318:AI322)</f>
        <v/>
      </c>
      <c r="AJ317" s="568">
        <f>SUM(AJ318:AJ322)</f>
        <v/>
      </c>
      <c r="AK317" s="52">
        <f>(AI317-AJ317)/AJ317</f>
        <v/>
      </c>
      <c r="AL317" s="82">
        <f>AF317/AI317</f>
        <v/>
      </c>
      <c r="AM317" s="82">
        <f>AG317/AJ317</f>
        <v/>
      </c>
      <c r="AN317" s="52">
        <f>(AL317-AM317)/AM317</f>
        <v/>
      </c>
    </row>
    <row customHeight="1" ht="15.75" r="318" s="452" spans="1:41">
      <c r="A318" s="279" t="n"/>
      <c r="B318" s="279" t="n"/>
      <c r="C318" s="280" t="n"/>
      <c r="D318" s="280" t="n"/>
      <c r="E318" s="535" t="n"/>
      <c r="F318" s="535" t="n"/>
      <c r="G318" s="282">
        <f>(E318-F318)/F318</f>
        <v/>
      </c>
      <c r="H318" s="535" t="n"/>
      <c r="I318" s="536" t="n"/>
      <c r="J318" s="282">
        <f>(H318-I318)/I318</f>
        <v/>
      </c>
      <c r="K318" s="535">
        <f>H318*1.085</f>
        <v/>
      </c>
      <c r="L318" s="535">
        <f>I318*1.085</f>
        <v/>
      </c>
      <c r="M318" s="282">
        <f>(K318-L318)/L318</f>
        <v/>
      </c>
      <c r="N318" s="536">
        <f>E318/H318</f>
        <v/>
      </c>
      <c r="O318" s="536">
        <f>F318/I318</f>
        <v/>
      </c>
      <c r="P318" s="282">
        <f>(N318-O318)/O318</f>
        <v/>
      </c>
      <c r="Q318" s="536">
        <f>E318/K318</f>
        <v/>
      </c>
      <c r="R318" s="536">
        <f>F318/L318</f>
        <v/>
      </c>
      <c r="S318" s="282">
        <f>(Q318-R318)/R318</f>
        <v/>
      </c>
      <c r="T318" s="537" t="n"/>
      <c r="U318" s="537" t="n"/>
      <c r="V318" s="282">
        <f>(T318-U318)/U318</f>
        <v/>
      </c>
      <c r="W318" s="537" t="n"/>
      <c r="X318" s="537" t="n"/>
      <c r="Y318" s="282">
        <f>(W318-X318)/X318</f>
        <v/>
      </c>
      <c r="Z318" s="537">
        <f>E318/W318</f>
        <v/>
      </c>
      <c r="AA318" s="537">
        <f>F318/X318</f>
        <v/>
      </c>
      <c r="AB318" s="282">
        <f>(Z318-AA318)/AA318</f>
        <v/>
      </c>
      <c r="AC318" s="537" t="n"/>
      <c r="AD318" s="537" t="n"/>
      <c r="AE318" s="282">
        <f>(AC318-AD318)/AD318</f>
        <v/>
      </c>
      <c r="AF318" s="537" t="n"/>
      <c r="AG318" s="537" t="n"/>
      <c r="AH318">
        <f>(AF318-AG318)/AG318</f>
        <v/>
      </c>
      <c r="AI318" s="537" t="n"/>
      <c r="AJ318" s="537" t="n"/>
      <c r="AK318" s="282">
        <f>(AI318-AJ318)/AJ318</f>
        <v/>
      </c>
      <c r="AL318" s="286">
        <f>AF318/AI318</f>
        <v/>
      </c>
      <c r="AM318" s="286">
        <f>AG318/AJ318</f>
        <v/>
      </c>
      <c r="AN318" s="282">
        <f>(AL318-AM318)/AM318</f>
        <v/>
      </c>
    </row>
    <row customHeight="1" ht="15.75" r="319" s="452" spans="1:41">
      <c r="A319" s="279" t="n"/>
      <c r="B319" s="279" t="n"/>
      <c r="C319" s="280" t="n"/>
      <c r="D319" s="280" t="n"/>
      <c r="E319" s="535" t="n"/>
      <c r="F319" s="535" t="n"/>
      <c r="G319" s="282">
        <f>(E319-F319)/F319</f>
        <v/>
      </c>
      <c r="H319" s="535" t="n"/>
      <c r="I319" s="536" t="n"/>
      <c r="J319" s="282">
        <f>(H319-I319)/I319</f>
        <v/>
      </c>
      <c r="K319" s="535">
        <f>H319*1.085</f>
        <v/>
      </c>
      <c r="L319" s="535">
        <f>I319*1.085</f>
        <v/>
      </c>
      <c r="M319" s="282">
        <f>(K319-L319)/L319</f>
        <v/>
      </c>
      <c r="N319" s="536">
        <f>E319/H319</f>
        <v/>
      </c>
      <c r="O319" s="536">
        <f>F319/I319</f>
        <v/>
      </c>
      <c r="P319" s="282">
        <f>(N319-O319)/O319</f>
        <v/>
      </c>
      <c r="Q319" s="536">
        <f>E319/K319</f>
        <v/>
      </c>
      <c r="R319" s="536">
        <f>F319/L319</f>
        <v/>
      </c>
      <c r="S319" s="282">
        <f>(Q319-R319)/R319</f>
        <v/>
      </c>
      <c r="T319" s="537" t="n"/>
      <c r="U319" s="537" t="n"/>
      <c r="V319" s="282">
        <f>(T319-U319)/U319</f>
        <v/>
      </c>
      <c r="W319" s="537" t="n"/>
      <c r="X319" s="537" t="n"/>
      <c r="Y319" s="282">
        <f>(W319-X319)/X319</f>
        <v/>
      </c>
      <c r="Z319" s="537">
        <f>E319/W319</f>
        <v/>
      </c>
      <c r="AA319" s="537">
        <f>F319/X319</f>
        <v/>
      </c>
      <c r="AB319" s="282">
        <f>(Z319-AA319)/AA319</f>
        <v/>
      </c>
      <c r="AC319" s="537" t="n"/>
      <c r="AD319" s="537" t="n"/>
      <c r="AE319" s="282">
        <f>(AC319-AD319)/AD319</f>
        <v/>
      </c>
      <c r="AF319" s="537" t="n"/>
      <c r="AG319" s="537" t="n"/>
      <c r="AH319">
        <f>(AF319-AG319)/AG319</f>
        <v/>
      </c>
      <c r="AI319" s="537" t="n"/>
      <c r="AJ319" s="537" t="n"/>
      <c r="AK319" s="282">
        <f>(AI319-AJ319)/AJ319</f>
        <v/>
      </c>
      <c r="AL319" s="286">
        <f>AF319/AI319</f>
        <v/>
      </c>
      <c r="AM319" s="286">
        <f>AG319/AJ319</f>
        <v/>
      </c>
      <c r="AN319" s="282">
        <f>(AL319-AM319)/AM319</f>
        <v/>
      </c>
    </row>
    <row customHeight="1" ht="15.75" r="320" s="452" spans="1:41">
      <c r="A320" s="279" t="n"/>
      <c r="B320" s="279" t="n"/>
      <c r="C320" s="280" t="n"/>
      <c r="D320" s="280" t="n"/>
      <c r="E320" s="535" t="n"/>
      <c r="F320" s="535" t="n"/>
      <c r="G320" s="282">
        <f>(E320-F320)/F320</f>
        <v/>
      </c>
      <c r="H320" s="535" t="n"/>
      <c r="I320" s="536" t="n"/>
      <c r="J320" s="282">
        <f>(H320-I320)/I320</f>
        <v/>
      </c>
      <c r="K320" s="535">
        <f>H320*1.085</f>
        <v/>
      </c>
      <c r="L320" s="535">
        <f>I320*1.085</f>
        <v/>
      </c>
      <c r="M320" s="282">
        <f>(K320-L320)/L320</f>
        <v/>
      </c>
      <c r="N320" s="536">
        <f>E320/H320</f>
        <v/>
      </c>
      <c r="O320" s="536">
        <f>F320/I320</f>
        <v/>
      </c>
      <c r="P320" s="282">
        <f>(N320-O320)/O320</f>
        <v/>
      </c>
      <c r="Q320" s="536">
        <f>E320/K320</f>
        <v/>
      </c>
      <c r="R320" s="536">
        <f>F320/L320</f>
        <v/>
      </c>
      <c r="S320" s="282">
        <f>(Q320-R320)/R320</f>
        <v/>
      </c>
      <c r="T320" s="537" t="n"/>
      <c r="U320" s="537" t="n"/>
      <c r="V320" s="282">
        <f>(T320-U320)/U320</f>
        <v/>
      </c>
      <c r="W320" s="537" t="n"/>
      <c r="X320" s="537" t="n"/>
      <c r="Y320" s="282">
        <f>(W320-X320)/X320</f>
        <v/>
      </c>
      <c r="Z320" s="537">
        <f>E320/W320</f>
        <v/>
      </c>
      <c r="AA320" s="537">
        <f>F320/X320</f>
        <v/>
      </c>
      <c r="AB320" s="282">
        <f>(Z320-AA320)/AA320</f>
        <v/>
      </c>
      <c r="AC320" s="537" t="n"/>
      <c r="AD320" s="537" t="n"/>
      <c r="AE320" s="282">
        <f>(AC320-AD320)/AD320</f>
        <v/>
      </c>
      <c r="AF320" s="537" t="n"/>
      <c r="AG320" s="537" t="n"/>
      <c r="AH320">
        <f>(AF320-AG320)/AG320</f>
        <v/>
      </c>
      <c r="AI320" s="537" t="n"/>
      <c r="AJ320" s="537" t="n"/>
      <c r="AK320" s="282">
        <f>(AI320-AJ320)/AJ320</f>
        <v/>
      </c>
      <c r="AL320" s="286">
        <f>AF320/AI320</f>
        <v/>
      </c>
      <c r="AM320" s="286">
        <f>AG320/AJ320</f>
        <v/>
      </c>
      <c r="AN320" s="282">
        <f>(AL320-AM320)/AM320</f>
        <v/>
      </c>
    </row>
    <row customHeight="1" ht="15.75" r="321" s="452" spans="1:41">
      <c r="A321" s="279" t="n"/>
      <c r="B321" s="279" t="n"/>
      <c r="C321" s="280" t="n"/>
      <c r="D321" s="280" t="n"/>
      <c r="E321" s="535" t="n"/>
      <c r="F321" s="535" t="n"/>
      <c r="G321" s="282">
        <f>(E321-F321)/F321</f>
        <v/>
      </c>
      <c r="H321" s="535" t="n"/>
      <c r="I321" s="536" t="n"/>
      <c r="J321" s="282">
        <f>(H321-I321)/I321</f>
        <v/>
      </c>
      <c r="K321" s="535">
        <f>H321*1.085</f>
        <v/>
      </c>
      <c r="L321" s="535">
        <f>I321*1.085</f>
        <v/>
      </c>
      <c r="M321" s="282">
        <f>(K321-L321)/L321</f>
        <v/>
      </c>
      <c r="N321" s="536">
        <f>E321/H321</f>
        <v/>
      </c>
      <c r="O321" s="536">
        <f>F321/I321</f>
        <v/>
      </c>
      <c r="P321" s="282">
        <f>(N321-O321)/O321</f>
        <v/>
      </c>
      <c r="Q321" s="536">
        <f>E321/K321</f>
        <v/>
      </c>
      <c r="R321" s="536">
        <f>F321/L321</f>
        <v/>
      </c>
      <c r="S321" s="282">
        <f>(Q321-R321)/R321</f>
        <v/>
      </c>
      <c r="T321" s="537" t="n"/>
      <c r="U321" s="537" t="n"/>
      <c r="V321" s="282">
        <f>(T321-U321)/U321</f>
        <v/>
      </c>
      <c r="W321" s="537" t="n"/>
      <c r="X321" s="537" t="n"/>
      <c r="Y321" s="282">
        <f>(W321-X321)/X321</f>
        <v/>
      </c>
      <c r="Z321" s="537">
        <f>E321/W321</f>
        <v/>
      </c>
      <c r="AA321" s="537">
        <f>F321/X321</f>
        <v/>
      </c>
      <c r="AB321" s="282">
        <f>(Z321-AA321)/AA321</f>
        <v/>
      </c>
      <c r="AC321" s="537" t="n"/>
      <c r="AD321" s="537" t="n"/>
      <c r="AE321" s="282">
        <f>(AC321-AD321)/AD321</f>
        <v/>
      </c>
      <c r="AF321" s="537" t="n"/>
      <c r="AG321" s="537" t="n"/>
      <c r="AH321">
        <f>(AF321-AG321)/AG321</f>
        <v/>
      </c>
      <c r="AI321" s="537" t="n"/>
      <c r="AJ321" s="537" t="n"/>
      <c r="AK321" s="282">
        <f>(AI321-AJ321)/AJ321</f>
        <v/>
      </c>
      <c r="AL321" s="286">
        <f>AF321/AI321</f>
        <v/>
      </c>
      <c r="AM321" s="286">
        <f>AG321/AJ321</f>
        <v/>
      </c>
      <c r="AN321" s="282">
        <f>(AL321-AM321)/AM321</f>
        <v/>
      </c>
    </row>
    <row customFormat="1" customHeight="1" ht="15.75" r="322" s="330" spans="1:41" thickBot="1">
      <c r="A322" s="287" t="n"/>
      <c r="B322" s="287" t="n"/>
      <c r="C322" s="288" t="n"/>
      <c r="D322" s="345" t="s">
        <v>177</v>
      </c>
      <c r="E322" s="549" t="n"/>
      <c r="F322" s="549" t="n">
        <v>2108</v>
      </c>
      <c r="G322" s="328">
        <f>(E322-F322)/F322</f>
        <v/>
      </c>
      <c r="H322" s="549" t="n"/>
      <c r="I322" s="550" t="n">
        <v>31548</v>
      </c>
      <c r="J322" s="328">
        <f>(H322-I322)/I322</f>
        <v/>
      </c>
      <c r="K322" s="549">
        <f>H322*1.085</f>
        <v/>
      </c>
      <c r="L322" s="549">
        <f>I322*1.085</f>
        <v/>
      </c>
      <c r="M322" s="328">
        <f>(K322-L322)/L322</f>
        <v/>
      </c>
      <c r="N322" s="550">
        <f>E322/H322</f>
        <v/>
      </c>
      <c r="O322" s="550">
        <f>F322/I322</f>
        <v/>
      </c>
      <c r="P322" s="328">
        <f>(N322-O322)/O322</f>
        <v/>
      </c>
      <c r="Q322" s="550">
        <f>E322/K322</f>
        <v/>
      </c>
      <c r="R322" s="550">
        <f>F322/L322</f>
        <v/>
      </c>
      <c r="S322" s="328">
        <f>(Q322-R322)/R322</f>
        <v/>
      </c>
      <c r="T322" s="551" t="n"/>
      <c r="U322" s="551" t="n">
        <v>33212</v>
      </c>
      <c r="V322" s="328">
        <f>(T322-U322)/U322</f>
        <v/>
      </c>
      <c r="W322" s="551" t="n"/>
      <c r="X322" s="551" t="n">
        <v>21</v>
      </c>
      <c r="Y322" s="328">
        <f>(W322-X322)/X322</f>
        <v/>
      </c>
      <c r="Z322" s="551">
        <f>E322/W322</f>
        <v/>
      </c>
      <c r="AA322" s="551">
        <f>F322/X322</f>
        <v/>
      </c>
      <c r="AB322" s="328">
        <f>(Z322-AA322)/AA322</f>
        <v/>
      </c>
      <c r="AC322" s="551" t="n"/>
      <c r="AD322" s="551" t="n">
        <v>2251260</v>
      </c>
      <c r="AE322" s="328">
        <f>(AC322-AD322)/AD322</f>
        <v/>
      </c>
      <c r="AF322" s="551" t="n"/>
      <c r="AG322" s="551" t="n">
        <v>45555</v>
      </c>
      <c r="AH322" s="330">
        <f>(AF322-AG322)/AG322</f>
        <v/>
      </c>
      <c r="AI322" s="551" t="n"/>
      <c r="AJ322" s="551" t="n">
        <v>6305856</v>
      </c>
      <c r="AK322" s="328">
        <f>(AI322-AJ322)/AJ322</f>
        <v/>
      </c>
      <c r="AL322" s="295">
        <f>AF322/AI322</f>
        <v/>
      </c>
      <c r="AM322" s="295">
        <f>AG322/AJ322</f>
        <v/>
      </c>
      <c r="AN322" s="328">
        <f>(AL322-AM322)/AM322</f>
        <v/>
      </c>
      <c r="AO322" s="330" t="n"/>
    </row>
    <row customFormat="1" customHeight="1" ht="19.5" r="323" s="161" spans="1:41">
      <c r="A323" s="172" t="s">
        <v>137</v>
      </c>
      <c r="B323" s="173" t="n"/>
      <c r="C323" s="174" t="n"/>
      <c r="D323" s="174" t="n"/>
      <c r="E323" s="617">
        <f>SUM(E2:E317)</f>
        <v/>
      </c>
      <c r="F323" s="617">
        <f>SUM(F2:F317)</f>
        <v/>
      </c>
      <c r="G323" s="180">
        <f>(E323-F323)/F323</f>
        <v/>
      </c>
      <c r="H323" s="617">
        <f>SUM(H2:H317)</f>
        <v/>
      </c>
      <c r="I323" s="617">
        <f>SUM(I2:I317)</f>
        <v/>
      </c>
      <c r="J323" s="180">
        <f>(H323-I323)/I323</f>
        <v/>
      </c>
      <c r="K323" s="617">
        <f>SUM(K2:K317)</f>
        <v/>
      </c>
      <c r="L323" s="617">
        <f>SUM(L2:L317)</f>
        <v/>
      </c>
      <c r="M323" s="180">
        <f>(K323-L323)/L323</f>
        <v/>
      </c>
      <c r="N323" s="618">
        <f>E323/H323</f>
        <v/>
      </c>
      <c r="O323" s="618">
        <f>F323/I323</f>
        <v/>
      </c>
      <c r="P323" s="180">
        <f>(N323-O323)/O323</f>
        <v/>
      </c>
      <c r="Q323" s="618">
        <f>H323/K323</f>
        <v/>
      </c>
      <c r="R323" s="618">
        <f>I323/L323</f>
        <v/>
      </c>
      <c r="S323" s="180">
        <f>(Q323-R323)/R323</f>
        <v/>
      </c>
      <c r="T323" s="619">
        <f>SUM(T2:T317)</f>
        <v/>
      </c>
      <c r="U323" s="619">
        <f>SUM(U2:U317)</f>
        <v/>
      </c>
      <c r="V323" s="180">
        <f>(T323-U323)/U323</f>
        <v/>
      </c>
      <c r="W323" s="619">
        <f>SUM(W2:W317)</f>
        <v/>
      </c>
      <c r="X323" s="619">
        <f>SUM(X2:X317)</f>
        <v/>
      </c>
      <c r="Y323" s="180">
        <f>(W323-X323)/X323</f>
        <v/>
      </c>
      <c r="Z323" s="617">
        <f>E323/W323</f>
        <v/>
      </c>
      <c r="AA323" s="617">
        <f>F323/X323</f>
        <v/>
      </c>
      <c r="AB323" s="180">
        <f>(Z323-AA323)/AA323</f>
        <v/>
      </c>
      <c r="AC323" s="619">
        <f>SUM(AC2:AC317)</f>
        <v/>
      </c>
      <c r="AD323" s="619">
        <f>SUM(AD2:AD317)</f>
        <v/>
      </c>
      <c r="AE323" s="180">
        <f>(AC323-AD323)/AD323</f>
        <v/>
      </c>
      <c r="AF323" s="619">
        <f>SUM(AF2:AF317)</f>
        <v/>
      </c>
      <c r="AG323" s="619">
        <f>SUM(AG2:AG317)</f>
        <v/>
      </c>
      <c r="AH323" s="180">
        <f>(AF323-AG323)/AG323</f>
        <v/>
      </c>
      <c r="AI323" s="619">
        <f>SUM(AI2:AI317)</f>
        <v/>
      </c>
      <c r="AJ323" s="619">
        <f>SUM(AJ2:AJ317)</f>
        <v/>
      </c>
      <c r="AK323" s="180">
        <f>(AI323-AJ323)/AJ323</f>
        <v/>
      </c>
      <c r="AL323" s="178">
        <f>AF323/AI323</f>
        <v/>
      </c>
      <c r="AM323" s="178">
        <f>AG323/AJ323</f>
        <v/>
      </c>
      <c r="AN323" s="180">
        <f>(AL323-AM323)/AM323</f>
        <v/>
      </c>
      <c r="AO323" s="161" t="n"/>
    </row>
    <row customHeight="1" ht="15.75" r="324" s="452" spans="1:41">
      <c r="A324" s="44" t="n"/>
      <c r="B324" s="221" t="n"/>
      <c r="C324" s="221" t="n"/>
      <c r="D324" s="221" t="n"/>
      <c r="E324" s="535" t="n"/>
      <c r="F324" s="535" t="n"/>
      <c r="G324" s="282" t="n"/>
      <c r="H324" s="535" t="n"/>
      <c r="I324" s="535" t="n"/>
      <c r="J324" s="282" t="n"/>
      <c r="K324" s="535" t="n"/>
      <c r="L324" s="535" t="n"/>
      <c r="M324" s="282" t="n"/>
      <c r="N324" s="536" t="n"/>
      <c r="O324" s="536" t="n"/>
      <c r="P324" s="282" t="n"/>
      <c r="Q324" s="536" t="n"/>
      <c r="R324" s="536" t="n"/>
      <c r="S324" s="282" t="n"/>
      <c r="T324" s="537" t="n"/>
      <c r="U324" s="537" t="n"/>
      <c r="V324" s="282" t="n"/>
      <c r="W324" s="537" t="n"/>
      <c r="X324" s="537" t="n"/>
      <c r="Y324" s="282" t="n"/>
      <c r="Z324" s="537" t="n"/>
      <c r="AA324" s="537" t="n"/>
      <c r="AB324" s="282" t="n"/>
      <c r="AC324" s="537" t="n"/>
      <c r="AD324" s="537" t="n"/>
      <c r="AE324" s="282" t="n"/>
      <c r="AF324" s="537" t="n"/>
      <c r="AG324" s="537" t="n"/>
      <c r="AH324" s="537" t="n"/>
      <c r="AI324" s="537" t="n"/>
      <c r="AJ324" s="537" t="n"/>
      <c r="AK324" s="282" t="n"/>
      <c r="AL324" s="286" t="n"/>
      <c r="AM324" s="286" t="n"/>
      <c r="AN324" s="282" t="n"/>
    </row>
    <row customHeight="1" ht="15.75" r="325" s="452" spans="1:41">
      <c r="A325" s="44" t="n"/>
      <c r="E325" s="535" t="n"/>
      <c r="F325" s="535" t="n"/>
      <c r="G325" s="282" t="n"/>
      <c r="H325" s="535" t="n"/>
      <c r="I325" s="535" t="n"/>
      <c r="J325" s="282" t="n"/>
      <c r="K325" s="535" t="n"/>
      <c r="L325" s="535" t="n"/>
      <c r="M325" s="282" t="n"/>
      <c r="N325" s="536" t="n"/>
      <c r="O325" s="536" t="n"/>
      <c r="P325" s="282" t="n"/>
      <c r="Q325" s="536" t="n"/>
      <c r="R325" s="536" t="n"/>
      <c r="S325" s="282" t="n"/>
      <c r="T325" s="537" t="n"/>
      <c r="U325" s="537" t="n"/>
      <c r="V325" s="282" t="n"/>
      <c r="W325" s="537" t="n"/>
      <c r="X325" s="537" t="n"/>
      <c r="Y325" s="282" t="n"/>
      <c r="Z325" s="537" t="n"/>
      <c r="AA325" s="537" t="n"/>
      <c r="AB325" s="282" t="n"/>
      <c r="AC325" s="537" t="n"/>
      <c r="AD325" s="537" t="n"/>
      <c r="AE325" s="282" t="n"/>
      <c r="AF325" s="537" t="n"/>
      <c r="AG325" s="537" t="n"/>
      <c r="AH325" s="537" t="n"/>
      <c r="AI325" s="537" t="n"/>
      <c r="AJ325" s="537" t="n"/>
      <c r="AK325" s="282" t="n"/>
      <c r="AL325" s="286" t="n"/>
      <c r="AM325" s="286" t="n"/>
      <c r="AN325" s="282" t="n"/>
    </row>
    <row customHeight="1" ht="15.75" r="326" s="452" spans="1:41">
      <c r="A326" s="44" t="n"/>
      <c r="B326" s="44" t="n"/>
      <c r="C326" s="46" t="n"/>
      <c r="D326" s="46" t="n"/>
      <c r="E326" s="535" t="n"/>
      <c r="F326" s="535" t="n"/>
      <c r="G326" s="282" t="n"/>
      <c r="H326" s="535" t="n"/>
      <c r="I326" s="535" t="n"/>
      <c r="J326" s="282" t="n"/>
      <c r="K326" s="535" t="n"/>
      <c r="L326" s="535" t="n"/>
      <c r="M326" s="282" t="n"/>
      <c r="N326" s="536" t="n"/>
      <c r="O326" s="536" t="n"/>
      <c r="P326" s="282" t="n"/>
      <c r="Q326" s="536" t="n"/>
      <c r="R326" s="536" t="n"/>
      <c r="S326" s="282" t="n"/>
      <c r="T326" s="537" t="n"/>
      <c r="U326" s="537" t="n"/>
      <c r="V326" s="282" t="n"/>
      <c r="W326" s="537" t="n"/>
      <c r="X326" s="537" t="n"/>
      <c r="Y326" s="282" t="n"/>
      <c r="Z326" s="537" t="n"/>
      <c r="AA326" s="537" t="n"/>
      <c r="AB326" s="282" t="n"/>
      <c r="AC326" s="537" t="n"/>
      <c r="AD326" s="537" t="n"/>
      <c r="AE326" s="282" t="n"/>
      <c r="AF326" s="537" t="n"/>
      <c r="AG326" s="537" t="n"/>
      <c r="AH326" s="537" t="n"/>
      <c r="AI326" s="537" t="n"/>
      <c r="AJ326" s="537" t="n"/>
      <c r="AK326" s="282" t="n"/>
      <c r="AL326" s="286" t="n"/>
      <c r="AM326" s="286" t="n"/>
      <c r="AN326" s="282" t="n"/>
    </row>
    <row customHeight="1" ht="15.75" r="327" s="452" spans="1:41">
      <c r="A327" s="44" t="n"/>
      <c r="G327" s="282" t="n"/>
      <c r="J327" s="282" t="n"/>
      <c r="M327" s="282" t="n"/>
      <c r="P327" s="282" t="n"/>
      <c r="S327" s="282" t="n"/>
      <c r="V327" s="282" t="n"/>
      <c r="Y327" s="282" t="n"/>
      <c r="AB327" s="282" t="n"/>
      <c r="AC327" s="537" t="n"/>
      <c r="AD327" s="537" t="n"/>
      <c r="AE327" s="282" t="n"/>
      <c r="AF327" s="537" t="n"/>
      <c r="AG327" s="537" t="n"/>
      <c r="AI327" s="537" t="n"/>
      <c r="AJ327" s="537" t="n"/>
      <c r="AK327" s="282" t="n"/>
      <c r="AL327" s="286" t="n"/>
      <c r="AM327" s="286" t="n"/>
      <c r="AN327" s="282" t="n"/>
    </row>
    <row customHeight="1" ht="15.75" r="328" s="452" spans="1:41">
      <c r="A328" s="44" t="n"/>
      <c r="G328" s="282" t="n"/>
      <c r="J328" s="282" t="n"/>
      <c r="M328" s="282" t="n"/>
      <c r="P328" s="282" t="n"/>
      <c r="S328" s="282" t="n"/>
      <c r="V328" s="282" t="n"/>
      <c r="Y328" s="282" t="n"/>
      <c r="AB328" s="282" t="n"/>
      <c r="AC328" s="537" t="n"/>
      <c r="AD328" s="537" t="n"/>
      <c r="AE328" s="282" t="n"/>
      <c r="AF328" s="537" t="n"/>
      <c r="AG328" s="537" t="n"/>
      <c r="AI328" s="537" t="n"/>
      <c r="AJ328" s="537" t="n"/>
      <c r="AK328" s="282" t="n"/>
      <c r="AL328" s="286" t="n"/>
      <c r="AM328" s="286" t="n"/>
      <c r="AN328" s="282" t="n"/>
    </row>
    <row customHeight="1" ht="15.75" r="329" s="452" spans="1:41">
      <c r="A329" s="44" t="n"/>
      <c r="G329" s="282" t="n"/>
      <c r="J329" s="282" t="n"/>
      <c r="M329" s="282" t="n"/>
      <c r="P329" s="282" t="n"/>
      <c r="S329" s="282" t="n"/>
      <c r="V329" s="282" t="n"/>
      <c r="Y329" s="282" t="n"/>
      <c r="AB329" s="282" t="n"/>
      <c r="AC329" s="537" t="n"/>
      <c r="AD329" s="537" t="n"/>
      <c r="AE329" s="282" t="n"/>
      <c r="AF329" s="537" t="n"/>
      <c r="AG329" s="537" t="n"/>
      <c r="AI329" s="537" t="n"/>
      <c r="AJ329" s="537" t="n"/>
      <c r="AK329" s="282" t="n"/>
      <c r="AL329" s="286" t="n"/>
      <c r="AM329" s="286" t="n"/>
      <c r="AN329" s="282" t="n"/>
    </row>
    <row customHeight="1" ht="15.75" r="330" s="452" spans="1:41">
      <c r="A330" s="44" t="n"/>
      <c r="G330" s="282" t="n"/>
      <c r="J330" s="282" t="n"/>
      <c r="M330" s="282" t="n"/>
      <c r="P330" s="282" t="n"/>
      <c r="S330" s="282" t="n"/>
      <c r="V330" s="282" t="n"/>
      <c r="Y330" s="282" t="n"/>
      <c r="AB330" s="282" t="n"/>
      <c r="AC330" s="537" t="n"/>
      <c r="AD330" s="537" t="n"/>
      <c r="AE330" s="282" t="n"/>
      <c r="AF330" s="537" t="n"/>
      <c r="AG330" s="537" t="n"/>
      <c r="AI330" s="537" t="n"/>
      <c r="AJ330" s="537" t="n"/>
      <c r="AK330" s="282" t="n"/>
      <c r="AL330" s="286" t="n"/>
      <c r="AM330" s="286" t="n"/>
      <c r="AN330" s="282" t="n"/>
    </row>
    <row customHeight="1" ht="15.75" r="331" s="452" spans="1:41">
      <c r="A331" s="44" t="n"/>
      <c r="G331" s="282" t="n"/>
      <c r="J331" s="282" t="n"/>
      <c r="M331" s="282" t="n"/>
      <c r="P331" s="282" t="n"/>
      <c r="S331" s="282" t="n"/>
      <c r="V331" s="282" t="n"/>
      <c r="Y331" s="282" t="n"/>
      <c r="AB331" s="282" t="n"/>
      <c r="AC331" s="537" t="n"/>
      <c r="AD331" s="537" t="n"/>
      <c r="AE331" s="282" t="n"/>
      <c r="AF331" s="537" t="n"/>
      <c r="AG331" s="537" t="n"/>
      <c r="AI331" s="537" t="n"/>
      <c r="AJ331" s="537" t="n"/>
      <c r="AK331" s="282" t="n"/>
      <c r="AL331" s="286" t="n"/>
      <c r="AM331" s="286" t="n"/>
      <c r="AN331" s="282" t="n"/>
    </row>
    <row customHeight="1" ht="15.75" r="332" s="452" spans="1:41">
      <c r="A332" s="44" t="n"/>
      <c r="G332" s="282" t="n"/>
      <c r="J332" s="282" t="n"/>
      <c r="M332" s="282" t="n"/>
      <c r="P332" s="282" t="n"/>
      <c r="S332" s="282" t="n"/>
      <c r="V332" s="282" t="n"/>
      <c r="Y332" s="282" t="n"/>
      <c r="AB332" s="282" t="n"/>
      <c r="AC332" s="537" t="n"/>
      <c r="AD332" s="537" t="n"/>
      <c r="AE332" s="282" t="n"/>
      <c r="AF332" s="537" t="n"/>
      <c r="AG332" s="537" t="n"/>
      <c r="AI332" s="537" t="n"/>
      <c r="AJ332" s="537" t="n"/>
      <c r="AK332" s="282" t="n"/>
      <c r="AL332" s="286" t="n"/>
      <c r="AM332" s="286" t="n"/>
      <c r="AN332" s="282" t="n"/>
    </row>
    <row customHeight="1" ht="15.75" r="333" s="452" spans="1:41">
      <c r="A333" s="44" t="n"/>
      <c r="G333" s="282" t="n"/>
      <c r="J333" s="282" t="n"/>
      <c r="M333" s="282" t="n"/>
      <c r="P333" s="282" t="n"/>
      <c r="S333" s="282" t="n"/>
      <c r="V333" s="282" t="n"/>
      <c r="Y333" s="282" t="n"/>
      <c r="AB333" s="282" t="n"/>
      <c r="AC333" s="537" t="n"/>
      <c r="AD333" s="537" t="n"/>
      <c r="AE333" s="282" t="n"/>
      <c r="AF333" s="537" t="n"/>
      <c r="AG333" s="537" t="n"/>
      <c r="AI333" s="537" t="n"/>
      <c r="AJ333" s="537" t="n"/>
      <c r="AK333" s="282" t="n"/>
      <c r="AL333" s="286" t="n"/>
      <c r="AM333" s="286" t="n"/>
      <c r="AN333" s="282" t="n"/>
    </row>
    <row customHeight="1" ht="15.75" r="334" s="452" spans="1:41">
      <c r="A334" s="44" t="n"/>
      <c r="G334" s="282" t="n"/>
      <c r="J334" s="282" t="n"/>
      <c r="M334" s="282" t="n"/>
      <c r="P334" s="282" t="n"/>
      <c r="S334" s="282" t="n"/>
      <c r="V334" s="282" t="n"/>
      <c r="Y334" s="282" t="n"/>
      <c r="AB334" s="282" t="n"/>
      <c r="AC334" s="537" t="n"/>
      <c r="AD334" s="537" t="n"/>
      <c r="AE334" s="282" t="n"/>
      <c r="AF334" s="537" t="n"/>
      <c r="AG334" s="537" t="n"/>
      <c r="AI334" s="537" t="n"/>
      <c r="AJ334" s="537" t="n"/>
      <c r="AK334" s="282" t="n"/>
      <c r="AL334" s="286" t="n"/>
      <c r="AM334" s="286" t="n"/>
      <c r="AN334" s="282" t="n"/>
    </row>
    <row customHeight="1" ht="15.75" r="335" s="452" spans="1:41">
      <c r="A335" s="44" t="n"/>
      <c r="G335" s="282" t="n"/>
      <c r="J335" s="282" t="n"/>
      <c r="M335" s="282" t="n"/>
      <c r="P335" s="282" t="n"/>
      <c r="S335" s="282" t="n"/>
      <c r="V335" s="282" t="n"/>
      <c r="Y335" s="282" t="n"/>
      <c r="AB335" s="282" t="n"/>
      <c r="AC335" s="537" t="n"/>
      <c r="AD335" s="537" t="n"/>
      <c r="AE335" s="282" t="n"/>
      <c r="AF335" s="537" t="n"/>
      <c r="AG335" s="537" t="n"/>
      <c r="AI335" s="537" t="n"/>
      <c r="AJ335" s="537" t="n"/>
      <c r="AK335" s="282" t="n"/>
      <c r="AL335" s="286" t="n"/>
      <c r="AM335" s="286" t="n"/>
      <c r="AN335" s="282" t="n"/>
    </row>
    <row customHeight="1" ht="15.75" r="336" s="452" spans="1:41">
      <c r="A336" s="44" t="n"/>
      <c r="G336" s="282" t="n"/>
      <c r="J336" s="282" t="n"/>
      <c r="M336" s="282" t="n"/>
      <c r="P336" s="282" t="n"/>
      <c r="S336" s="282" t="n"/>
      <c r="V336" s="282" t="n"/>
      <c r="Y336" s="282" t="n"/>
      <c r="AB336" s="282" t="n"/>
      <c r="AC336" s="537" t="n"/>
      <c r="AD336" s="537" t="n"/>
      <c r="AE336" s="282" t="n"/>
      <c r="AF336" s="537" t="n"/>
      <c r="AG336" s="537" t="n"/>
      <c r="AI336" s="537" t="n"/>
      <c r="AJ336" s="537" t="n"/>
      <c r="AK336" s="282" t="n"/>
      <c r="AL336" s="286" t="n"/>
      <c r="AM336" s="286" t="n"/>
      <c r="AN336" s="282" t="n"/>
    </row>
    <row customHeight="1" ht="15.75" r="337" s="452" spans="1:41">
      <c r="A337" s="44" t="n"/>
      <c r="G337" s="282" t="n"/>
      <c r="J337" s="282" t="n"/>
      <c r="M337" s="282" t="n"/>
      <c r="P337" s="282" t="n"/>
      <c r="S337" s="282" t="n"/>
      <c r="V337" s="282" t="n"/>
      <c r="Y337" s="282" t="n"/>
      <c r="AB337" s="282" t="n"/>
      <c r="AC337" s="537" t="n"/>
      <c r="AD337" s="537" t="n"/>
      <c r="AE337" s="282" t="n"/>
      <c r="AF337" s="537" t="n"/>
      <c r="AG337" s="537" t="n"/>
      <c r="AI337" s="537" t="n"/>
      <c r="AJ337" s="537" t="n"/>
      <c r="AK337" s="282" t="n"/>
      <c r="AL337" s="286" t="n"/>
      <c r="AM337" s="286" t="n"/>
      <c r="AN337" s="282" t="n"/>
    </row>
    <row customHeight="1" ht="15.75" r="338" s="452" spans="1:41">
      <c r="A338" s="44" t="n"/>
      <c r="G338" s="282" t="n"/>
      <c r="J338" s="282" t="n"/>
      <c r="M338" s="282" t="n"/>
      <c r="P338" s="282" t="n"/>
      <c r="S338" s="282" t="n"/>
      <c r="V338" s="282" t="n"/>
      <c r="Y338" s="282" t="n"/>
      <c r="AB338" s="282" t="n"/>
      <c r="AC338" s="537" t="n"/>
      <c r="AD338" s="537" t="n"/>
      <c r="AE338" s="282" t="n"/>
      <c r="AF338" s="537" t="n"/>
      <c r="AG338" s="537" t="n"/>
      <c r="AI338" s="537" t="n"/>
      <c r="AJ338" s="537" t="n"/>
      <c r="AK338" s="282" t="n"/>
      <c r="AL338" s="286" t="n"/>
      <c r="AM338" s="286" t="n"/>
      <c r="AN338" s="282" t="n"/>
    </row>
    <row customHeight="1" ht="15.75" r="339" s="452" spans="1:41">
      <c r="A339" s="44" t="n"/>
      <c r="G339" s="282" t="n"/>
      <c r="J339" s="282" t="n"/>
      <c r="M339" s="282" t="n"/>
      <c r="P339" s="282" t="n"/>
      <c r="S339" s="282" t="n"/>
      <c r="V339" s="282" t="n"/>
      <c r="Y339" s="282" t="n"/>
      <c r="AB339" s="282" t="n"/>
      <c r="AC339" s="537" t="n"/>
      <c r="AD339" s="537" t="n"/>
      <c r="AE339" s="282" t="n"/>
      <c r="AF339" s="537" t="n"/>
      <c r="AG339" s="537" t="n"/>
      <c r="AI339" s="537" t="n"/>
      <c r="AJ339" s="537" t="n"/>
      <c r="AK339" s="282" t="n"/>
      <c r="AL339" s="286" t="n"/>
      <c r="AM339" s="286" t="n"/>
      <c r="AN339" s="282" t="n"/>
    </row>
    <row customHeight="1" ht="15.75" r="340" s="452" spans="1:41">
      <c r="A340" s="44" t="n"/>
      <c r="G340" s="282" t="n"/>
      <c r="J340" s="282" t="n"/>
      <c r="M340" s="282" t="n"/>
      <c r="P340" s="282" t="n"/>
      <c r="S340" s="282" t="n"/>
      <c r="V340" s="282" t="n"/>
      <c r="Y340" s="282" t="n"/>
      <c r="AB340" s="282" t="n"/>
      <c r="AC340" s="537" t="n"/>
      <c r="AD340" s="537" t="n"/>
      <c r="AE340" s="282" t="n"/>
      <c r="AF340" s="537" t="n"/>
      <c r="AG340" s="537" t="n"/>
      <c r="AI340" s="537" t="n"/>
      <c r="AJ340" s="537" t="n"/>
      <c r="AK340" s="282" t="n"/>
      <c r="AL340" s="286" t="n"/>
      <c r="AM340" s="286" t="n"/>
      <c r="AN340" s="282" t="n"/>
    </row>
    <row customHeight="1" ht="15.75" r="341" s="452" spans="1:41">
      <c r="A341" s="44" t="n"/>
      <c r="G341" s="282" t="n"/>
      <c r="J341" s="282" t="n"/>
      <c r="M341" s="282" t="n"/>
      <c r="P341" s="282" t="n"/>
      <c r="S341" s="282" t="n"/>
      <c r="V341" s="282" t="n"/>
      <c r="Y341" s="282" t="n"/>
      <c r="AB341" s="282" t="n"/>
      <c r="AC341" s="537" t="n"/>
      <c r="AD341" s="537" t="n"/>
      <c r="AE341" s="282" t="n"/>
      <c r="AF341" s="537" t="n"/>
      <c r="AG341" s="537" t="n"/>
      <c r="AI341" s="537" t="n"/>
      <c r="AJ341" s="537" t="n"/>
      <c r="AK341" s="282" t="n"/>
      <c r="AL341" s="286" t="n"/>
      <c r="AM341" s="286" t="n"/>
      <c r="AN341" s="282" t="n"/>
    </row>
    <row customHeight="1" ht="15.75" r="342" s="452" spans="1:41">
      <c r="A342" s="44" t="n"/>
      <c r="G342" s="282" t="n"/>
      <c r="J342" s="282" t="n"/>
      <c r="M342" s="282" t="n"/>
      <c r="P342" s="282" t="n"/>
      <c r="S342" s="282" t="n"/>
      <c r="V342" s="282" t="n"/>
      <c r="Y342" s="282" t="n"/>
      <c r="AB342" s="282" t="n"/>
      <c r="AC342" s="537" t="n"/>
      <c r="AD342" s="537" t="n"/>
      <c r="AE342" s="282" t="n"/>
      <c r="AF342" s="537" t="n"/>
      <c r="AG342" s="537" t="n"/>
      <c r="AI342" s="537" t="n"/>
      <c r="AJ342" s="537" t="n"/>
      <c r="AK342" s="282" t="n"/>
      <c r="AL342" s="286" t="n"/>
      <c r="AM342" s="286" t="n"/>
      <c r="AN342" s="282" t="n"/>
    </row>
    <row customHeight="1" ht="15.75" r="343" s="452" spans="1:41">
      <c r="A343" s="44" t="n"/>
      <c r="G343" s="282" t="n"/>
      <c r="J343" s="282" t="n"/>
      <c r="M343" s="282" t="n"/>
      <c r="P343" s="282" t="n"/>
      <c r="S343" s="282" t="n"/>
      <c r="V343" s="282" t="n"/>
      <c r="Y343" s="282" t="n"/>
      <c r="AB343" s="282" t="n"/>
      <c r="AC343" s="537" t="n"/>
      <c r="AD343" s="537" t="n"/>
      <c r="AE343" s="282" t="n"/>
      <c r="AF343" s="537" t="n"/>
      <c r="AG343" s="537" t="n"/>
      <c r="AI343" s="537" t="n"/>
      <c r="AJ343" s="537" t="n"/>
      <c r="AK343" s="282" t="n"/>
      <c r="AL343" s="286" t="n"/>
      <c r="AM343" s="286" t="n"/>
      <c r="AN343" s="282" t="n"/>
    </row>
    <row customHeight="1" ht="15.75" r="344" s="452" spans="1:41">
      <c r="A344" s="44" t="n"/>
      <c r="G344" s="282" t="n"/>
      <c r="J344" s="282" t="n"/>
      <c r="M344" s="282" t="n"/>
      <c r="P344" s="282" t="n"/>
      <c r="S344" s="282" t="n"/>
      <c r="V344" s="282" t="n"/>
      <c r="Y344" s="282" t="n"/>
      <c r="AB344" s="282" t="n"/>
      <c r="AC344" s="537" t="n"/>
      <c r="AD344" s="537" t="n"/>
      <c r="AE344" s="282" t="n"/>
      <c r="AF344" s="537" t="n"/>
      <c r="AG344" s="537" t="n"/>
      <c r="AI344" s="537" t="n"/>
      <c r="AJ344" s="537" t="n"/>
      <c r="AK344" s="282" t="n"/>
      <c r="AL344" s="286" t="n"/>
      <c r="AM344" s="286" t="n"/>
      <c r="AN344" s="282" t="n"/>
    </row>
    <row customHeight="1" ht="15.75" r="345" s="452" spans="1:41">
      <c r="A345" s="44" t="n"/>
      <c r="G345" s="282" t="n"/>
      <c r="J345" s="282" t="n"/>
      <c r="M345" s="282" t="n"/>
      <c r="P345" s="282" t="n"/>
      <c r="S345" s="282" t="n"/>
      <c r="V345" s="282" t="n"/>
      <c r="Y345" s="282" t="n"/>
      <c r="AB345" s="282" t="n"/>
      <c r="AC345" s="537" t="n"/>
      <c r="AD345" s="537" t="n"/>
      <c r="AE345" s="282" t="n"/>
      <c r="AF345" s="537" t="n"/>
      <c r="AG345" s="537" t="n"/>
      <c r="AI345" s="537" t="n"/>
      <c r="AJ345" s="537" t="n"/>
      <c r="AK345" s="282" t="n"/>
      <c r="AL345" s="286" t="n"/>
      <c r="AM345" s="286" t="n"/>
      <c r="AN345" s="282" t="n"/>
    </row>
    <row customHeight="1" ht="15.75" r="346" s="452" spans="1:41">
      <c r="A346" s="44" t="n"/>
      <c r="G346" s="282" t="n"/>
      <c r="J346" s="282" t="n"/>
      <c r="M346" s="282" t="n"/>
      <c r="P346" s="282" t="n"/>
      <c r="S346" s="282" t="n"/>
      <c r="V346" s="282" t="n"/>
      <c r="Y346" s="282" t="n"/>
      <c r="AB346" s="282" t="n"/>
      <c r="AC346" s="537" t="n"/>
      <c r="AD346" s="537" t="n"/>
      <c r="AE346" s="282" t="n"/>
      <c r="AF346" s="537" t="n"/>
      <c r="AG346" s="537" t="n"/>
      <c r="AI346" s="537" t="n"/>
      <c r="AJ346" s="537" t="n"/>
      <c r="AK346" s="282" t="n"/>
      <c r="AL346" s="286" t="n"/>
      <c r="AM346" s="286" t="n"/>
      <c r="AN346" s="282" t="n"/>
    </row>
    <row customHeight="1" ht="15.75" r="347" s="452" spans="1:41">
      <c r="A347" s="44" t="n"/>
      <c r="G347" s="282" t="n"/>
      <c r="J347" s="282" t="n"/>
      <c r="M347" s="282" t="n"/>
      <c r="P347" s="282" t="n"/>
      <c r="S347" s="282" t="n"/>
      <c r="V347" s="282" t="n"/>
      <c r="Y347" s="282" t="n"/>
      <c r="AB347" s="282" t="n"/>
      <c r="AC347" s="537" t="n"/>
      <c r="AD347" s="537" t="n"/>
      <c r="AE347" s="282" t="n"/>
      <c r="AF347" s="537" t="n"/>
      <c r="AG347" s="537" t="n"/>
      <c r="AI347" s="537" t="n"/>
      <c r="AJ347" s="537" t="n"/>
      <c r="AK347" s="282" t="n"/>
      <c r="AL347" s="286" t="n"/>
      <c r="AM347" s="286" t="n"/>
      <c r="AN347" s="282" t="n"/>
    </row>
    <row customHeight="1" ht="15.75" r="348" s="452" spans="1:41">
      <c r="A348" s="44" t="n"/>
      <c r="G348" s="282" t="n"/>
      <c r="J348" s="282" t="n"/>
      <c r="M348" s="282" t="n"/>
      <c r="P348" s="282" t="n"/>
      <c r="S348" s="282" t="n"/>
      <c r="V348" s="282" t="n"/>
      <c r="Y348" s="282" t="n"/>
      <c r="AB348" s="282" t="n"/>
      <c r="AC348" s="537" t="n"/>
      <c r="AD348" s="537" t="n"/>
      <c r="AE348" s="282" t="n"/>
      <c r="AF348" s="537" t="n"/>
      <c r="AG348" s="537" t="n"/>
      <c r="AI348" s="537" t="n"/>
      <c r="AJ348" s="537" t="n"/>
      <c r="AK348" s="282" t="n"/>
      <c r="AL348" s="286" t="n"/>
      <c r="AM348" s="286" t="n"/>
      <c r="AN348" s="282" t="n"/>
    </row>
    <row customHeight="1" ht="15.75" r="349" s="452" spans="1:41">
      <c r="A349" s="44" t="n"/>
      <c r="G349" s="282" t="n"/>
      <c r="J349" s="282" t="n"/>
      <c r="M349" s="282" t="n"/>
      <c r="P349" s="282" t="n"/>
      <c r="S349" s="282" t="n"/>
      <c r="V349" s="282" t="n"/>
      <c r="Y349" s="282" t="n"/>
      <c r="AB349" s="282" t="n"/>
      <c r="AC349" s="537" t="n"/>
      <c r="AD349" s="537" t="n"/>
      <c r="AE349" s="282" t="n"/>
      <c r="AF349" s="537" t="n"/>
      <c r="AG349" s="537" t="n"/>
      <c r="AI349" s="537" t="n"/>
      <c r="AJ349" s="537" t="n"/>
      <c r="AK349" s="282" t="n"/>
      <c r="AL349" s="286" t="n"/>
      <c r="AM349" s="286" t="n"/>
      <c r="AN349" s="282" t="n"/>
    </row>
    <row customHeight="1" ht="15.75" r="350" s="452" spans="1:41">
      <c r="A350" s="44" t="n"/>
      <c r="G350" s="282" t="n"/>
      <c r="J350" s="282" t="n"/>
      <c r="M350" s="282" t="n"/>
      <c r="P350" s="282" t="n"/>
      <c r="S350" s="282" t="n"/>
      <c r="V350" s="282" t="n"/>
      <c r="Y350" s="282" t="n"/>
      <c r="AB350" s="282" t="n"/>
      <c r="AC350" s="537" t="n"/>
      <c r="AD350" s="537" t="n"/>
      <c r="AE350" s="282" t="n"/>
      <c r="AF350" s="537" t="n"/>
      <c r="AG350" s="537" t="n"/>
      <c r="AI350" s="537" t="n"/>
      <c r="AJ350" s="537" t="n"/>
      <c r="AK350" s="282" t="n"/>
      <c r="AL350" s="286" t="n"/>
      <c r="AM350" s="286" t="n"/>
      <c r="AN350" s="282" t="n"/>
    </row>
    <row customHeight="1" ht="15.75" r="351" s="452" spans="1:41">
      <c r="A351" s="44" t="n"/>
      <c r="G351" s="282" t="n"/>
      <c r="J351" s="282" t="n"/>
      <c r="M351" s="282" t="n"/>
      <c r="P351" s="282" t="n"/>
      <c r="S351" s="282" t="n"/>
      <c r="V351" s="282" t="n"/>
      <c r="Y351" s="282" t="n"/>
      <c r="AB351" s="282" t="n"/>
      <c r="AC351" s="537" t="n"/>
      <c r="AD351" s="537" t="n"/>
      <c r="AE351" s="282" t="n"/>
      <c r="AF351" s="537" t="n"/>
      <c r="AG351" s="537" t="n"/>
      <c r="AI351" s="537" t="n"/>
      <c r="AJ351" s="537" t="n"/>
      <c r="AK351" s="282" t="n"/>
      <c r="AL351" s="286" t="n"/>
      <c r="AM351" s="286" t="n"/>
      <c r="AN351" s="282" t="n"/>
    </row>
    <row customHeight="1" ht="15.75" r="352" s="452" spans="1:41">
      <c r="A352" s="44" t="n"/>
      <c r="G352" s="282" t="n"/>
      <c r="J352" s="282" t="n"/>
      <c r="M352" s="282" t="n"/>
      <c r="P352" s="282" t="n"/>
      <c r="S352" s="282" t="n"/>
      <c r="V352" s="282" t="n"/>
      <c r="Y352" s="282" t="n"/>
      <c r="AB352" s="282" t="n"/>
      <c r="AC352" s="537" t="n"/>
      <c r="AD352" s="537" t="n"/>
      <c r="AE352" s="282" t="n"/>
      <c r="AF352" s="537" t="n"/>
      <c r="AG352" s="537" t="n"/>
      <c r="AI352" s="537" t="n"/>
      <c r="AJ352" s="537" t="n"/>
      <c r="AK352" s="282" t="n"/>
      <c r="AL352" s="286" t="n"/>
      <c r="AM352" s="286" t="n"/>
      <c r="AN352" s="282" t="n"/>
    </row>
    <row customHeight="1" ht="15.75" r="353" s="452" spans="1:41">
      <c r="A353" s="44" t="n"/>
      <c r="G353" s="282" t="n"/>
      <c r="J353" s="282" t="n"/>
      <c r="M353" s="282" t="n"/>
      <c r="P353" s="282" t="n"/>
      <c r="S353" s="282" t="n"/>
      <c r="V353" s="282" t="n"/>
      <c r="Y353" s="282" t="n"/>
      <c r="AB353" s="282" t="n"/>
      <c r="AC353" s="537" t="n"/>
      <c r="AD353" s="537" t="n"/>
      <c r="AE353" s="282" t="n"/>
      <c r="AF353" s="537" t="n"/>
      <c r="AG353" s="537" t="n"/>
      <c r="AI353" s="537" t="n"/>
      <c r="AJ353" s="537" t="n"/>
      <c r="AK353" s="282" t="n"/>
      <c r="AL353" s="286" t="n"/>
      <c r="AM353" s="286" t="n"/>
      <c r="AN353" s="282" t="n"/>
    </row>
    <row customHeight="1" ht="15.75" r="354" s="452" spans="1:41">
      <c r="A354" s="44" t="n"/>
      <c r="G354" s="282" t="n"/>
      <c r="J354" s="282" t="n"/>
      <c r="M354" s="282" t="n"/>
      <c r="P354" s="282" t="n"/>
      <c r="S354" s="282" t="n"/>
      <c r="V354" s="282" t="n"/>
      <c r="Y354" s="282" t="n"/>
      <c r="AB354" s="282" t="n"/>
      <c r="AC354" s="537" t="n"/>
      <c r="AD354" s="537" t="n"/>
      <c r="AE354" s="282" t="n"/>
      <c r="AF354" s="537" t="n"/>
      <c r="AG354" s="537" t="n"/>
      <c r="AI354" s="537" t="n"/>
      <c r="AJ354" s="537" t="n"/>
      <c r="AK354" s="282" t="n"/>
      <c r="AL354" s="286" t="n"/>
      <c r="AM354" s="286" t="n"/>
      <c r="AN354" s="282" t="n"/>
    </row>
    <row customHeight="1" ht="15.75" r="355" s="452" spans="1:41">
      <c r="A355" s="44" t="n"/>
      <c r="G355" s="282" t="n"/>
      <c r="J355" s="282" t="n"/>
      <c r="M355" s="282" t="n"/>
      <c r="P355" s="282" t="n"/>
      <c r="S355" s="282" t="n"/>
      <c r="V355" s="282" t="n"/>
      <c r="Y355" s="282" t="n"/>
      <c r="AB355" s="282" t="n"/>
      <c r="AC355" s="537" t="n"/>
      <c r="AD355" s="537" t="n"/>
      <c r="AE355" s="282" t="n"/>
      <c r="AF355" s="537" t="n"/>
      <c r="AG355" s="537" t="n"/>
      <c r="AI355" s="537" t="n"/>
      <c r="AJ355" s="537" t="n"/>
      <c r="AK355" s="282" t="n"/>
      <c r="AL355" s="286" t="n"/>
      <c r="AM355" s="286" t="n"/>
      <c r="AN355" s="282" t="n"/>
    </row>
    <row customHeight="1" ht="15.75" r="356" s="452" spans="1:41">
      <c r="A356" s="44" t="n"/>
      <c r="G356" s="282" t="n"/>
      <c r="J356" s="282" t="n"/>
      <c r="M356" s="282" t="n"/>
      <c r="P356" s="282" t="n"/>
      <c r="S356" s="282" t="n"/>
      <c r="V356" s="282" t="n"/>
      <c r="Y356" s="282" t="n"/>
      <c r="AB356" s="282" t="n"/>
      <c r="AC356" s="537" t="n"/>
      <c r="AD356" s="537" t="n"/>
      <c r="AE356" s="282" t="n"/>
      <c r="AF356" s="537" t="n"/>
      <c r="AG356" s="537" t="n"/>
      <c r="AI356" s="537" t="n"/>
      <c r="AJ356" s="537" t="n"/>
      <c r="AK356" s="282" t="n"/>
      <c r="AL356" s="286" t="n"/>
      <c r="AM356" s="286" t="n"/>
      <c r="AN356" s="282" t="n"/>
    </row>
    <row customHeight="1" ht="15.75" r="357" s="452" spans="1:41">
      <c r="A357" s="44" t="n"/>
      <c r="G357" s="282" t="n"/>
      <c r="J357" s="282" t="n"/>
      <c r="M357" s="282" t="n"/>
      <c r="P357" s="282" t="n"/>
      <c r="S357" s="282" t="n"/>
      <c r="V357" s="282" t="n"/>
      <c r="Y357" s="282" t="n"/>
      <c r="AB357" s="282" t="n"/>
      <c r="AC357" s="537" t="n"/>
      <c r="AD357" s="537" t="n"/>
      <c r="AE357" s="282" t="n"/>
      <c r="AF357" s="537" t="n"/>
      <c r="AG357" s="537" t="n"/>
      <c r="AI357" s="537" t="n"/>
      <c r="AJ357" s="537" t="n"/>
      <c r="AK357" s="282" t="n"/>
      <c r="AL357" s="286" t="n"/>
      <c r="AM357" s="286" t="n"/>
      <c r="AN357" s="282" t="n"/>
    </row>
    <row customHeight="1" ht="15.75" r="358" s="452" spans="1:41">
      <c r="A358" s="44" t="n"/>
      <c r="G358" s="282" t="n"/>
      <c r="J358" s="282" t="n"/>
      <c r="M358" s="282" t="n"/>
      <c r="P358" s="282" t="n"/>
      <c r="S358" s="282" t="n"/>
      <c r="V358" s="282" t="n"/>
      <c r="Y358" s="282" t="n"/>
      <c r="AB358" s="282" t="n"/>
      <c r="AC358" s="537" t="n"/>
      <c r="AD358" s="537" t="n"/>
      <c r="AE358" s="282" t="n"/>
      <c r="AF358" s="537" t="n"/>
      <c r="AG358" s="537" t="n"/>
      <c r="AI358" s="537" t="n"/>
      <c r="AJ358" s="537" t="n"/>
      <c r="AK358" s="282" t="n"/>
      <c r="AL358" s="286" t="n"/>
      <c r="AM358" s="286" t="n"/>
      <c r="AN358" s="282" t="n"/>
    </row>
    <row customHeight="1" ht="15.75" r="359" s="452" spans="1:41">
      <c r="A359" s="44" t="n"/>
      <c r="G359" s="282" t="n"/>
      <c r="J359" s="282" t="n"/>
      <c r="M359" s="282" t="n"/>
      <c r="P359" s="282" t="n"/>
      <c r="S359" s="282" t="n"/>
      <c r="V359" s="282" t="n"/>
      <c r="Y359" s="282" t="n"/>
      <c r="AB359" s="282" t="n"/>
      <c r="AC359" s="537" t="n"/>
      <c r="AD359" s="537" t="n"/>
      <c r="AE359" s="282" t="n"/>
      <c r="AF359" s="537" t="n"/>
      <c r="AG359" s="537" t="n"/>
      <c r="AI359" s="537" t="n"/>
      <c r="AJ359" s="537" t="n"/>
      <c r="AK359" s="282" t="n"/>
      <c r="AL359" s="286" t="n"/>
      <c r="AM359" s="286" t="n"/>
      <c r="AN359" s="282" t="n"/>
    </row>
    <row customHeight="1" ht="15.75" r="360" s="452" spans="1:41">
      <c r="A360" s="44" t="n"/>
      <c r="G360" s="282" t="n"/>
      <c r="J360" s="282" t="n"/>
      <c r="M360" s="282" t="n"/>
      <c r="P360" s="282" t="n"/>
      <c r="S360" s="282" t="n"/>
      <c r="V360" s="282" t="n"/>
      <c r="Y360" s="282" t="n"/>
      <c r="AB360" s="282" t="n"/>
      <c r="AC360" s="537" t="n"/>
      <c r="AD360" s="537" t="n"/>
      <c r="AE360" s="282" t="n"/>
      <c r="AF360" s="537" t="n"/>
      <c r="AG360" s="537" t="n"/>
      <c r="AI360" s="537" t="n"/>
      <c r="AJ360" s="537" t="n"/>
      <c r="AK360" s="282" t="n"/>
      <c r="AL360" s="286" t="n"/>
      <c r="AM360" s="286" t="n"/>
      <c r="AN360" s="282" t="n"/>
    </row>
    <row customHeight="1" ht="15.75" r="361" s="452" spans="1:41">
      <c r="A361" s="44" t="n"/>
      <c r="G361" s="282" t="n"/>
      <c r="J361" s="282" t="n"/>
      <c r="M361" s="282" t="n"/>
      <c r="P361" s="282" t="n"/>
      <c r="S361" s="282" t="n"/>
      <c r="V361" s="282" t="n"/>
      <c r="Y361" s="282" t="n"/>
      <c r="AB361" s="282" t="n"/>
      <c r="AC361" s="537" t="n"/>
      <c r="AD361" s="537" t="n"/>
      <c r="AE361" s="282" t="n"/>
      <c r="AF361" s="537" t="n"/>
      <c r="AG361" s="537" t="n"/>
      <c r="AI361" s="537" t="n"/>
      <c r="AJ361" s="537" t="n"/>
      <c r="AK361" s="282" t="n"/>
      <c r="AL361" s="286" t="n"/>
      <c r="AM361" s="286" t="n"/>
      <c r="AN361" s="282" t="n"/>
    </row>
    <row customHeight="1" ht="15.75" r="362" s="452" spans="1:41">
      <c r="A362" s="44" t="n"/>
      <c r="G362" s="282" t="n"/>
      <c r="J362" s="282" t="n"/>
      <c r="M362" s="282" t="n"/>
      <c r="P362" s="282" t="n"/>
      <c r="S362" s="282" t="n"/>
      <c r="V362" s="282" t="n"/>
      <c r="Y362" s="282" t="n"/>
      <c r="AB362" s="282" t="n"/>
      <c r="AC362" s="537" t="n"/>
      <c r="AD362" s="537" t="n"/>
      <c r="AE362" s="282" t="n"/>
      <c r="AF362" s="537" t="n"/>
      <c r="AG362" s="537" t="n"/>
      <c r="AI362" s="537" t="n"/>
      <c r="AJ362" s="537" t="n"/>
      <c r="AK362" s="282" t="n"/>
      <c r="AL362" s="286" t="n"/>
      <c r="AM362" s="286" t="n"/>
      <c r="AN362" s="282" t="n"/>
    </row>
    <row customHeight="1" ht="15.75" r="363" s="452" spans="1:41">
      <c r="A363" s="44" t="n"/>
      <c r="G363" s="282" t="n"/>
      <c r="J363" s="282" t="n"/>
      <c r="M363" s="282" t="n"/>
      <c r="P363" s="282" t="n"/>
      <c r="S363" s="282" t="n"/>
      <c r="V363" s="282" t="n"/>
      <c r="Y363" s="282" t="n"/>
      <c r="AB363" s="282" t="n"/>
      <c r="AC363" s="537" t="n"/>
      <c r="AD363" s="537" t="n"/>
      <c r="AE363" s="282" t="n"/>
      <c r="AF363" s="537" t="n"/>
      <c r="AG363" s="537" t="n"/>
      <c r="AI363" s="537" t="n"/>
      <c r="AJ363" s="537" t="n"/>
      <c r="AK363" s="282" t="n"/>
      <c r="AL363" s="286" t="n"/>
      <c r="AM363" s="286" t="n"/>
      <c r="AN363" s="282" t="n"/>
    </row>
    <row customHeight="1" ht="15.75" r="364" s="452" spans="1:41">
      <c r="A364" s="44" t="n"/>
      <c r="G364" s="282" t="n"/>
      <c r="J364" s="282" t="n"/>
      <c r="M364" s="282" t="n"/>
      <c r="P364" s="282" t="n"/>
      <c r="S364" s="282" t="n"/>
      <c r="V364" s="282" t="n"/>
      <c r="Y364" s="282" t="n"/>
      <c r="AB364" s="282" t="n"/>
      <c r="AC364" s="537" t="n"/>
      <c r="AD364" s="537" t="n"/>
      <c r="AE364" s="282" t="n"/>
      <c r="AF364" s="537" t="n"/>
      <c r="AG364" s="537" t="n"/>
      <c r="AI364" s="537" t="n"/>
      <c r="AJ364" s="537" t="n"/>
      <c r="AK364" s="282" t="n"/>
      <c r="AL364" s="286" t="n"/>
      <c r="AM364" s="286" t="n"/>
      <c r="AN364" s="282" t="n"/>
    </row>
    <row customHeight="1" ht="15.75" r="365" s="452" spans="1:41">
      <c r="A365" s="44" t="n"/>
      <c r="G365" s="282" t="n"/>
      <c r="J365" s="282" t="n"/>
      <c r="M365" s="282" t="n"/>
      <c r="P365" s="282" t="n"/>
      <c r="S365" s="282" t="n"/>
      <c r="V365" s="282" t="n"/>
      <c r="Y365" s="282" t="n"/>
      <c r="AB365" s="282" t="n"/>
      <c r="AC365" s="537" t="n"/>
      <c r="AD365" s="537" t="n"/>
      <c r="AE365" s="282" t="n"/>
      <c r="AF365" s="537" t="n"/>
      <c r="AG365" s="537" t="n"/>
      <c r="AI365" s="537" t="n"/>
      <c r="AJ365" s="537" t="n"/>
      <c r="AK365" s="282" t="n"/>
      <c r="AL365" s="286" t="n"/>
      <c r="AM365" s="286" t="n"/>
      <c r="AN365" s="282" t="n"/>
    </row>
    <row customHeight="1" ht="15.75" r="366" s="452" spans="1:41">
      <c r="A366" s="44" t="n"/>
      <c r="G366" s="282" t="n"/>
      <c r="J366" s="282" t="n"/>
      <c r="M366" s="282" t="n"/>
      <c r="P366" s="282" t="n"/>
      <c r="S366" s="282" t="n"/>
      <c r="V366" s="282" t="n"/>
      <c r="Y366" s="282" t="n"/>
      <c r="AB366" s="282" t="n"/>
      <c r="AC366" s="537" t="n"/>
      <c r="AD366" s="537" t="n"/>
      <c r="AE366" s="282" t="n"/>
      <c r="AF366" s="537" t="n"/>
      <c r="AG366" s="537" t="n"/>
      <c r="AI366" s="537" t="n"/>
      <c r="AJ366" s="537" t="n"/>
      <c r="AK366" s="282" t="n"/>
      <c r="AL366" s="286" t="n"/>
      <c r="AM366" s="286" t="n"/>
      <c r="AN366" s="282" t="n"/>
    </row>
    <row customHeight="1" ht="15.75" r="367" s="452" spans="1:41">
      <c r="A367" s="44" t="n"/>
      <c r="G367" s="282" t="n"/>
      <c r="J367" s="282" t="n"/>
      <c r="M367" s="282" t="n"/>
      <c r="P367" s="282" t="n"/>
      <c r="S367" s="282" t="n"/>
      <c r="V367" s="282" t="n"/>
      <c r="Y367" s="282" t="n"/>
      <c r="AB367" s="282" t="n"/>
      <c r="AC367" s="537" t="n"/>
      <c r="AD367" s="537" t="n"/>
      <c r="AE367" s="282" t="n"/>
      <c r="AF367" s="537" t="n"/>
      <c r="AG367" s="537" t="n"/>
      <c r="AI367" s="537" t="n"/>
      <c r="AJ367" s="537" t="n"/>
      <c r="AK367" s="282" t="n"/>
      <c r="AL367" s="286" t="n"/>
      <c r="AM367" s="286" t="n"/>
      <c r="AN367" s="282" t="n"/>
    </row>
    <row customHeight="1" ht="15.75" r="368" s="452" spans="1:41">
      <c r="A368" s="44" t="n"/>
      <c r="G368" s="282" t="n"/>
      <c r="J368" s="282" t="n"/>
      <c r="M368" s="282" t="n"/>
      <c r="P368" s="282" t="n"/>
      <c r="S368" s="282" t="n"/>
      <c r="V368" s="282" t="n"/>
      <c r="Y368" s="282" t="n"/>
      <c r="AB368" s="282" t="n"/>
      <c r="AC368" s="537" t="n"/>
      <c r="AD368" s="537" t="n"/>
      <c r="AE368" s="282" t="n"/>
      <c r="AF368" s="537" t="n"/>
      <c r="AG368" s="537" t="n"/>
      <c r="AI368" s="537" t="n"/>
      <c r="AJ368" s="537" t="n"/>
      <c r="AK368" s="282" t="n"/>
      <c r="AL368" s="286" t="n"/>
      <c r="AM368" s="286" t="n"/>
      <c r="AN368" s="282" t="n"/>
    </row>
    <row customHeight="1" ht="15.75" r="369" s="452" spans="1:41">
      <c r="A369" s="44" t="n"/>
      <c r="G369" s="282" t="n"/>
      <c r="J369" s="282" t="n"/>
      <c r="M369" s="282" t="n"/>
      <c r="P369" s="282" t="n"/>
      <c r="S369" s="282" t="n"/>
      <c r="V369" s="282" t="n"/>
      <c r="Y369" s="282" t="n"/>
      <c r="AB369" s="282" t="n"/>
      <c r="AC369" s="537" t="n"/>
      <c r="AD369" s="537" t="n"/>
      <c r="AE369" s="282" t="n"/>
      <c r="AF369" s="537" t="n"/>
      <c r="AG369" s="537" t="n"/>
      <c r="AI369" s="537" t="n"/>
      <c r="AJ369" s="537" t="n"/>
      <c r="AK369" s="282" t="n"/>
      <c r="AL369" s="286" t="n"/>
      <c r="AM369" s="286" t="n"/>
      <c r="AN369" s="282" t="n"/>
    </row>
    <row customHeight="1" ht="15.75" r="370" s="452" spans="1:41">
      <c r="A370" s="44" t="n"/>
      <c r="G370" s="282" t="n"/>
      <c r="J370" s="282" t="n"/>
      <c r="M370" s="282" t="n"/>
      <c r="P370" s="282" t="n"/>
      <c r="S370" s="282" t="n"/>
      <c r="V370" s="282" t="n"/>
      <c r="Y370" s="282" t="n"/>
      <c r="AB370" s="282" t="n"/>
      <c r="AC370" s="537" t="n"/>
      <c r="AD370" s="537" t="n"/>
      <c r="AE370" s="282" t="n"/>
      <c r="AF370" s="537" t="n"/>
      <c r="AG370" s="537" t="n"/>
      <c r="AI370" s="537" t="n"/>
      <c r="AJ370" s="537" t="n"/>
      <c r="AK370" s="282" t="n"/>
      <c r="AL370" s="286" t="n"/>
      <c r="AM370" s="286" t="n"/>
      <c r="AN370" s="282" t="n"/>
    </row>
    <row customHeight="1" ht="15.75" r="371" s="452" spans="1:41">
      <c r="A371" s="44" t="n"/>
      <c r="G371" s="282" t="n"/>
      <c r="J371" s="282" t="n"/>
      <c r="M371" s="282" t="n"/>
      <c r="P371" s="282" t="n"/>
      <c r="S371" s="282" t="n"/>
      <c r="V371" s="282" t="n"/>
      <c r="Y371" s="282" t="n"/>
      <c r="AB371" s="282" t="n"/>
      <c r="AC371" s="537" t="n"/>
      <c r="AD371" s="537" t="n"/>
      <c r="AE371" s="282" t="n"/>
      <c r="AF371" s="537" t="n"/>
      <c r="AG371" s="537" t="n"/>
      <c r="AI371" s="537" t="n"/>
      <c r="AJ371" s="537" t="n"/>
      <c r="AK371" s="282" t="n"/>
      <c r="AL371" s="286" t="n"/>
      <c r="AM371" s="286" t="n"/>
      <c r="AN371" s="282" t="n"/>
    </row>
    <row customHeight="1" ht="15.75" r="372" s="452" spans="1:41">
      <c r="A372" s="44" t="n"/>
      <c r="G372" s="282" t="n"/>
      <c r="J372" s="282" t="n"/>
      <c r="M372" s="282" t="n"/>
      <c r="P372" s="282" t="n"/>
      <c r="S372" s="282" t="n"/>
      <c r="V372" s="282" t="n"/>
      <c r="Y372" s="282" t="n"/>
      <c r="AB372" s="282" t="n"/>
      <c r="AC372" s="537" t="n"/>
      <c r="AD372" s="537" t="n"/>
      <c r="AE372" s="282" t="n"/>
      <c r="AF372" s="537" t="n"/>
      <c r="AG372" s="537" t="n"/>
      <c r="AI372" s="537" t="n"/>
      <c r="AJ372" s="537" t="n"/>
      <c r="AK372" s="282" t="n"/>
      <c r="AL372" s="286" t="n"/>
      <c r="AM372" s="286" t="n"/>
      <c r="AN372" s="282" t="n"/>
    </row>
    <row customHeight="1" ht="15.75" r="373" s="452" spans="1:41">
      <c r="A373" s="44" t="n"/>
      <c r="G373" s="282" t="n"/>
      <c r="J373" s="282" t="n"/>
      <c r="M373" s="282" t="n"/>
      <c r="P373" s="282" t="n"/>
      <c r="S373" s="282" t="n"/>
      <c r="V373" s="282" t="n"/>
      <c r="Y373" s="282" t="n"/>
      <c r="AB373" s="282" t="n"/>
      <c r="AC373" s="537" t="n"/>
      <c r="AD373" s="537" t="n"/>
      <c r="AE373" s="282" t="n"/>
      <c r="AF373" s="537" t="n"/>
      <c r="AG373" s="537" t="n"/>
      <c r="AI373" s="537" t="n"/>
      <c r="AJ373" s="537" t="n"/>
      <c r="AK373" s="282" t="n"/>
      <c r="AL373" s="286" t="n"/>
      <c r="AM373" s="286" t="n"/>
      <c r="AN373" s="282" t="n"/>
    </row>
    <row customHeight="1" ht="15.75" r="374" s="452" spans="1:41">
      <c r="A374" s="44" t="n"/>
      <c r="G374" s="282" t="n"/>
      <c r="J374" s="282" t="n"/>
      <c r="M374" s="282" t="n"/>
      <c r="P374" s="282" t="n"/>
      <c r="S374" s="282" t="n"/>
      <c r="V374" s="282" t="n"/>
      <c r="Y374" s="282" t="n"/>
      <c r="AB374" s="282" t="n"/>
      <c r="AC374" s="537" t="n"/>
      <c r="AD374" s="537" t="n"/>
      <c r="AE374" s="282" t="n"/>
      <c r="AF374" s="537" t="n"/>
      <c r="AG374" s="537" t="n"/>
      <c r="AI374" s="537" t="n"/>
      <c r="AJ374" s="537" t="n"/>
      <c r="AK374" s="282" t="n"/>
      <c r="AL374" s="286" t="n"/>
      <c r="AM374" s="286" t="n"/>
      <c r="AN374" s="282" t="n"/>
    </row>
    <row customHeight="1" ht="15.75" r="375" s="452" spans="1:41">
      <c r="A375" s="44" t="n"/>
      <c r="G375" s="282" t="n"/>
      <c r="J375" s="282" t="n"/>
      <c r="M375" s="282" t="n"/>
      <c r="P375" s="282" t="n"/>
      <c r="S375" s="282" t="n"/>
      <c r="V375" s="282" t="n"/>
      <c r="Y375" s="282" t="n"/>
      <c r="AB375" s="282" t="n"/>
      <c r="AC375" s="537" t="n"/>
      <c r="AD375" s="537" t="n"/>
      <c r="AE375" s="282" t="n"/>
      <c r="AF375" s="537" t="n"/>
      <c r="AG375" s="537" t="n"/>
      <c r="AI375" s="537" t="n"/>
      <c r="AJ375" s="537" t="n"/>
      <c r="AK375" s="282" t="n"/>
      <c r="AL375" s="286" t="n"/>
      <c r="AM375" s="286" t="n"/>
      <c r="AN375" s="282" t="n"/>
    </row>
    <row customHeight="1" ht="15.75" r="376" s="452" spans="1:41">
      <c r="A376" s="44" t="n"/>
      <c r="G376" s="282" t="n"/>
      <c r="J376" s="282" t="n"/>
      <c r="M376" s="282" t="n"/>
      <c r="P376" s="282" t="n"/>
      <c r="S376" s="282" t="n"/>
      <c r="V376" s="282" t="n"/>
      <c r="Y376" s="282" t="n"/>
      <c r="AB376" s="282" t="n"/>
      <c r="AC376" s="537" t="n"/>
      <c r="AD376" s="537" t="n"/>
      <c r="AE376" s="282" t="n"/>
      <c r="AF376" s="537" t="n"/>
      <c r="AG376" s="537" t="n"/>
      <c r="AI376" s="537" t="n"/>
      <c r="AJ376" s="537" t="n"/>
      <c r="AK376" s="282" t="n"/>
      <c r="AL376" s="286" t="n"/>
      <c r="AM376" s="286" t="n"/>
      <c r="AN376" s="282" t="n"/>
    </row>
    <row customHeight="1" ht="15.75" r="377" s="452" spans="1:41">
      <c r="A377" s="44" t="n"/>
      <c r="G377" s="282" t="n"/>
      <c r="J377" s="282" t="n"/>
      <c r="M377" s="282" t="n"/>
      <c r="P377" s="282" t="n"/>
      <c r="S377" s="282" t="n"/>
      <c r="V377" s="282" t="n"/>
      <c r="Y377" s="282" t="n"/>
      <c r="AB377" s="282" t="n"/>
      <c r="AC377" s="537" t="n"/>
      <c r="AD377" s="537" t="n"/>
      <c r="AE377" s="282" t="n"/>
      <c r="AF377" s="537" t="n"/>
      <c r="AG377" s="537" t="n"/>
      <c r="AI377" s="537" t="n"/>
      <c r="AJ377" s="537" t="n"/>
      <c r="AK377" s="282" t="n"/>
      <c r="AL377" s="286" t="n"/>
      <c r="AM377" s="286" t="n"/>
      <c r="AN377" s="282" t="n"/>
    </row>
    <row customHeight="1" ht="15.75" r="378" s="452" spans="1:41">
      <c r="A378" s="44" t="n"/>
      <c r="G378" s="282" t="n"/>
      <c r="J378" s="282" t="n"/>
      <c r="M378" s="282" t="n"/>
      <c r="P378" s="282" t="n"/>
      <c r="S378" s="282" t="n"/>
      <c r="V378" s="282" t="n"/>
      <c r="Y378" s="282" t="n"/>
      <c r="AB378" s="282" t="n"/>
      <c r="AC378" s="537" t="n"/>
      <c r="AD378" s="537" t="n"/>
      <c r="AE378" s="282" t="n"/>
      <c r="AF378" s="537" t="n"/>
      <c r="AG378" s="537" t="n"/>
      <c r="AI378" s="537" t="n"/>
      <c r="AJ378" s="537" t="n"/>
      <c r="AK378" s="282" t="n"/>
      <c r="AL378" s="286" t="n"/>
      <c r="AM378" s="286" t="n"/>
      <c r="AN378" s="282" t="n"/>
    </row>
    <row customHeight="1" ht="15.75" r="379" s="452" spans="1:41">
      <c r="A379" s="44" t="n"/>
      <c r="G379" s="282" t="n"/>
      <c r="J379" s="282" t="n"/>
      <c r="M379" s="282" t="n"/>
      <c r="P379" s="282" t="n"/>
      <c r="S379" s="282" t="n"/>
      <c r="V379" s="282" t="n"/>
      <c r="Y379" s="282" t="n"/>
      <c r="AB379" s="282" t="n"/>
      <c r="AC379" s="537" t="n"/>
      <c r="AD379" s="537" t="n"/>
      <c r="AE379" s="282" t="n"/>
      <c r="AF379" s="537" t="n"/>
      <c r="AG379" s="537" t="n"/>
      <c r="AI379" s="537" t="n"/>
      <c r="AJ379" s="537" t="n"/>
      <c r="AK379" s="282" t="n"/>
      <c r="AL379" s="286" t="n"/>
      <c r="AM379" s="286" t="n"/>
      <c r="AN379" s="282" t="n"/>
    </row>
    <row customHeight="1" ht="15.75" r="380" s="452" spans="1:41">
      <c r="A380" s="44" t="n"/>
      <c r="G380" s="282" t="n"/>
      <c r="J380" s="282" t="n"/>
      <c r="M380" s="282" t="n"/>
      <c r="P380" s="282" t="n"/>
      <c r="S380" s="282" t="n"/>
      <c r="V380" s="282" t="n"/>
      <c r="Y380" s="282" t="n"/>
      <c r="AB380" s="282" t="n"/>
      <c r="AC380" s="537" t="n"/>
      <c r="AD380" s="537" t="n"/>
      <c r="AE380" s="282" t="n"/>
      <c r="AF380" s="537" t="n"/>
      <c r="AG380" s="537" t="n"/>
      <c r="AI380" s="537" t="n"/>
      <c r="AJ380" s="537" t="n"/>
      <c r="AK380" s="282" t="n"/>
      <c r="AL380" s="286" t="n"/>
      <c r="AM380" s="286" t="n"/>
      <c r="AN380" s="282" t="n"/>
    </row>
    <row customHeight="1" ht="15.75" r="381" s="452" spans="1:41">
      <c r="A381" s="44" t="n"/>
      <c r="G381" s="282" t="n"/>
      <c r="J381" s="282" t="n"/>
      <c r="M381" s="282" t="n"/>
      <c r="P381" s="282" t="n"/>
      <c r="S381" s="282" t="n"/>
      <c r="V381" s="282" t="n"/>
      <c r="Y381" s="282" t="n"/>
      <c r="AB381" s="282" t="n"/>
      <c r="AC381" s="537" t="n"/>
      <c r="AD381" s="537" t="n"/>
      <c r="AE381" s="282" t="n"/>
      <c r="AF381" s="537" t="n"/>
      <c r="AG381" s="537" t="n"/>
      <c r="AI381" s="537" t="n"/>
      <c r="AJ381" s="537" t="n"/>
      <c r="AK381" s="282" t="n"/>
      <c r="AL381" s="286" t="n"/>
      <c r="AM381" s="286" t="n"/>
      <c r="AN381" s="282" t="n"/>
    </row>
    <row customHeight="1" ht="15.75" r="382" s="452" spans="1:41">
      <c r="A382" s="44" t="n"/>
      <c r="G382" s="282" t="n"/>
      <c r="J382" s="282" t="n"/>
      <c r="M382" s="282" t="n"/>
      <c r="P382" s="282" t="n"/>
      <c r="S382" s="282" t="n"/>
      <c r="V382" s="282" t="n"/>
      <c r="Y382" s="282" t="n"/>
      <c r="AB382" s="282" t="n"/>
      <c r="AC382" s="537" t="n"/>
      <c r="AD382" s="537" t="n"/>
      <c r="AE382" s="282" t="n"/>
      <c r="AF382" s="537" t="n"/>
      <c r="AG382" s="537" t="n"/>
      <c r="AI382" s="537" t="n"/>
      <c r="AJ382" s="537" t="n"/>
      <c r="AK382" s="282" t="n"/>
      <c r="AL382" s="286" t="n"/>
      <c r="AM382" s="286" t="n"/>
      <c r="AN382" s="282" t="n"/>
    </row>
    <row customHeight="1" ht="15.75" r="383" s="452" spans="1:41">
      <c r="A383" s="44" t="n"/>
      <c r="G383" s="282" t="n"/>
      <c r="J383" s="282" t="n"/>
      <c r="M383" s="282" t="n"/>
      <c r="P383" s="282" t="n"/>
      <c r="S383" s="282" t="n"/>
      <c r="V383" s="282" t="n"/>
      <c r="Y383" s="282" t="n"/>
      <c r="AB383" s="282" t="n"/>
      <c r="AC383" s="537" t="n"/>
      <c r="AD383" s="537" t="n"/>
      <c r="AE383" s="282" t="n"/>
      <c r="AF383" s="537" t="n"/>
      <c r="AG383" s="537" t="n"/>
      <c r="AI383" s="537" t="n"/>
      <c r="AJ383" s="537" t="n"/>
      <c r="AK383" s="282" t="n"/>
      <c r="AL383" s="286" t="n"/>
      <c r="AM383" s="286" t="n"/>
      <c r="AN383" s="282" t="n"/>
    </row>
    <row customHeight="1" ht="15.75" r="384" s="452" spans="1:41">
      <c r="A384" s="44" t="n"/>
      <c r="G384" s="282" t="n"/>
      <c r="J384" s="282" t="n"/>
      <c r="M384" s="282" t="n"/>
      <c r="P384" s="282" t="n"/>
      <c r="S384" s="282" t="n"/>
      <c r="V384" s="282" t="n"/>
      <c r="Y384" s="282" t="n"/>
      <c r="AB384" s="282" t="n"/>
      <c r="AC384" s="537" t="n"/>
      <c r="AD384" s="537" t="n"/>
      <c r="AE384" s="282" t="n"/>
      <c r="AF384" s="537" t="n"/>
      <c r="AG384" s="537" t="n"/>
      <c r="AI384" s="537" t="n"/>
      <c r="AJ384" s="537" t="n"/>
      <c r="AK384" s="282" t="n"/>
      <c r="AL384" s="286" t="n"/>
      <c r="AM384" s="286" t="n"/>
      <c r="AN384" s="282" t="n"/>
    </row>
    <row customHeight="1" ht="15.75" r="385" s="452" spans="1:41">
      <c r="A385" s="44" t="n"/>
      <c r="G385" s="282" t="n"/>
      <c r="J385" s="282" t="n"/>
      <c r="M385" s="282" t="n"/>
      <c r="P385" s="282" t="n"/>
      <c r="S385" s="282" t="n"/>
      <c r="V385" s="282" t="n"/>
      <c r="Y385" s="282" t="n"/>
      <c r="AB385" s="282" t="n"/>
      <c r="AC385" s="537" t="n"/>
      <c r="AD385" s="537" t="n"/>
      <c r="AE385" s="282" t="n"/>
      <c r="AF385" s="537" t="n"/>
      <c r="AG385" s="537" t="n"/>
      <c r="AI385" s="537" t="n"/>
      <c r="AJ385" s="537" t="n"/>
      <c r="AK385" s="282" t="n"/>
      <c r="AL385" s="286" t="n"/>
      <c r="AM385" s="286" t="n"/>
      <c r="AN385" s="282" t="n"/>
    </row>
    <row customHeight="1" ht="15.75" r="386" s="452" spans="1:41">
      <c r="A386" s="44" t="n"/>
      <c r="G386" s="282" t="n"/>
      <c r="J386" s="282" t="n"/>
      <c r="M386" s="282" t="n"/>
      <c r="P386" s="282" t="n"/>
      <c r="S386" s="282" t="n"/>
      <c r="V386" s="282" t="n"/>
      <c r="Y386" s="282" t="n"/>
      <c r="AB386" s="282" t="n"/>
      <c r="AC386" s="537" t="n"/>
      <c r="AD386" s="537" t="n"/>
      <c r="AE386" s="282" t="n"/>
      <c r="AF386" s="537" t="n"/>
      <c r="AG386" s="537" t="n"/>
      <c r="AI386" s="537" t="n"/>
      <c r="AJ386" s="537" t="n"/>
      <c r="AK386" s="282" t="n"/>
      <c r="AL386" s="286" t="n"/>
      <c r="AM386" s="286" t="n"/>
      <c r="AN386" s="282" t="n"/>
    </row>
    <row customHeight="1" ht="15.75" r="387" s="452" spans="1:41">
      <c r="A387" s="44" t="n"/>
      <c r="G387" s="282" t="n"/>
      <c r="J387" s="282" t="n"/>
      <c r="M387" s="282" t="n"/>
      <c r="P387" s="282" t="n"/>
      <c r="S387" s="282" t="n"/>
      <c r="V387" s="282" t="n"/>
      <c r="Y387" s="282" t="n"/>
      <c r="AB387" s="282" t="n"/>
      <c r="AC387" s="537" t="n"/>
      <c r="AD387" s="537" t="n"/>
      <c r="AE387" s="282" t="n"/>
      <c r="AF387" s="537" t="n"/>
      <c r="AG387" s="537" t="n"/>
      <c r="AI387" s="537" t="n"/>
      <c r="AJ387" s="537" t="n"/>
      <c r="AK387" s="282" t="n"/>
      <c r="AL387" s="286" t="n"/>
      <c r="AM387" s="286" t="n"/>
      <c r="AN387" s="282" t="n"/>
    </row>
    <row customHeight="1" ht="15.75" r="388" s="452" spans="1:41">
      <c r="A388" s="44" t="n"/>
      <c r="G388" s="282" t="n"/>
      <c r="J388" s="282" t="n"/>
      <c r="M388" s="282" t="n"/>
      <c r="P388" s="282" t="n"/>
      <c r="S388" s="282" t="n"/>
      <c r="V388" s="282" t="n"/>
      <c r="Y388" s="282" t="n"/>
      <c r="AB388" s="282" t="n"/>
      <c r="AC388" s="537" t="n"/>
      <c r="AD388" s="537" t="n"/>
      <c r="AE388" s="282" t="n"/>
      <c r="AF388" s="537" t="n"/>
      <c r="AG388" s="537" t="n"/>
      <c r="AI388" s="537" t="n"/>
      <c r="AJ388" s="537" t="n"/>
      <c r="AK388" s="282" t="n"/>
      <c r="AL388" s="286" t="n"/>
      <c r="AM388" s="286" t="n"/>
      <c r="AN388" s="282" t="n"/>
    </row>
    <row customHeight="1" ht="15.75" r="389" s="452" spans="1:41">
      <c r="A389" s="44" t="n"/>
      <c r="G389" s="282" t="n"/>
      <c r="J389" s="282" t="n"/>
      <c r="M389" s="282" t="n"/>
      <c r="P389" s="282" t="n"/>
      <c r="S389" s="282" t="n"/>
      <c r="V389" s="282" t="n"/>
      <c r="Y389" s="282" t="n"/>
      <c r="AB389" s="282" t="n"/>
      <c r="AC389" s="537" t="n"/>
      <c r="AD389" s="537" t="n"/>
      <c r="AE389" s="282" t="n"/>
      <c r="AF389" s="537" t="n"/>
      <c r="AG389" s="537" t="n"/>
      <c r="AI389" s="537" t="n"/>
      <c r="AJ389" s="537" t="n"/>
      <c r="AK389" s="282" t="n"/>
      <c r="AL389" s="286" t="n"/>
      <c r="AM389" s="286" t="n"/>
      <c r="AN389" s="282" t="n"/>
    </row>
    <row customHeight="1" ht="15.75" r="390" s="452" spans="1:41">
      <c r="A390" s="44" t="n"/>
      <c r="G390" s="282" t="n"/>
      <c r="J390" s="282" t="n"/>
      <c r="M390" s="282" t="n"/>
      <c r="P390" s="282" t="n"/>
      <c r="S390" s="282" t="n"/>
      <c r="V390" s="282" t="n"/>
      <c r="Y390" s="282" t="n"/>
      <c r="AB390" s="282" t="n"/>
      <c r="AC390" s="537" t="n"/>
      <c r="AD390" s="537" t="n"/>
      <c r="AE390" s="282" t="n"/>
      <c r="AF390" s="537" t="n"/>
      <c r="AG390" s="537" t="n"/>
      <c r="AI390" s="537" t="n"/>
      <c r="AJ390" s="537" t="n"/>
      <c r="AK390" s="282" t="n"/>
      <c r="AL390" s="286" t="n"/>
      <c r="AM390" s="286" t="n"/>
      <c r="AN390" s="282" t="n"/>
    </row>
    <row customHeight="1" ht="15.75" r="391" s="452" spans="1:41">
      <c r="A391" s="44" t="n"/>
      <c r="G391" s="282" t="n"/>
      <c r="J391" s="282" t="n"/>
      <c r="M391" s="282" t="n"/>
      <c r="P391" s="282" t="n"/>
      <c r="S391" s="282" t="n"/>
      <c r="V391" s="282" t="n"/>
      <c r="Y391" s="282" t="n"/>
      <c r="AB391" s="282" t="n"/>
      <c r="AC391" s="537" t="n"/>
      <c r="AD391" s="537" t="n"/>
      <c r="AE391" s="282" t="n"/>
      <c r="AF391" s="537" t="n"/>
      <c r="AG391" s="537" t="n"/>
      <c r="AI391" s="537" t="n"/>
      <c r="AJ391" s="537" t="n"/>
      <c r="AK391" s="282" t="n"/>
      <c r="AL391" s="286" t="n"/>
      <c r="AM391" s="286" t="n"/>
      <c r="AN391" s="282" t="n"/>
    </row>
    <row customHeight="1" ht="15.75" r="392" s="452" spans="1:41">
      <c r="A392" s="44" t="n"/>
      <c r="G392" s="282" t="n"/>
      <c r="J392" s="282" t="n"/>
      <c r="M392" s="282" t="n"/>
      <c r="P392" s="282" t="n"/>
      <c r="S392" s="282" t="n"/>
      <c r="V392" s="282" t="n"/>
      <c r="Y392" s="282" t="n"/>
      <c r="AB392" s="282" t="n"/>
      <c r="AC392" s="537" t="n"/>
      <c r="AD392" s="537" t="n"/>
      <c r="AE392" s="282" t="n"/>
      <c r="AF392" s="537" t="n"/>
      <c r="AG392" s="537" t="n"/>
      <c r="AI392" s="537" t="n"/>
      <c r="AJ392" s="537" t="n"/>
      <c r="AK392" s="282" t="n"/>
      <c r="AL392" s="286" t="n"/>
      <c r="AM392" s="286" t="n"/>
      <c r="AN392" s="282" t="n"/>
    </row>
    <row customHeight="1" ht="15.75" r="393" s="452" spans="1:41">
      <c r="A393" s="44" t="n"/>
      <c r="G393" s="282" t="n"/>
      <c r="J393" s="282" t="n"/>
      <c r="M393" s="282" t="n"/>
      <c r="P393" s="282" t="n"/>
      <c r="S393" s="282" t="n"/>
      <c r="V393" s="282" t="n"/>
      <c r="Y393" s="282" t="n"/>
      <c r="AB393" s="282" t="n"/>
      <c r="AC393" s="537" t="n"/>
      <c r="AD393" s="537" t="n"/>
      <c r="AE393" s="282" t="n"/>
      <c r="AF393" s="537" t="n"/>
      <c r="AG393" s="537" t="n"/>
      <c r="AI393" s="537" t="n"/>
      <c r="AJ393" s="537" t="n"/>
      <c r="AK393" s="282" t="n"/>
      <c r="AL393" s="286" t="n"/>
      <c r="AM393" s="286" t="n"/>
      <c r="AN393" s="282" t="n"/>
    </row>
    <row customHeight="1" ht="15.75" r="394" s="452" spans="1:41">
      <c r="A394" s="44" t="n"/>
      <c r="G394" s="282" t="n"/>
      <c r="J394" s="282" t="n"/>
      <c r="M394" s="282" t="n"/>
      <c r="P394" s="282" t="n"/>
      <c r="S394" s="282" t="n"/>
      <c r="V394" s="282" t="n"/>
      <c r="Y394" s="282" t="n"/>
      <c r="AB394" s="282" t="n"/>
      <c r="AC394" s="537" t="n"/>
      <c r="AD394" s="537" t="n"/>
      <c r="AE394" s="282" t="n"/>
      <c r="AF394" s="537" t="n"/>
      <c r="AG394" s="537" t="n"/>
      <c r="AI394" s="537" t="n"/>
      <c r="AJ394" s="537" t="n"/>
      <c r="AK394" s="282" t="n"/>
      <c r="AL394" s="286" t="n"/>
      <c r="AM394" s="286" t="n"/>
      <c r="AN394" s="282" t="n"/>
    </row>
    <row customHeight="1" ht="15.75" r="395" s="452" spans="1:41">
      <c r="A395" s="44" t="n"/>
      <c r="G395" s="282" t="n"/>
      <c r="J395" s="282" t="n"/>
      <c r="M395" s="282" t="n"/>
      <c r="P395" s="282" t="n"/>
      <c r="S395" s="282" t="n"/>
      <c r="V395" s="282" t="n"/>
      <c r="Y395" s="282" t="n"/>
      <c r="AB395" s="282" t="n"/>
      <c r="AC395" s="537" t="n"/>
      <c r="AD395" s="537" t="n"/>
      <c r="AE395" s="282" t="n"/>
      <c r="AF395" s="537" t="n"/>
      <c r="AG395" s="537" t="n"/>
      <c r="AI395" s="537" t="n"/>
      <c r="AJ395" s="537" t="n"/>
      <c r="AK395" s="282" t="n"/>
      <c r="AL395" s="286" t="n"/>
      <c r="AM395" s="286" t="n"/>
      <c r="AN395" s="282" t="n"/>
    </row>
    <row customHeight="1" ht="15.75" r="396" s="452" spans="1:41">
      <c r="A396" s="44" t="n"/>
      <c r="G396" s="282" t="n"/>
      <c r="J396" s="282" t="n"/>
      <c r="M396" s="282" t="n"/>
      <c r="P396" s="282" t="n"/>
      <c r="S396" s="282" t="n"/>
      <c r="V396" s="282" t="n"/>
      <c r="Y396" s="282" t="n"/>
      <c r="AB396" s="282" t="n"/>
      <c r="AC396" s="537" t="n"/>
      <c r="AD396" s="537" t="n"/>
      <c r="AE396" s="282" t="n"/>
      <c r="AF396" s="537" t="n"/>
      <c r="AG396" s="537" t="n"/>
      <c r="AI396" s="537" t="n"/>
      <c r="AJ396" s="537" t="n"/>
      <c r="AK396" s="282" t="n"/>
      <c r="AL396" s="286" t="n"/>
      <c r="AM396" s="286" t="n"/>
      <c r="AN396" s="282" t="n"/>
    </row>
    <row customHeight="1" ht="15.75" r="397" s="452" spans="1:41">
      <c r="A397" s="44" t="n"/>
      <c r="G397" s="282" t="n"/>
      <c r="J397" s="282" t="n"/>
      <c r="M397" s="282" t="n"/>
      <c r="P397" s="282" t="n"/>
      <c r="S397" s="282" t="n"/>
      <c r="V397" s="282" t="n"/>
      <c r="Y397" s="282" t="n"/>
      <c r="AB397" s="282" t="n"/>
      <c r="AC397" s="537" t="n"/>
      <c r="AD397" s="537" t="n"/>
      <c r="AE397" s="282" t="n"/>
      <c r="AF397" s="537" t="n"/>
      <c r="AG397" s="537" t="n"/>
      <c r="AI397" s="537" t="n"/>
      <c r="AJ397" s="537" t="n"/>
      <c r="AK397" s="282" t="n"/>
      <c r="AL397" s="286" t="n"/>
      <c r="AM397" s="286" t="n"/>
      <c r="AN397" s="282" t="n"/>
    </row>
    <row customHeight="1" ht="15.75" r="398" s="452" spans="1:41">
      <c r="A398" s="44" t="n"/>
      <c r="G398" s="282" t="n"/>
      <c r="J398" s="282" t="n"/>
      <c r="M398" s="282" t="n"/>
      <c r="P398" s="282" t="n"/>
      <c r="S398" s="282" t="n"/>
      <c r="V398" s="282" t="n"/>
      <c r="Y398" s="282" t="n"/>
      <c r="AB398" s="282" t="n"/>
      <c r="AC398" s="537" t="n"/>
      <c r="AD398" s="537" t="n"/>
      <c r="AE398" s="282" t="n"/>
      <c r="AF398" s="537" t="n"/>
      <c r="AG398" s="537" t="n"/>
      <c r="AI398" s="537" t="n"/>
      <c r="AJ398" s="537" t="n"/>
      <c r="AK398" s="282" t="n"/>
      <c r="AL398" s="286" t="n"/>
      <c r="AM398" s="286" t="n"/>
      <c r="AN398" s="282" t="n"/>
    </row>
    <row customHeight="1" ht="15.75" r="399" s="452" spans="1:41">
      <c r="A399" s="44" t="n"/>
      <c r="G399" s="282" t="n"/>
      <c r="J399" s="282" t="n"/>
      <c r="M399" s="282" t="n"/>
      <c r="P399" s="282" t="n"/>
      <c r="S399" s="282" t="n"/>
      <c r="V399" s="282" t="n"/>
      <c r="Y399" s="282" t="n"/>
      <c r="AB399" s="282" t="n"/>
      <c r="AC399" s="537" t="n"/>
      <c r="AD399" s="537" t="n"/>
      <c r="AE399" s="282" t="n"/>
      <c r="AF399" s="537" t="n"/>
      <c r="AG399" s="537" t="n"/>
      <c r="AI399" s="537" t="n"/>
      <c r="AJ399" s="537" t="n"/>
      <c r="AK399" s="282" t="n"/>
      <c r="AL399" s="286" t="n"/>
      <c r="AM399" s="286" t="n"/>
      <c r="AN399" s="282" t="n"/>
    </row>
    <row customHeight="1" ht="15.75" r="400" s="452" spans="1:41">
      <c r="A400" s="44" t="n"/>
      <c r="G400" s="282" t="n"/>
      <c r="J400" s="282" t="n"/>
      <c r="M400" s="282" t="n"/>
      <c r="P400" s="282" t="n"/>
      <c r="S400" s="282" t="n"/>
      <c r="V400" s="282" t="n"/>
      <c r="Y400" s="282" t="n"/>
      <c r="AB400" s="282" t="n"/>
      <c r="AC400" s="537" t="n"/>
      <c r="AD400" s="537" t="n"/>
      <c r="AE400" s="282" t="n"/>
      <c r="AF400" s="537" t="n"/>
      <c r="AG400" s="537" t="n"/>
      <c r="AI400" s="537" t="n"/>
      <c r="AJ400" s="537" t="n"/>
      <c r="AK400" s="282" t="n"/>
      <c r="AL400" s="286" t="n"/>
      <c r="AM400" s="286" t="n"/>
      <c r="AN400" s="282" t="n"/>
    </row>
    <row customHeight="1" ht="15.75" r="401" s="452" spans="1:41">
      <c r="A401" s="44" t="n"/>
      <c r="G401" s="282" t="n"/>
      <c r="J401" s="282" t="n"/>
      <c r="M401" s="282" t="n"/>
      <c r="P401" s="282" t="n"/>
      <c r="S401" s="282" t="n"/>
      <c r="V401" s="282" t="n"/>
      <c r="Y401" s="282" t="n"/>
      <c r="AB401" s="282" t="n"/>
      <c r="AC401" s="537" t="n"/>
      <c r="AD401" s="537" t="n"/>
      <c r="AE401" s="282" t="n"/>
      <c r="AF401" s="537" t="n"/>
      <c r="AG401" s="537" t="n"/>
      <c r="AI401" s="537" t="n"/>
      <c r="AJ401" s="537" t="n"/>
      <c r="AK401" s="282" t="n"/>
      <c r="AL401" s="286" t="n"/>
      <c r="AM401" s="286" t="n"/>
      <c r="AN401" s="282" t="n"/>
    </row>
    <row customHeight="1" ht="15.75" r="402" s="452" spans="1:41">
      <c r="A402" s="44" t="n"/>
      <c r="G402" s="282" t="n"/>
      <c r="J402" s="282" t="n"/>
      <c r="M402" s="282" t="n"/>
      <c r="P402" s="282" t="n"/>
      <c r="S402" s="282" t="n"/>
      <c r="V402" s="282" t="n"/>
      <c r="Y402" s="282" t="n"/>
      <c r="AB402" s="282" t="n"/>
      <c r="AC402" s="537" t="n"/>
      <c r="AD402" s="537" t="n"/>
      <c r="AE402" s="282" t="n"/>
      <c r="AF402" s="537" t="n"/>
      <c r="AG402" s="537" t="n"/>
      <c r="AI402" s="537" t="n"/>
      <c r="AJ402" s="537" t="n"/>
      <c r="AK402" s="282" t="n"/>
      <c r="AL402" s="286" t="n"/>
      <c r="AM402" s="286" t="n"/>
      <c r="AN402" s="282" t="n"/>
    </row>
    <row customHeight="1" ht="15.75" r="403" s="452" spans="1:41">
      <c r="A403" s="44" t="n"/>
      <c r="G403" s="282" t="n"/>
      <c r="J403" s="282" t="n"/>
      <c r="M403" s="282" t="n"/>
      <c r="P403" s="282" t="n"/>
      <c r="S403" s="282" t="n"/>
      <c r="V403" s="282" t="n"/>
      <c r="Y403" s="282" t="n"/>
      <c r="AB403" s="282" t="n"/>
      <c r="AC403" s="537" t="n"/>
      <c r="AD403" s="537" t="n"/>
      <c r="AE403" s="282" t="n"/>
      <c r="AF403" s="537" t="n"/>
      <c r="AG403" s="537" t="n"/>
      <c r="AI403" s="537" t="n"/>
      <c r="AJ403" s="537" t="n"/>
      <c r="AK403" s="282" t="n"/>
      <c r="AL403" s="286" t="n"/>
      <c r="AM403" s="286" t="n"/>
      <c r="AN403" s="282" t="n"/>
    </row>
    <row customHeight="1" ht="15.75" r="404" s="452" spans="1:41">
      <c r="A404" s="44" t="n"/>
      <c r="G404" s="282" t="n"/>
      <c r="J404" s="282" t="n"/>
      <c r="M404" s="282" t="n"/>
      <c r="P404" s="282" t="n"/>
      <c r="S404" s="282" t="n"/>
      <c r="V404" s="282" t="n"/>
      <c r="Y404" s="282" t="n"/>
      <c r="AB404" s="282" t="n"/>
      <c r="AC404" s="537" t="n"/>
      <c r="AD404" s="537" t="n"/>
      <c r="AE404" s="282" t="n"/>
      <c r="AF404" s="537" t="n"/>
      <c r="AG404" s="537" t="n"/>
      <c r="AI404" s="537" t="n"/>
      <c r="AJ404" s="537" t="n"/>
      <c r="AK404" s="282" t="n"/>
      <c r="AL404" s="286" t="n"/>
      <c r="AM404" s="286" t="n"/>
      <c r="AN404" s="282" t="n"/>
    </row>
    <row customHeight="1" ht="15.75" r="405" s="452" spans="1:41">
      <c r="A405" s="44" t="n"/>
      <c r="G405" s="282" t="n"/>
      <c r="J405" s="282" t="n"/>
      <c r="M405" s="282" t="n"/>
      <c r="P405" s="282" t="n"/>
      <c r="S405" s="282" t="n"/>
      <c r="V405" s="282" t="n"/>
      <c r="Y405" s="282" t="n"/>
      <c r="AB405" s="282" t="n"/>
      <c r="AC405" s="537" t="n"/>
      <c r="AD405" s="537" t="n"/>
      <c r="AE405" s="282" t="n"/>
      <c r="AF405" s="537" t="n"/>
      <c r="AG405" s="537" t="n"/>
      <c r="AI405" s="537" t="n"/>
      <c r="AJ405" s="537" t="n"/>
      <c r="AK405" s="282" t="n"/>
      <c r="AL405" s="286" t="n"/>
      <c r="AM405" s="286" t="n"/>
      <c r="AN405" s="282" t="n"/>
    </row>
    <row customHeight="1" ht="15.75" r="406" s="452" spans="1:41">
      <c r="A406" s="44" t="n"/>
      <c r="G406" s="282" t="n"/>
      <c r="J406" s="282" t="n"/>
      <c r="M406" s="282" t="n"/>
      <c r="P406" s="282" t="n"/>
      <c r="S406" s="282" t="n"/>
      <c r="V406" s="282" t="n"/>
      <c r="Y406" s="282" t="n"/>
      <c r="AB406" s="282" t="n"/>
      <c r="AC406" s="537" t="n"/>
      <c r="AD406" s="537" t="n"/>
      <c r="AE406" s="282" t="n"/>
      <c r="AF406" s="537" t="n"/>
      <c r="AG406" s="537" t="n"/>
      <c r="AI406" s="537" t="n"/>
      <c r="AJ406" s="537" t="n"/>
      <c r="AK406" s="282" t="n"/>
      <c r="AL406" s="286" t="n"/>
      <c r="AM406" s="286" t="n"/>
      <c r="AN406" s="282" t="n"/>
    </row>
    <row customHeight="1" ht="15.75" r="407" s="452" spans="1:41">
      <c r="A407" s="44" t="n"/>
      <c r="G407" s="282" t="n"/>
      <c r="J407" s="282" t="n"/>
      <c r="M407" s="282" t="n"/>
      <c r="P407" s="282" t="n"/>
      <c r="S407" s="282" t="n"/>
      <c r="V407" s="282" t="n"/>
      <c r="Y407" s="282" t="n"/>
      <c r="AB407" s="282" t="n"/>
      <c r="AC407" s="537" t="n"/>
      <c r="AD407" s="537" t="n"/>
      <c r="AE407" s="282" t="n"/>
      <c r="AF407" s="537" t="n"/>
      <c r="AG407" s="537" t="n"/>
      <c r="AI407" s="537" t="n"/>
      <c r="AJ407" s="537" t="n"/>
      <c r="AK407" s="282" t="n"/>
      <c r="AL407" s="286" t="n"/>
      <c r="AM407" s="286" t="n"/>
      <c r="AN407" s="282" t="n"/>
    </row>
    <row customHeight="1" ht="15.75" r="408" s="452" spans="1:41">
      <c r="A408" s="44" t="n"/>
      <c r="G408" s="282" t="n"/>
      <c r="J408" s="282" t="n"/>
      <c r="M408" s="282" t="n"/>
      <c r="P408" s="282" t="n"/>
      <c r="S408" s="282" t="n"/>
      <c r="V408" s="282" t="n"/>
      <c r="Y408" s="282" t="n"/>
      <c r="AB408" s="282" t="n"/>
      <c r="AC408" s="537" t="n"/>
      <c r="AD408" s="537" t="n"/>
      <c r="AE408" s="282" t="n"/>
      <c r="AF408" s="537" t="n"/>
      <c r="AG408" s="537" t="n"/>
      <c r="AI408" s="537" t="n"/>
      <c r="AJ408" s="537" t="n"/>
      <c r="AK408" s="282" t="n"/>
      <c r="AL408" s="286" t="n"/>
      <c r="AM408" s="286" t="n"/>
      <c r="AN408" s="282" t="n"/>
    </row>
    <row customHeight="1" ht="15.75" r="409" s="452" spans="1:41">
      <c r="A409" s="44" t="n"/>
      <c r="G409" s="282" t="n"/>
      <c r="J409" s="282" t="n"/>
      <c r="M409" s="282" t="n"/>
      <c r="P409" s="282" t="n"/>
      <c r="S409" s="282" t="n"/>
      <c r="V409" s="282" t="n"/>
      <c r="Y409" s="282" t="n"/>
      <c r="AB409" s="282" t="n"/>
      <c r="AC409" s="537" t="n"/>
      <c r="AD409" s="537" t="n"/>
      <c r="AE409" s="282" t="n"/>
      <c r="AF409" s="537" t="n"/>
      <c r="AG409" s="537" t="n"/>
      <c r="AI409" s="537" t="n"/>
      <c r="AJ409" s="537" t="n"/>
      <c r="AK409" s="282" t="n"/>
      <c r="AL409" s="286" t="n"/>
      <c r="AM409" s="286" t="n"/>
      <c r="AN409" s="282" t="n"/>
    </row>
    <row customHeight="1" ht="15.75" r="410" s="452" spans="1:41">
      <c r="A410" s="44" t="n"/>
      <c r="G410" s="282" t="n"/>
      <c r="J410" s="282" t="n"/>
      <c r="M410" s="282" t="n"/>
      <c r="P410" s="282" t="n"/>
      <c r="S410" s="282" t="n"/>
      <c r="V410" s="282" t="n"/>
      <c r="Y410" s="282" t="n"/>
      <c r="AB410" s="282" t="n"/>
      <c r="AC410" s="537" t="n"/>
      <c r="AD410" s="537" t="n"/>
      <c r="AE410" s="282" t="n"/>
      <c r="AF410" s="537" t="n"/>
      <c r="AG410" s="537" t="n"/>
      <c r="AI410" s="537" t="n"/>
      <c r="AJ410" s="537" t="n"/>
      <c r="AK410" s="282" t="n"/>
      <c r="AL410" s="286" t="n"/>
      <c r="AM410" s="286" t="n"/>
      <c r="AN410" s="282" t="n"/>
    </row>
    <row customHeight="1" ht="15.75" r="411" s="452" spans="1:41">
      <c r="A411" s="44" t="n"/>
      <c r="G411" s="282" t="n"/>
      <c r="J411" s="282" t="n"/>
      <c r="M411" s="282" t="n"/>
      <c r="P411" s="282" t="n"/>
      <c r="S411" s="282" t="n"/>
      <c r="V411" s="282" t="n"/>
      <c r="Y411" s="282" t="n"/>
      <c r="AB411" s="282" t="n"/>
      <c r="AC411" s="537" t="n"/>
      <c r="AD411" s="537" t="n"/>
      <c r="AE411" s="282" t="n"/>
      <c r="AF411" s="537" t="n"/>
      <c r="AG411" s="537" t="n"/>
      <c r="AI411" s="537" t="n"/>
      <c r="AJ411" s="537" t="n"/>
      <c r="AK411" s="282" t="n"/>
      <c r="AL411" s="286" t="n"/>
      <c r="AM411" s="286" t="n"/>
      <c r="AN411" s="282" t="n"/>
    </row>
    <row customHeight="1" ht="15.75" r="412" s="452" spans="1:41">
      <c r="A412" s="44" t="n"/>
      <c r="G412" s="282" t="n"/>
      <c r="J412" s="282" t="n"/>
      <c r="M412" s="282" t="n"/>
      <c r="P412" s="282" t="n"/>
      <c r="S412" s="282" t="n"/>
      <c r="V412" s="282" t="n"/>
      <c r="Y412" s="282" t="n"/>
      <c r="AB412" s="282" t="n"/>
      <c r="AC412" s="537" t="n"/>
      <c r="AD412" s="537" t="n"/>
      <c r="AE412" s="282" t="n"/>
      <c r="AF412" s="537" t="n"/>
      <c r="AG412" s="537" t="n"/>
      <c r="AI412" s="537" t="n"/>
      <c r="AJ412" s="537" t="n"/>
      <c r="AK412" s="282" t="n"/>
      <c r="AL412" s="286" t="n"/>
      <c r="AM412" s="286" t="n"/>
      <c r="AN412" s="282" t="n"/>
    </row>
    <row customHeight="1" ht="15.75" r="413" s="452" spans="1:41">
      <c r="A413" s="44" t="n"/>
      <c r="G413" s="282" t="n"/>
      <c r="J413" s="282" t="n"/>
      <c r="M413" s="282" t="n"/>
      <c r="P413" s="282" t="n"/>
      <c r="S413" s="282" t="n"/>
      <c r="V413" s="282" t="n"/>
      <c r="Y413" s="282" t="n"/>
      <c r="AB413" s="282" t="n"/>
      <c r="AC413" s="537" t="n"/>
      <c r="AD413" s="537" t="n"/>
      <c r="AE413" s="282" t="n"/>
      <c r="AF413" s="537" t="n"/>
      <c r="AG413" s="537" t="n"/>
      <c r="AI413" s="537" t="n"/>
      <c r="AJ413" s="537" t="n"/>
      <c r="AK413" s="282" t="n"/>
      <c r="AL413" s="286" t="n"/>
      <c r="AM413" s="286" t="n"/>
      <c r="AN413" s="282" t="n"/>
    </row>
    <row customHeight="1" ht="15.75" r="414" s="452" spans="1:41">
      <c r="A414" s="44" t="n"/>
      <c r="G414" s="282" t="n"/>
      <c r="J414" s="282" t="n"/>
      <c r="M414" s="282" t="n"/>
      <c r="P414" s="282" t="n"/>
      <c r="S414" s="282" t="n"/>
      <c r="V414" s="282" t="n"/>
      <c r="Y414" s="282" t="n"/>
      <c r="AB414" s="282" t="n"/>
      <c r="AC414" s="537" t="n"/>
      <c r="AD414" s="537" t="n"/>
      <c r="AE414" s="282" t="n"/>
      <c r="AF414" s="537" t="n"/>
      <c r="AG414" s="537" t="n"/>
      <c r="AI414" s="537" t="n"/>
      <c r="AJ414" s="537" t="n"/>
      <c r="AK414" s="282" t="n"/>
      <c r="AL414" s="286" t="n"/>
      <c r="AM414" s="286" t="n"/>
      <c r="AN414" s="282" t="n"/>
    </row>
    <row customHeight="1" ht="15.75" r="415" s="452" spans="1:41">
      <c r="A415" s="44" t="n"/>
      <c r="G415" s="282" t="n"/>
      <c r="J415" s="282" t="n"/>
      <c r="M415" s="282" t="n"/>
      <c r="P415" s="282" t="n"/>
      <c r="S415" s="282" t="n"/>
      <c r="V415" s="282" t="n"/>
      <c r="Y415" s="282" t="n"/>
      <c r="AB415" s="282" t="n"/>
      <c r="AC415" s="537" t="n"/>
      <c r="AD415" s="537" t="n"/>
      <c r="AE415" s="282" t="n"/>
      <c r="AF415" s="537" t="n"/>
      <c r="AG415" s="537" t="n"/>
      <c r="AI415" s="537" t="n"/>
      <c r="AJ415" s="537" t="n"/>
      <c r="AK415" s="282" t="n"/>
      <c r="AL415" s="286" t="n"/>
      <c r="AM415" s="286" t="n"/>
      <c r="AN415" s="282" t="n"/>
    </row>
    <row customHeight="1" ht="15.75" r="416" s="452" spans="1:41">
      <c r="A416" s="44" t="n"/>
      <c r="G416" s="282" t="n"/>
      <c r="J416" s="282" t="n"/>
      <c r="M416" s="282" t="n"/>
      <c r="P416" s="282" t="n"/>
      <c r="S416" s="282" t="n"/>
      <c r="V416" s="282" t="n"/>
      <c r="Y416" s="282" t="n"/>
      <c r="AB416" s="282" t="n"/>
      <c r="AC416" s="537" t="n"/>
      <c r="AD416" s="537" t="n"/>
      <c r="AE416" s="282" t="n"/>
      <c r="AF416" s="537" t="n"/>
      <c r="AG416" s="537" t="n"/>
      <c r="AI416" s="537" t="n"/>
      <c r="AJ416" s="537" t="n"/>
      <c r="AK416" s="282" t="n"/>
      <c r="AL416" s="286" t="n"/>
      <c r="AM416" s="286" t="n"/>
      <c r="AN416" s="282" t="n"/>
    </row>
    <row customHeight="1" ht="15.75" r="417" s="452" spans="1:41">
      <c r="A417" s="44" t="n"/>
      <c r="G417" s="282" t="n"/>
      <c r="J417" s="282" t="n"/>
      <c r="M417" s="282" t="n"/>
      <c r="P417" s="282" t="n"/>
      <c r="S417" s="282" t="n"/>
      <c r="V417" s="282" t="n"/>
      <c r="Y417" s="282" t="n"/>
      <c r="AB417" s="282" t="n"/>
      <c r="AC417" s="537" t="n"/>
      <c r="AD417" s="537" t="n"/>
      <c r="AE417" s="282" t="n"/>
      <c r="AF417" s="537" t="n"/>
      <c r="AG417" s="537" t="n"/>
      <c r="AI417" s="537" t="n"/>
      <c r="AJ417" s="537" t="n"/>
      <c r="AK417" s="282" t="n"/>
      <c r="AL417" s="286" t="n"/>
      <c r="AM417" s="286" t="n"/>
      <c r="AN417" s="282" t="n"/>
    </row>
    <row customHeight="1" ht="15.75" r="418" s="452" spans="1:41">
      <c r="A418" s="44" t="n"/>
      <c r="G418" s="282" t="n"/>
      <c r="J418" s="282" t="n"/>
      <c r="M418" s="282" t="n"/>
      <c r="P418" s="282" t="n"/>
      <c r="S418" s="282" t="n"/>
      <c r="V418" s="282" t="n"/>
      <c r="Y418" s="282" t="n"/>
      <c r="AB418" s="282" t="n"/>
      <c r="AC418" s="537" t="n"/>
      <c r="AD418" s="537" t="n"/>
      <c r="AE418" s="282" t="n"/>
      <c r="AF418" s="537" t="n"/>
      <c r="AG418" s="537" t="n"/>
      <c r="AI418" s="537" t="n"/>
      <c r="AJ418" s="537" t="n"/>
      <c r="AK418" s="282" t="n"/>
      <c r="AL418" s="286" t="n"/>
      <c r="AM418" s="286" t="n"/>
      <c r="AN418" s="282" t="n"/>
    </row>
    <row customHeight="1" ht="15.75" r="419" s="452" spans="1:41">
      <c r="A419" s="44" t="n"/>
      <c r="G419" s="282" t="n"/>
      <c r="J419" s="282" t="n"/>
      <c r="M419" s="282" t="n"/>
      <c r="P419" s="282" t="n"/>
      <c r="S419" s="282" t="n"/>
      <c r="V419" s="282" t="n"/>
      <c r="Y419" s="282" t="n"/>
      <c r="AB419" s="282" t="n"/>
      <c r="AC419" s="537" t="n"/>
      <c r="AD419" s="537" t="n"/>
      <c r="AE419" s="282" t="n"/>
      <c r="AF419" s="537" t="n"/>
      <c r="AG419" s="537" t="n"/>
      <c r="AI419" s="537" t="n"/>
      <c r="AJ419" s="537" t="n"/>
      <c r="AK419" s="282" t="n"/>
      <c r="AL419" s="286" t="n"/>
      <c r="AM419" s="286" t="n"/>
      <c r="AN419" s="282" t="n"/>
    </row>
    <row customHeight="1" ht="15.75" r="420" s="452" spans="1:41">
      <c r="A420" s="44" t="n"/>
      <c r="G420" s="282" t="n"/>
      <c r="J420" s="282" t="n"/>
      <c r="M420" s="282" t="n"/>
      <c r="P420" s="282" t="n"/>
      <c r="S420" s="282" t="n"/>
      <c r="V420" s="282" t="n"/>
      <c r="Y420" s="282" t="n"/>
      <c r="AB420" s="282" t="n"/>
      <c r="AC420" s="537" t="n"/>
      <c r="AD420" s="537" t="n"/>
      <c r="AE420" s="282" t="n"/>
      <c r="AF420" s="537" t="n"/>
      <c r="AG420" s="537" t="n"/>
      <c r="AI420" s="537" t="n"/>
      <c r="AJ420" s="537" t="n"/>
      <c r="AK420" s="282" t="n"/>
      <c r="AL420" s="286" t="n"/>
      <c r="AM420" s="286" t="n"/>
      <c r="AN420" s="282" t="n"/>
    </row>
    <row customHeight="1" ht="15.75" r="421" s="452" spans="1:41">
      <c r="A421" s="44" t="n"/>
      <c r="G421" s="282" t="n"/>
      <c r="J421" s="282" t="n"/>
      <c r="M421" s="282" t="n"/>
      <c r="P421" s="282" t="n"/>
      <c r="S421" s="282" t="n"/>
      <c r="V421" s="282" t="n"/>
      <c r="Y421" s="282" t="n"/>
      <c r="AB421" s="282" t="n"/>
      <c r="AC421" s="537" t="n"/>
      <c r="AD421" s="537" t="n"/>
      <c r="AE421" s="282" t="n"/>
      <c r="AF421" s="537" t="n"/>
      <c r="AG421" s="537" t="n"/>
      <c r="AI421" s="537" t="n"/>
      <c r="AJ421" s="537" t="n"/>
      <c r="AK421" s="282" t="n"/>
      <c r="AL421" s="286" t="n"/>
      <c r="AM421" s="286" t="n"/>
      <c r="AN421" s="282" t="n"/>
    </row>
    <row customHeight="1" ht="15.75" r="422" s="452" spans="1:41">
      <c r="A422" s="44" t="n"/>
      <c r="G422" s="282" t="n"/>
      <c r="J422" s="282" t="n"/>
      <c r="M422" s="282" t="n"/>
      <c r="P422" s="282" t="n"/>
      <c r="S422" s="282" t="n"/>
      <c r="V422" s="282" t="n"/>
      <c r="Y422" s="282" t="n"/>
      <c r="AB422" s="282" t="n"/>
      <c r="AC422" s="537" t="n"/>
      <c r="AD422" s="537" t="n"/>
      <c r="AE422" s="282" t="n"/>
      <c r="AF422" s="537" t="n"/>
      <c r="AG422" s="537" t="n"/>
      <c r="AI422" s="537" t="n"/>
      <c r="AJ422" s="537" t="n"/>
      <c r="AK422" s="282" t="n"/>
      <c r="AL422" s="286" t="n"/>
      <c r="AM422" s="286" t="n"/>
      <c r="AN422" s="282" t="n"/>
    </row>
    <row customHeight="1" ht="15.75" r="423" s="452" spans="1:41">
      <c r="A423" s="44" t="n"/>
      <c r="G423" s="282" t="n"/>
      <c r="J423" s="282" t="n"/>
      <c r="M423" s="282" t="n"/>
      <c r="P423" s="282" t="n"/>
      <c r="S423" s="282" t="n"/>
      <c r="V423" s="282" t="n"/>
      <c r="Y423" s="282" t="n"/>
      <c r="AB423" s="282" t="n"/>
      <c r="AC423" s="537" t="n"/>
      <c r="AD423" s="537" t="n"/>
      <c r="AE423" s="282" t="n"/>
      <c r="AF423" s="537" t="n"/>
      <c r="AG423" s="537" t="n"/>
      <c r="AI423" s="537" t="n"/>
      <c r="AJ423" s="537" t="n"/>
      <c r="AK423" s="282" t="n"/>
      <c r="AL423" s="286" t="n"/>
      <c r="AM423" s="286" t="n"/>
      <c r="AN423" s="282" t="n"/>
    </row>
    <row customHeight="1" ht="15.75" r="424" s="452" spans="1:41">
      <c r="A424" s="44" t="n"/>
      <c r="G424" s="282" t="n"/>
      <c r="J424" s="282" t="n"/>
      <c r="M424" s="282" t="n"/>
      <c r="P424" s="282" t="n"/>
      <c r="S424" s="282" t="n"/>
      <c r="V424" s="282" t="n"/>
      <c r="Y424" s="282" t="n"/>
      <c r="AB424" s="282" t="n"/>
      <c r="AC424" s="537" t="n"/>
      <c r="AD424" s="537" t="n"/>
      <c r="AE424" s="282" t="n"/>
      <c r="AF424" s="537" t="n"/>
      <c r="AG424" s="537" t="n"/>
      <c r="AI424" s="537" t="n"/>
      <c r="AJ424" s="537" t="n"/>
      <c r="AK424" s="282" t="n"/>
      <c r="AL424" s="286" t="n"/>
      <c r="AM424" s="286" t="n"/>
      <c r="AN424" s="282" t="n"/>
    </row>
    <row customHeight="1" ht="15.75" r="425" s="452" spans="1:41">
      <c r="A425" s="44" t="n"/>
      <c r="G425" s="282" t="n"/>
      <c r="J425" s="282" t="n"/>
      <c r="M425" s="282" t="n"/>
      <c r="P425" s="282" t="n"/>
      <c r="S425" s="282" t="n"/>
      <c r="V425" s="282" t="n"/>
      <c r="Y425" s="282" t="n"/>
      <c r="AB425" s="282" t="n"/>
      <c r="AC425" s="537" t="n"/>
      <c r="AD425" s="537" t="n"/>
      <c r="AE425" s="282" t="n"/>
      <c r="AF425" s="537" t="n"/>
      <c r="AG425" s="537" t="n"/>
      <c r="AI425" s="537" t="n"/>
      <c r="AJ425" s="537" t="n"/>
      <c r="AK425" s="282" t="n"/>
      <c r="AL425" s="286" t="n"/>
      <c r="AM425" s="286" t="n"/>
      <c r="AN425" s="282" t="n"/>
    </row>
    <row customHeight="1" ht="15.75" r="426" s="452" spans="1:41">
      <c r="A426" s="44" t="n"/>
      <c r="G426" s="282" t="n"/>
      <c r="J426" s="282" t="n"/>
      <c r="M426" s="282" t="n"/>
      <c r="P426" s="282" t="n"/>
      <c r="S426" s="282" t="n"/>
      <c r="V426" s="282" t="n"/>
      <c r="Y426" s="282" t="n"/>
      <c r="AB426" s="282" t="n"/>
      <c r="AC426" s="537" t="n"/>
      <c r="AD426" s="537" t="n"/>
      <c r="AE426" s="282" t="n"/>
      <c r="AF426" s="537" t="n"/>
      <c r="AG426" s="537" t="n"/>
      <c r="AI426" s="537" t="n"/>
      <c r="AJ426" s="537" t="n"/>
      <c r="AK426" s="282" t="n"/>
      <c r="AL426" s="286" t="n"/>
      <c r="AM426" s="286" t="n"/>
      <c r="AN426" s="282" t="n"/>
    </row>
    <row customHeight="1" ht="15.75" r="427" s="452" spans="1:41">
      <c r="A427" s="44" t="n"/>
      <c r="G427" s="282" t="n"/>
      <c r="J427" s="282" t="n"/>
      <c r="M427" s="282" t="n"/>
      <c r="P427" s="282" t="n"/>
      <c r="S427" s="282" t="n"/>
      <c r="V427" s="282" t="n"/>
      <c r="Y427" s="282" t="n"/>
      <c r="AB427" s="282" t="n"/>
      <c r="AC427" s="537" t="n"/>
      <c r="AD427" s="537" t="n"/>
      <c r="AE427" s="282" t="n"/>
      <c r="AF427" s="537" t="n"/>
      <c r="AG427" s="537" t="n"/>
      <c r="AI427" s="537" t="n"/>
      <c r="AJ427" s="537" t="n"/>
      <c r="AK427" s="282" t="n"/>
      <c r="AL427" s="286" t="n"/>
      <c r="AM427" s="286" t="n"/>
      <c r="AN427" s="282" t="n"/>
    </row>
    <row customHeight="1" ht="15.75" r="428" s="452" spans="1:41">
      <c r="A428" s="44" t="n"/>
      <c r="G428" s="282" t="n"/>
      <c r="J428" s="282" t="n"/>
      <c r="M428" s="282" t="n"/>
      <c r="P428" s="282" t="n"/>
      <c r="S428" s="282" t="n"/>
      <c r="V428" s="282" t="n"/>
      <c r="Y428" s="282" t="n"/>
      <c r="AB428" s="282" t="n"/>
      <c r="AC428" s="537" t="n"/>
      <c r="AD428" s="537" t="n"/>
      <c r="AE428" s="282" t="n"/>
      <c r="AF428" s="537" t="n"/>
      <c r="AG428" s="537" t="n"/>
      <c r="AI428" s="537" t="n"/>
      <c r="AJ428" s="537" t="n"/>
      <c r="AK428" s="282" t="n"/>
      <c r="AL428" s="286" t="n"/>
      <c r="AM428" s="286" t="n"/>
      <c r="AN428" s="282" t="n"/>
    </row>
    <row customHeight="1" ht="15.75" r="429" s="452" spans="1:41">
      <c r="A429" s="44" t="n"/>
      <c r="G429" s="282" t="n"/>
      <c r="J429" s="282" t="n"/>
      <c r="M429" s="282" t="n"/>
      <c r="P429" s="282" t="n"/>
      <c r="S429" s="282" t="n"/>
      <c r="V429" s="282" t="n"/>
      <c r="Y429" s="282" t="n"/>
      <c r="AB429" s="282" t="n"/>
      <c r="AC429" s="537" t="n"/>
      <c r="AD429" s="537" t="n"/>
      <c r="AE429" s="282" t="n"/>
      <c r="AF429" s="537" t="n"/>
      <c r="AG429" s="537" t="n"/>
      <c r="AI429" s="537" t="n"/>
      <c r="AJ429" s="537" t="n"/>
      <c r="AK429" s="282" t="n"/>
      <c r="AL429" s="286" t="n"/>
      <c r="AM429" s="286" t="n"/>
      <c r="AN429" s="282" t="n"/>
    </row>
    <row customHeight="1" ht="15.75" r="430" s="452" spans="1:41">
      <c r="A430" s="44" t="n"/>
      <c r="G430" s="282" t="n"/>
      <c r="J430" s="282" t="n"/>
      <c r="M430" s="282" t="n"/>
      <c r="P430" s="282" t="n"/>
      <c r="S430" s="282" t="n"/>
      <c r="V430" s="282" t="n"/>
      <c r="Y430" s="282" t="n"/>
      <c r="AB430" s="282" t="n"/>
      <c r="AC430" s="537" t="n"/>
      <c r="AD430" s="537" t="n"/>
      <c r="AE430" s="282" t="n"/>
      <c r="AF430" s="537" t="n"/>
      <c r="AG430" s="537" t="n"/>
      <c r="AI430" s="537" t="n"/>
      <c r="AJ430" s="537" t="n"/>
      <c r="AK430" s="282" t="n"/>
      <c r="AL430" s="286" t="n"/>
      <c r="AM430" s="286" t="n"/>
      <c r="AN430" s="282" t="n"/>
    </row>
    <row customHeight="1" ht="15.75" r="431" s="452" spans="1:41">
      <c r="A431" s="44" t="n"/>
      <c r="G431" s="282" t="n"/>
      <c r="J431" s="282" t="n"/>
      <c r="M431" s="282" t="n"/>
      <c r="P431" s="282" t="n"/>
      <c r="S431" s="282" t="n"/>
      <c r="V431" s="282" t="n"/>
      <c r="Y431" s="282" t="n"/>
      <c r="AB431" s="282" t="n"/>
      <c r="AC431" s="537" t="n"/>
      <c r="AD431" s="537" t="n"/>
      <c r="AE431" s="282" t="n"/>
      <c r="AF431" s="537" t="n"/>
      <c r="AG431" s="537" t="n"/>
      <c r="AI431" s="537" t="n"/>
      <c r="AJ431" s="537" t="n"/>
      <c r="AK431" s="282" t="n"/>
      <c r="AL431" s="286" t="n"/>
      <c r="AM431" s="286" t="n"/>
      <c r="AN431" s="282" t="n"/>
    </row>
    <row customHeight="1" ht="15.75" r="432" s="452" spans="1:41">
      <c r="A432" s="44" t="n"/>
      <c r="G432" s="282" t="n"/>
      <c r="J432" s="282" t="n"/>
      <c r="M432" s="282" t="n"/>
      <c r="P432" s="282" t="n"/>
      <c r="S432" s="282" t="n"/>
      <c r="V432" s="282" t="n"/>
      <c r="Y432" s="282" t="n"/>
      <c r="AB432" s="282" t="n"/>
      <c r="AC432" s="537" t="n"/>
      <c r="AD432" s="537" t="n"/>
      <c r="AE432" s="282" t="n"/>
      <c r="AF432" s="537" t="n"/>
      <c r="AG432" s="537" t="n"/>
      <c r="AI432" s="537" t="n"/>
      <c r="AJ432" s="537" t="n"/>
      <c r="AK432" s="282" t="n"/>
      <c r="AL432" s="286" t="n"/>
      <c r="AM432" s="286" t="n"/>
      <c r="AN432" s="282" t="n"/>
    </row>
    <row customHeight="1" ht="15.75" r="433" s="452" spans="1:41">
      <c r="A433" s="44" t="n"/>
      <c r="G433" s="282" t="n"/>
      <c r="J433" s="282" t="n"/>
      <c r="M433" s="282" t="n"/>
      <c r="P433" s="282" t="n"/>
      <c r="S433" s="282" t="n"/>
      <c r="V433" s="282" t="n"/>
      <c r="Y433" s="282" t="n"/>
      <c r="AB433" s="282" t="n"/>
      <c r="AC433" s="537" t="n"/>
      <c r="AD433" s="537" t="n"/>
      <c r="AE433" s="282" t="n"/>
      <c r="AF433" s="537" t="n"/>
      <c r="AG433" s="537" t="n"/>
      <c r="AI433" s="537" t="n"/>
      <c r="AJ433" s="537" t="n"/>
      <c r="AK433" s="282" t="n"/>
      <c r="AL433" s="286" t="n"/>
      <c r="AM433" s="286" t="n"/>
      <c r="AN433" s="282" t="n"/>
    </row>
    <row customHeight="1" ht="15.75" r="434" s="452" spans="1:41">
      <c r="A434" s="44" t="n"/>
      <c r="G434" s="282" t="n"/>
      <c r="J434" s="282" t="n"/>
      <c r="M434" s="282" t="n"/>
      <c r="P434" s="282" t="n"/>
      <c r="S434" s="282" t="n"/>
      <c r="V434" s="282" t="n"/>
      <c r="Y434" s="282" t="n"/>
      <c r="AB434" s="282" t="n"/>
      <c r="AC434" s="537" t="n"/>
      <c r="AD434" s="537" t="n"/>
      <c r="AE434" s="282" t="n"/>
      <c r="AF434" s="537" t="n"/>
      <c r="AG434" s="537" t="n"/>
      <c r="AI434" s="537" t="n"/>
      <c r="AJ434" s="537" t="n"/>
      <c r="AK434" s="282" t="n"/>
      <c r="AL434" s="286" t="n"/>
      <c r="AM434" s="286" t="n"/>
      <c r="AN434" s="282" t="n"/>
    </row>
    <row customHeight="1" ht="15.75" r="435" s="452" spans="1:41">
      <c r="A435" s="44" t="n"/>
      <c r="G435" s="282" t="n"/>
      <c r="J435" s="282" t="n"/>
      <c r="M435" s="282" t="n"/>
      <c r="P435" s="282" t="n"/>
      <c r="S435" s="282" t="n"/>
      <c r="V435" s="282" t="n"/>
      <c r="Y435" s="282" t="n"/>
      <c r="AB435" s="282" t="n"/>
      <c r="AC435" s="537" t="n"/>
      <c r="AD435" s="537" t="n"/>
      <c r="AE435" s="282" t="n"/>
      <c r="AF435" s="537" t="n"/>
      <c r="AG435" s="537" t="n"/>
      <c r="AI435" s="537" t="n"/>
      <c r="AJ435" s="537" t="n"/>
      <c r="AK435" s="282" t="n"/>
      <c r="AL435" s="286" t="n"/>
      <c r="AM435" s="286" t="n"/>
      <c r="AN435" s="282" t="n"/>
    </row>
    <row customHeight="1" ht="15.75" r="436" s="452" spans="1:41">
      <c r="A436" s="44" t="n"/>
      <c r="G436" s="282" t="n"/>
      <c r="J436" s="282" t="n"/>
      <c r="M436" s="282" t="n"/>
      <c r="P436" s="282" t="n"/>
      <c r="S436" s="282" t="n"/>
      <c r="V436" s="282" t="n"/>
      <c r="Y436" s="282" t="n"/>
      <c r="AB436" s="282" t="n"/>
      <c r="AC436" s="537" t="n"/>
      <c r="AD436" s="537" t="n"/>
      <c r="AE436" s="282" t="n"/>
      <c r="AF436" s="537" t="n"/>
      <c r="AG436" s="537" t="n"/>
      <c r="AI436" s="537" t="n"/>
      <c r="AJ436" s="537" t="n"/>
      <c r="AK436" s="282" t="n"/>
      <c r="AL436" s="286" t="n"/>
      <c r="AM436" s="286" t="n"/>
      <c r="AN436" s="282" t="n"/>
    </row>
    <row customHeight="1" ht="15.75" r="437" s="452" spans="1:41">
      <c r="A437" s="44" t="n"/>
      <c r="G437" s="282" t="n"/>
      <c r="J437" s="282" t="n"/>
      <c r="M437" s="282" t="n"/>
      <c r="P437" s="282" t="n"/>
      <c r="S437" s="282" t="n"/>
      <c r="V437" s="282" t="n"/>
      <c r="Y437" s="282" t="n"/>
      <c r="AB437" s="282" t="n"/>
      <c r="AC437" s="537" t="n"/>
      <c r="AD437" s="537" t="n"/>
      <c r="AE437" s="282" t="n"/>
      <c r="AF437" s="537" t="n"/>
      <c r="AG437" s="537" t="n"/>
      <c r="AI437" s="537" t="n"/>
      <c r="AJ437" s="537" t="n"/>
      <c r="AK437" s="282" t="n"/>
      <c r="AL437" s="286" t="n"/>
      <c r="AM437" s="286" t="n"/>
      <c r="AN437" s="282" t="n"/>
    </row>
    <row customHeight="1" ht="15.75" r="438" s="452" spans="1:41">
      <c r="A438" s="44" t="n"/>
      <c r="G438" s="282" t="n"/>
      <c r="J438" s="282" t="n"/>
      <c r="M438" s="282" t="n"/>
      <c r="P438" s="282" t="n"/>
      <c r="S438" s="282" t="n"/>
      <c r="V438" s="282" t="n"/>
      <c r="Y438" s="282" t="n"/>
      <c r="AB438" s="282" t="n"/>
      <c r="AC438" s="537" t="n"/>
      <c r="AD438" s="537" t="n"/>
      <c r="AE438" s="282" t="n"/>
      <c r="AF438" s="537" t="n"/>
      <c r="AG438" s="537" t="n"/>
      <c r="AI438" s="537" t="n"/>
      <c r="AJ438" s="537" t="n"/>
      <c r="AK438" s="282" t="n"/>
      <c r="AL438" s="286" t="n"/>
      <c r="AM438" s="286" t="n"/>
      <c r="AN438" s="282" t="n"/>
    </row>
    <row customHeight="1" ht="15.75" r="439" s="452" spans="1:41">
      <c r="A439" s="44" t="n"/>
      <c r="G439" s="282" t="n"/>
      <c r="J439" s="282" t="n"/>
      <c r="M439" s="282" t="n"/>
      <c r="P439" s="282" t="n"/>
      <c r="S439" s="282" t="n"/>
      <c r="V439" s="282" t="n"/>
      <c r="Y439" s="282" t="n"/>
      <c r="AB439" s="282" t="n"/>
      <c r="AC439" s="537" t="n"/>
      <c r="AD439" s="537" t="n"/>
      <c r="AE439" s="282" t="n"/>
      <c r="AF439" s="537" t="n"/>
      <c r="AG439" s="537" t="n"/>
      <c r="AI439" s="537" t="n"/>
      <c r="AJ439" s="537" t="n"/>
      <c r="AK439" s="282" t="n"/>
      <c r="AL439" s="286" t="n"/>
      <c r="AM439" s="286" t="n"/>
      <c r="AN439" s="282" t="n"/>
    </row>
    <row customHeight="1" ht="15.75" r="440" s="452" spans="1:41">
      <c r="A440" s="44" t="n"/>
      <c r="G440" s="282" t="n"/>
      <c r="J440" s="282" t="n"/>
      <c r="M440" s="282" t="n"/>
      <c r="P440" s="282" t="n"/>
      <c r="S440" s="282" t="n"/>
      <c r="V440" s="282" t="n"/>
      <c r="Y440" s="282" t="n"/>
      <c r="AB440" s="282" t="n"/>
      <c r="AC440" s="537" t="n"/>
      <c r="AD440" s="537" t="n"/>
      <c r="AE440" s="282" t="n"/>
      <c r="AF440" s="537" t="n"/>
      <c r="AG440" s="537" t="n"/>
      <c r="AI440" s="537" t="n"/>
      <c r="AJ440" s="537" t="n"/>
      <c r="AK440" s="282" t="n"/>
      <c r="AL440" s="286" t="n"/>
      <c r="AM440" s="286" t="n"/>
      <c r="AN440" s="282" t="n"/>
    </row>
    <row customHeight="1" ht="15.75" r="441" s="452" spans="1:41">
      <c r="A441" s="44" t="n"/>
      <c r="G441" s="282" t="n"/>
      <c r="J441" s="282" t="n"/>
      <c r="M441" s="282" t="n"/>
      <c r="P441" s="282" t="n"/>
      <c r="S441" s="282" t="n"/>
      <c r="V441" s="282" t="n"/>
      <c r="Y441" s="282" t="n"/>
      <c r="AB441" s="282" t="n"/>
      <c r="AC441" s="537" t="n"/>
      <c r="AD441" s="537" t="n"/>
      <c r="AE441" s="282" t="n"/>
      <c r="AF441" s="537" t="n"/>
      <c r="AG441" s="537" t="n"/>
      <c r="AI441" s="537" t="n"/>
      <c r="AJ441" s="537" t="n"/>
      <c r="AK441" s="282" t="n"/>
      <c r="AL441" s="286" t="n"/>
      <c r="AM441" s="286" t="n"/>
      <c r="AN441" s="282" t="n"/>
    </row>
    <row customHeight="1" ht="15.75" r="442" s="452" spans="1:41">
      <c r="A442" s="44" t="n"/>
      <c r="G442" s="282" t="n"/>
      <c r="J442" s="282" t="n"/>
      <c r="M442" s="282" t="n"/>
      <c r="P442" s="282" t="n"/>
      <c r="S442" s="282" t="n"/>
      <c r="V442" s="282" t="n"/>
      <c r="Y442" s="282" t="n"/>
      <c r="AB442" s="282" t="n"/>
      <c r="AC442" s="537" t="n"/>
      <c r="AD442" s="537" t="n"/>
      <c r="AE442" s="282" t="n"/>
      <c r="AF442" s="537" t="n"/>
      <c r="AG442" s="537" t="n"/>
      <c r="AI442" s="537" t="n"/>
      <c r="AJ442" s="537" t="n"/>
      <c r="AK442" s="282" t="n"/>
      <c r="AL442" s="286" t="n"/>
      <c r="AM442" s="286" t="n"/>
      <c r="AN442" s="282" t="n"/>
    </row>
    <row customHeight="1" ht="15.75" r="443" s="452" spans="1:41">
      <c r="A443" s="44" t="n"/>
      <c r="G443" s="282" t="n"/>
      <c r="J443" s="282" t="n"/>
      <c r="M443" s="282" t="n"/>
      <c r="P443" s="282" t="n"/>
      <c r="S443" s="282" t="n"/>
      <c r="V443" s="282" t="n"/>
      <c r="Y443" s="282" t="n"/>
      <c r="AB443" s="282" t="n"/>
      <c r="AC443" s="537" t="n"/>
      <c r="AD443" s="537" t="n"/>
      <c r="AE443" s="282" t="n"/>
      <c r="AF443" s="537" t="n"/>
      <c r="AG443" s="537" t="n"/>
      <c r="AI443" s="537" t="n"/>
      <c r="AJ443" s="537" t="n"/>
      <c r="AK443" s="282" t="n"/>
      <c r="AL443" s="286" t="n"/>
      <c r="AM443" s="286" t="n"/>
      <c r="AN443" s="282" t="n"/>
    </row>
    <row customHeight="1" ht="15.75" r="444" s="452" spans="1:41">
      <c r="A444" s="44" t="n"/>
      <c r="G444" s="282" t="n"/>
      <c r="J444" s="282" t="n"/>
      <c r="M444" s="282" t="n"/>
      <c r="P444" s="282" t="n"/>
      <c r="S444" s="282" t="n"/>
      <c r="V444" s="282" t="n"/>
      <c r="Y444" s="282" t="n"/>
      <c r="AB444" s="282" t="n"/>
      <c r="AC444" s="537" t="n"/>
      <c r="AD444" s="537" t="n"/>
      <c r="AE444" s="282" t="n"/>
      <c r="AF444" s="537" t="n"/>
      <c r="AG444" s="537" t="n"/>
      <c r="AI444" s="537" t="n"/>
      <c r="AJ444" s="537" t="n"/>
      <c r="AK444" s="282" t="n"/>
      <c r="AL444" s="286" t="n"/>
      <c r="AM444" s="286" t="n"/>
      <c r="AN444" s="282" t="n"/>
    </row>
    <row customHeight="1" ht="15.75" r="445" s="452" spans="1:41">
      <c r="A445" s="44" t="n"/>
      <c r="G445" s="282" t="n"/>
      <c r="J445" s="282" t="n"/>
      <c r="M445" s="282" t="n"/>
      <c r="P445" s="282" t="n"/>
      <c r="S445" s="282" t="n"/>
      <c r="V445" s="282" t="n"/>
      <c r="Y445" s="282" t="n"/>
      <c r="AB445" s="282" t="n"/>
      <c r="AC445" s="537" t="n"/>
      <c r="AD445" s="537" t="n"/>
      <c r="AE445" s="282" t="n"/>
      <c r="AF445" s="537" t="n"/>
      <c r="AG445" s="537" t="n"/>
      <c r="AI445" s="537" t="n"/>
      <c r="AJ445" s="537" t="n"/>
      <c r="AK445" s="282" t="n"/>
      <c r="AL445" s="286" t="n"/>
      <c r="AM445" s="286" t="n"/>
      <c r="AN445" s="282" t="n"/>
    </row>
    <row customHeight="1" ht="15.75" r="446" s="452" spans="1:41">
      <c r="A446" s="44" t="n"/>
      <c r="G446" s="282" t="n"/>
      <c r="J446" s="282" t="n"/>
      <c r="M446" s="282" t="n"/>
      <c r="P446" s="282" t="n"/>
      <c r="S446" s="282" t="n"/>
      <c r="V446" s="282" t="n"/>
      <c r="Y446" s="282" t="n"/>
      <c r="AB446" s="282" t="n"/>
      <c r="AC446" s="537" t="n"/>
      <c r="AD446" s="537" t="n"/>
      <c r="AE446" s="282" t="n"/>
      <c r="AF446" s="537" t="n"/>
      <c r="AG446" s="537" t="n"/>
      <c r="AI446" s="537" t="n"/>
      <c r="AJ446" s="537" t="n"/>
      <c r="AK446" s="282" t="n"/>
      <c r="AL446" s="286" t="n"/>
      <c r="AM446" s="286" t="n"/>
      <c r="AN446" s="282" t="n"/>
    </row>
    <row customHeight="1" ht="15.75" r="447" s="452" spans="1:41">
      <c r="A447" s="44" t="n"/>
      <c r="G447" s="282" t="n"/>
      <c r="J447" s="282" t="n"/>
      <c r="M447" s="282" t="n"/>
      <c r="P447" s="282" t="n"/>
      <c r="S447" s="282" t="n"/>
      <c r="V447" s="282" t="n"/>
      <c r="Y447" s="282" t="n"/>
      <c r="AB447" s="282" t="n"/>
      <c r="AC447" s="537" t="n"/>
      <c r="AD447" s="537" t="n"/>
      <c r="AE447" s="282" t="n"/>
      <c r="AF447" s="537" t="n"/>
      <c r="AG447" s="537" t="n"/>
      <c r="AI447" s="537" t="n"/>
      <c r="AJ447" s="537" t="n"/>
      <c r="AK447" s="282" t="n"/>
      <c r="AL447" s="286" t="n"/>
      <c r="AM447" s="286" t="n"/>
      <c r="AN447" s="282" t="n"/>
    </row>
    <row customHeight="1" ht="15.75" r="448" s="452" spans="1:41">
      <c r="A448" s="44" t="n"/>
      <c r="G448" s="282" t="n"/>
      <c r="J448" s="282" t="n"/>
      <c r="M448" s="282" t="n"/>
      <c r="P448" s="282" t="n"/>
      <c r="S448" s="282" t="n"/>
      <c r="V448" s="282" t="n"/>
      <c r="Y448" s="282" t="n"/>
      <c r="AB448" s="282" t="n"/>
      <c r="AC448" s="537" t="n"/>
      <c r="AD448" s="537" t="n"/>
      <c r="AE448" s="282" t="n"/>
      <c r="AF448" s="537" t="n"/>
      <c r="AG448" s="537" t="n"/>
      <c r="AI448" s="537" t="n"/>
      <c r="AJ448" s="537" t="n"/>
      <c r="AK448" s="282" t="n"/>
      <c r="AL448" s="286" t="n"/>
      <c r="AM448" s="286" t="n"/>
      <c r="AN448" s="282" t="n"/>
    </row>
    <row customHeight="1" ht="15.75" r="449" s="452" spans="1:41">
      <c r="A449" s="44" t="n"/>
      <c r="G449" s="282" t="n"/>
      <c r="J449" s="282" t="n"/>
      <c r="M449" s="282" t="n"/>
      <c r="P449" s="282" t="n"/>
      <c r="S449" s="282" t="n"/>
      <c r="V449" s="282" t="n"/>
      <c r="Y449" s="282" t="n"/>
      <c r="AB449" s="282" t="n"/>
      <c r="AC449" s="537" t="n"/>
      <c r="AD449" s="537" t="n"/>
      <c r="AE449" s="282" t="n"/>
      <c r="AF449" s="537" t="n"/>
      <c r="AG449" s="537" t="n"/>
      <c r="AI449" s="537" t="n"/>
      <c r="AJ449" s="537" t="n"/>
      <c r="AK449" s="282" t="n"/>
      <c r="AL449" s="286" t="n"/>
      <c r="AM449" s="286" t="n"/>
      <c r="AN449" s="282" t="n"/>
    </row>
    <row customHeight="1" ht="15.75" r="450" s="452" spans="1:41">
      <c r="A450" s="44" t="n"/>
      <c r="G450" s="282" t="n"/>
      <c r="J450" s="282" t="n"/>
      <c r="M450" s="282" t="n"/>
      <c r="P450" s="282" t="n"/>
      <c r="S450" s="282" t="n"/>
      <c r="V450" s="282" t="n"/>
      <c r="Y450" s="282" t="n"/>
      <c r="AB450" s="282" t="n"/>
      <c r="AC450" s="537" t="n"/>
      <c r="AD450" s="537" t="n"/>
      <c r="AE450" s="282" t="n"/>
      <c r="AF450" s="537" t="n"/>
      <c r="AG450" s="537" t="n"/>
      <c r="AI450" s="537" t="n"/>
      <c r="AJ450" s="537" t="n"/>
      <c r="AK450" s="282" t="n"/>
      <c r="AL450" s="286" t="n"/>
      <c r="AM450" s="286" t="n"/>
      <c r="AN450" s="282" t="n"/>
    </row>
    <row customHeight="1" ht="15.75" r="451" s="452" spans="1:41">
      <c r="A451" s="44" t="n"/>
      <c r="G451" s="282" t="n"/>
      <c r="J451" s="282" t="n"/>
      <c r="M451" s="282" t="n"/>
      <c r="P451" s="282" t="n"/>
      <c r="S451" s="282" t="n"/>
      <c r="V451" s="282" t="n"/>
      <c r="Y451" s="282" t="n"/>
      <c r="AB451" s="282" t="n"/>
      <c r="AC451" s="537" t="n"/>
      <c r="AD451" s="537" t="n"/>
      <c r="AE451" s="282" t="n"/>
      <c r="AF451" s="537" t="n"/>
      <c r="AG451" s="537" t="n"/>
      <c r="AI451" s="537" t="n"/>
      <c r="AJ451" s="537" t="n"/>
      <c r="AK451" s="282" t="n"/>
      <c r="AL451" s="286" t="n"/>
      <c r="AM451" s="286" t="n"/>
      <c r="AN451" s="282" t="n"/>
    </row>
    <row customHeight="1" ht="15.75" r="452" s="452" spans="1:41">
      <c r="A452" s="44" t="n"/>
      <c r="G452" s="282" t="n"/>
      <c r="J452" s="282" t="n"/>
      <c r="M452" s="282" t="n"/>
      <c r="P452" s="282" t="n"/>
      <c r="S452" s="282" t="n"/>
      <c r="V452" s="282" t="n"/>
      <c r="Y452" s="282" t="n"/>
      <c r="AB452" s="282" t="n"/>
      <c r="AC452" s="537" t="n"/>
      <c r="AD452" s="537" t="n"/>
      <c r="AE452" s="282" t="n"/>
      <c r="AF452" s="537" t="n"/>
      <c r="AG452" s="537" t="n"/>
      <c r="AI452" s="537" t="n"/>
      <c r="AJ452" s="537" t="n"/>
      <c r="AK452" s="282" t="n"/>
      <c r="AL452" s="286" t="n"/>
      <c r="AM452" s="286" t="n"/>
      <c r="AN452" s="282" t="n"/>
    </row>
    <row customHeight="1" ht="15.75" r="453" s="452" spans="1:41">
      <c r="A453" s="44" t="n"/>
      <c r="G453" s="282" t="n"/>
      <c r="J453" s="282" t="n"/>
      <c r="M453" s="282" t="n"/>
      <c r="P453" s="282" t="n"/>
      <c r="S453" s="282" t="n"/>
      <c r="V453" s="282" t="n"/>
      <c r="Y453" s="282" t="n"/>
      <c r="AB453" s="282" t="n"/>
      <c r="AC453" s="537" t="n"/>
      <c r="AD453" s="537" t="n"/>
      <c r="AE453" s="282" t="n"/>
      <c r="AF453" s="537" t="n"/>
      <c r="AG453" s="537" t="n"/>
      <c r="AI453" s="537" t="n"/>
      <c r="AJ453" s="537" t="n"/>
      <c r="AK453" s="282" t="n"/>
      <c r="AL453" s="286" t="n"/>
      <c r="AM453" s="286" t="n"/>
      <c r="AN453" s="282" t="n"/>
    </row>
    <row customHeight="1" ht="15.75" r="454" s="452" spans="1:41">
      <c r="A454" s="44" t="n"/>
      <c r="G454" s="282" t="n"/>
      <c r="J454" s="282" t="n"/>
      <c r="M454" s="282" t="n"/>
      <c r="P454" s="282" t="n"/>
      <c r="S454" s="282" t="n"/>
      <c r="V454" s="282" t="n"/>
      <c r="Y454" s="282" t="n"/>
      <c r="AB454" s="282" t="n"/>
      <c r="AC454" s="537" t="n"/>
      <c r="AD454" s="537" t="n"/>
      <c r="AE454" s="282" t="n"/>
      <c r="AF454" s="537" t="n"/>
      <c r="AG454" s="537" t="n"/>
      <c r="AI454" s="537" t="n"/>
      <c r="AJ454" s="537" t="n"/>
      <c r="AK454" s="282" t="n"/>
      <c r="AL454" s="286" t="n"/>
      <c r="AM454" s="286" t="n"/>
      <c r="AN454" s="282" t="n"/>
    </row>
    <row customHeight="1" ht="15.75" r="455" s="452" spans="1:41">
      <c r="A455" s="44" t="n"/>
      <c r="G455" s="282" t="n"/>
      <c r="J455" s="282" t="n"/>
      <c r="M455" s="282" t="n"/>
      <c r="P455" s="282" t="n"/>
      <c r="S455" s="282" t="n"/>
      <c r="V455" s="282" t="n"/>
      <c r="Y455" s="282" t="n"/>
      <c r="AB455" s="282" t="n"/>
      <c r="AC455" s="537" t="n"/>
      <c r="AD455" s="537" t="n"/>
      <c r="AE455" s="282" t="n"/>
      <c r="AF455" s="537" t="n"/>
      <c r="AG455" s="537" t="n"/>
      <c r="AI455" s="537" t="n"/>
      <c r="AJ455" s="537" t="n"/>
      <c r="AK455" s="282" t="n"/>
      <c r="AL455" s="286" t="n"/>
      <c r="AM455" s="286" t="n"/>
      <c r="AN455" s="282" t="n"/>
    </row>
    <row customHeight="1" ht="15.75" r="456" s="452" spans="1:41">
      <c r="A456" s="44" t="n"/>
      <c r="G456" s="282" t="n"/>
      <c r="J456" s="282" t="n"/>
      <c r="M456" s="282" t="n"/>
      <c r="P456" s="282" t="n"/>
      <c r="S456" s="282" t="n"/>
      <c r="V456" s="282" t="n"/>
      <c r="Y456" s="282" t="n"/>
      <c r="AB456" s="282" t="n"/>
      <c r="AC456" s="537" t="n"/>
      <c r="AD456" s="537" t="n"/>
      <c r="AE456" s="282" t="n"/>
      <c r="AF456" s="537" t="n"/>
      <c r="AG456" s="537" t="n"/>
      <c r="AI456" s="537" t="n"/>
      <c r="AJ456" s="537" t="n"/>
      <c r="AK456" s="282" t="n"/>
      <c r="AL456" s="286" t="n"/>
      <c r="AM456" s="286" t="n"/>
      <c r="AN456" s="282" t="n"/>
    </row>
    <row customHeight="1" ht="15.75" r="457" s="452" spans="1:41">
      <c r="A457" s="44" t="n"/>
      <c r="G457" s="282" t="n"/>
      <c r="J457" s="282" t="n"/>
      <c r="M457" s="282" t="n"/>
      <c r="P457" s="282" t="n"/>
      <c r="S457" s="282" t="n"/>
      <c r="V457" s="282" t="n"/>
      <c r="Y457" s="282" t="n"/>
      <c r="AB457" s="282" t="n"/>
      <c r="AC457" s="537" t="n"/>
      <c r="AD457" s="537" t="n"/>
      <c r="AE457" s="282" t="n"/>
      <c r="AF457" s="537" t="n"/>
      <c r="AG457" s="537" t="n"/>
      <c r="AI457" s="537" t="n"/>
      <c r="AJ457" s="537" t="n"/>
      <c r="AK457" s="282" t="n"/>
      <c r="AL457" s="286" t="n"/>
      <c r="AM457" s="286" t="n"/>
      <c r="AN457" s="282" t="n"/>
    </row>
    <row customHeight="1" ht="15.75" r="458" s="452" spans="1:41">
      <c r="A458" s="44" t="n"/>
      <c r="G458" s="282" t="n"/>
      <c r="J458" s="282" t="n"/>
      <c r="M458" s="282" t="n"/>
      <c r="P458" s="282" t="n"/>
      <c r="S458" s="282" t="n"/>
      <c r="V458" s="282" t="n"/>
      <c r="Y458" s="282" t="n"/>
      <c r="AB458" s="282" t="n"/>
      <c r="AC458" s="537" t="n"/>
      <c r="AD458" s="537" t="n"/>
      <c r="AE458" s="282" t="n"/>
      <c r="AF458" s="537" t="n"/>
      <c r="AG458" s="537" t="n"/>
      <c r="AI458" s="537" t="n"/>
      <c r="AJ458" s="537" t="n"/>
      <c r="AK458" s="282" t="n"/>
      <c r="AL458" s="286" t="n"/>
      <c r="AM458" s="286" t="n"/>
      <c r="AN458" s="282" t="n"/>
    </row>
    <row customHeight="1" ht="15.75" r="459" s="452" spans="1:41">
      <c r="A459" s="44" t="n"/>
      <c r="G459" s="282" t="n"/>
      <c r="J459" s="282" t="n"/>
      <c r="M459" s="282" t="n"/>
      <c r="P459" s="282" t="n"/>
      <c r="S459" s="282" t="n"/>
      <c r="V459" s="282" t="n"/>
      <c r="Y459" s="282" t="n"/>
      <c r="AB459" s="282" t="n"/>
      <c r="AC459" s="537" t="n"/>
      <c r="AD459" s="537" t="n"/>
      <c r="AE459" s="282" t="n"/>
      <c r="AF459" s="537" t="n"/>
      <c r="AG459" s="537" t="n"/>
      <c r="AI459" s="537" t="n"/>
      <c r="AJ459" s="537" t="n"/>
      <c r="AK459" s="282" t="n"/>
      <c r="AL459" s="286" t="n"/>
      <c r="AM459" s="286" t="n"/>
      <c r="AN459" s="282" t="n"/>
    </row>
    <row customHeight="1" ht="15.75" r="460" s="452" spans="1:41">
      <c r="A460" s="44" t="n"/>
      <c r="G460" s="282" t="n"/>
      <c r="J460" s="282" t="n"/>
      <c r="M460" s="282" t="n"/>
      <c r="P460" s="282" t="n"/>
      <c r="S460" s="282" t="n"/>
      <c r="V460" s="282" t="n"/>
      <c r="Y460" s="282" t="n"/>
      <c r="AB460" s="282" t="n"/>
      <c r="AC460" s="537" t="n"/>
      <c r="AD460" s="537" t="n"/>
      <c r="AE460" s="282" t="n"/>
      <c r="AF460" s="537" t="n"/>
      <c r="AG460" s="537" t="n"/>
      <c r="AI460" s="537" t="n"/>
      <c r="AJ460" s="537" t="n"/>
      <c r="AK460" s="282" t="n"/>
      <c r="AL460" s="286" t="n"/>
      <c r="AM460" s="286" t="n"/>
      <c r="AN460" s="282" t="n"/>
    </row>
    <row customHeight="1" ht="15.75" r="461" s="452" spans="1:41">
      <c r="A461" s="44" t="n"/>
      <c r="G461" s="282" t="n"/>
      <c r="J461" s="282" t="n"/>
      <c r="M461" s="282" t="n"/>
      <c r="P461" s="282" t="n"/>
      <c r="S461" s="282" t="n"/>
      <c r="V461" s="282" t="n"/>
      <c r="Y461" s="282" t="n"/>
      <c r="AB461" s="282" t="n"/>
      <c r="AC461" s="537" t="n"/>
      <c r="AD461" s="537" t="n"/>
      <c r="AE461" s="282" t="n"/>
      <c r="AF461" s="537" t="n"/>
      <c r="AG461" s="537" t="n"/>
      <c r="AI461" s="537" t="n"/>
      <c r="AJ461" s="537" t="n"/>
      <c r="AK461" s="282" t="n"/>
      <c r="AL461" s="286" t="n"/>
      <c r="AM461" s="286" t="n"/>
      <c r="AN461" s="282" t="n"/>
    </row>
    <row customHeight="1" ht="15.75" r="462" s="452" spans="1:41">
      <c r="A462" s="44" t="n"/>
      <c r="G462" s="282" t="n"/>
      <c r="J462" s="282" t="n"/>
      <c r="M462" s="282" t="n"/>
      <c r="P462" s="282" t="n"/>
      <c r="S462" s="282" t="n"/>
      <c r="V462" s="282" t="n"/>
      <c r="Y462" s="282" t="n"/>
      <c r="AB462" s="282" t="n"/>
      <c r="AC462" s="537" t="n"/>
      <c r="AD462" s="537" t="n"/>
      <c r="AE462" s="282" t="n"/>
      <c r="AF462" s="537" t="n"/>
      <c r="AG462" s="537" t="n"/>
      <c r="AI462" s="537" t="n"/>
      <c r="AJ462" s="537" t="n"/>
      <c r="AK462" s="282" t="n"/>
      <c r="AL462" s="286" t="n"/>
      <c r="AM462" s="286" t="n"/>
      <c r="AN462" s="282" t="n"/>
    </row>
    <row customHeight="1" ht="15.75" r="463" s="452" spans="1:41">
      <c r="A463" s="44" t="n"/>
      <c r="G463" s="282" t="n"/>
      <c r="J463" s="282" t="n"/>
      <c r="M463" s="282" t="n"/>
      <c r="P463" s="282" t="n"/>
      <c r="S463" s="282" t="n"/>
      <c r="V463" s="282" t="n"/>
      <c r="Y463" s="282" t="n"/>
      <c r="AB463" s="282" t="n"/>
      <c r="AC463" s="537" t="n"/>
      <c r="AD463" s="537" t="n"/>
      <c r="AE463" s="282" t="n"/>
      <c r="AF463" s="537" t="n"/>
      <c r="AG463" s="537" t="n"/>
      <c r="AI463" s="537" t="n"/>
      <c r="AJ463" s="537" t="n"/>
      <c r="AK463" s="282" t="n"/>
      <c r="AL463" s="286" t="n"/>
      <c r="AM463" s="286" t="n"/>
      <c r="AN463" s="282" t="n"/>
    </row>
    <row customHeight="1" ht="15.75" r="464" s="452" spans="1:41">
      <c r="A464" s="44" t="n"/>
      <c r="G464" s="282" t="n"/>
      <c r="J464" s="282" t="n"/>
      <c r="M464" s="282" t="n"/>
      <c r="P464" s="282" t="n"/>
      <c r="S464" s="282" t="n"/>
      <c r="V464" s="282" t="n"/>
      <c r="Y464" s="282" t="n"/>
      <c r="AB464" s="282" t="n"/>
      <c r="AC464" s="537" t="n"/>
      <c r="AD464" s="537" t="n"/>
      <c r="AE464" s="282" t="n"/>
      <c r="AF464" s="537" t="n"/>
      <c r="AG464" s="537" t="n"/>
      <c r="AI464" s="537" t="n"/>
      <c r="AJ464" s="537" t="n"/>
      <c r="AK464" s="282" t="n"/>
      <c r="AL464" s="286" t="n"/>
      <c r="AM464" s="286" t="n"/>
      <c r="AN464" s="282" t="n"/>
    </row>
    <row customHeight="1" ht="15.75" r="465" s="452" spans="1:41">
      <c r="A465" s="44" t="n"/>
      <c r="G465" s="282" t="n"/>
      <c r="J465" s="282" t="n"/>
      <c r="M465" s="282" t="n"/>
      <c r="P465" s="282" t="n"/>
      <c r="S465" s="282" t="n"/>
      <c r="V465" s="282" t="n"/>
      <c r="Y465" s="282" t="n"/>
      <c r="AB465" s="282" t="n"/>
      <c r="AC465" s="537" t="n"/>
      <c r="AD465" s="537" t="n"/>
      <c r="AE465" s="282" t="n"/>
      <c r="AF465" s="537" t="n"/>
      <c r="AG465" s="537" t="n"/>
      <c r="AI465" s="537" t="n"/>
      <c r="AJ465" s="537" t="n"/>
      <c r="AK465" s="282" t="n"/>
      <c r="AL465" s="286" t="n"/>
      <c r="AM465" s="286" t="n"/>
      <c r="AN465" s="282" t="n"/>
    </row>
    <row customHeight="1" ht="15.75" r="466" s="452" spans="1:41">
      <c r="A466" s="44" t="n"/>
      <c r="G466" s="282" t="n"/>
      <c r="J466" s="282" t="n"/>
      <c r="M466" s="282" t="n"/>
      <c r="P466" s="282" t="n"/>
      <c r="S466" s="282" t="n"/>
      <c r="V466" s="282" t="n"/>
      <c r="Y466" s="282" t="n"/>
      <c r="AB466" s="282" t="n"/>
      <c r="AC466" s="537" t="n"/>
      <c r="AD466" s="537" t="n"/>
      <c r="AE466" s="282" t="n"/>
      <c r="AF466" s="537" t="n"/>
      <c r="AG466" s="537" t="n"/>
      <c r="AI466" s="537" t="n"/>
      <c r="AJ466" s="537" t="n"/>
      <c r="AK466" s="282" t="n"/>
      <c r="AL466" s="286" t="n"/>
      <c r="AM466" s="286" t="n"/>
      <c r="AN466" s="282" t="n"/>
    </row>
    <row customHeight="1" ht="15.75" r="467" s="452" spans="1:41">
      <c r="A467" s="44" t="n"/>
      <c r="G467" s="282" t="n"/>
      <c r="J467" s="282" t="n"/>
      <c r="M467" s="282" t="n"/>
      <c r="P467" s="282" t="n"/>
      <c r="S467" s="282" t="n"/>
      <c r="V467" s="282" t="n"/>
      <c r="Y467" s="282" t="n"/>
      <c r="AB467" s="282" t="n"/>
      <c r="AC467" s="537" t="n"/>
      <c r="AD467" s="537" t="n"/>
      <c r="AE467" s="282" t="n"/>
      <c r="AF467" s="537" t="n"/>
      <c r="AG467" s="537" t="n"/>
      <c r="AI467" s="537" t="n"/>
      <c r="AJ467" s="537" t="n"/>
      <c r="AK467" s="282" t="n"/>
      <c r="AL467" s="286" t="n"/>
      <c r="AM467" s="286" t="n"/>
      <c r="AN467" s="282" t="n"/>
    </row>
    <row customHeight="1" ht="15.75" r="468" s="452" spans="1:41">
      <c r="A468" s="44" t="n"/>
      <c r="G468" s="282" t="n"/>
      <c r="J468" s="282" t="n"/>
      <c r="M468" s="282" t="n"/>
      <c r="P468" s="282" t="n"/>
      <c r="S468" s="282" t="n"/>
      <c r="V468" s="282" t="n"/>
      <c r="Y468" s="282" t="n"/>
      <c r="AB468" s="282" t="n"/>
      <c r="AC468" s="537" t="n"/>
      <c r="AD468" s="537" t="n"/>
      <c r="AE468" s="282" t="n"/>
      <c r="AF468" s="537" t="n"/>
      <c r="AG468" s="537" t="n"/>
      <c r="AI468" s="537" t="n"/>
      <c r="AJ468" s="537" t="n"/>
      <c r="AK468" s="282" t="n"/>
      <c r="AL468" s="286" t="n"/>
      <c r="AM468" s="286" t="n"/>
      <c r="AN468" s="282" t="n"/>
    </row>
    <row customHeight="1" ht="15.75" r="469" s="452" spans="1:41">
      <c r="A469" s="44" t="n"/>
      <c r="G469" s="282" t="n"/>
      <c r="J469" s="282" t="n"/>
      <c r="M469" s="282" t="n"/>
      <c r="P469" s="282" t="n"/>
      <c r="S469" s="282" t="n"/>
      <c r="V469" s="282" t="n"/>
      <c r="Y469" s="282" t="n"/>
      <c r="AB469" s="282" t="n"/>
      <c r="AC469" s="537" t="n"/>
      <c r="AD469" s="537" t="n"/>
      <c r="AE469" s="282" t="n"/>
      <c r="AF469" s="537" t="n"/>
      <c r="AG469" s="537" t="n"/>
      <c r="AI469" s="537" t="n"/>
      <c r="AJ469" s="537" t="n"/>
      <c r="AK469" s="282" t="n"/>
      <c r="AL469" s="286" t="n"/>
      <c r="AM469" s="286" t="n"/>
      <c r="AN469" s="282" t="n"/>
    </row>
    <row customHeight="1" ht="15.75" r="470" s="452" spans="1:41">
      <c r="A470" s="44" t="n"/>
      <c r="G470" s="282" t="n"/>
      <c r="J470" s="282" t="n"/>
      <c r="M470" s="282" t="n"/>
      <c r="P470" s="282" t="n"/>
      <c r="S470" s="282" t="n"/>
      <c r="V470" s="282" t="n"/>
      <c r="Y470" s="282" t="n"/>
      <c r="AB470" s="282" t="n"/>
      <c r="AC470" s="537" t="n"/>
      <c r="AD470" s="537" t="n"/>
      <c r="AE470" s="282" t="n"/>
      <c r="AF470" s="537" t="n"/>
      <c r="AG470" s="537" t="n"/>
      <c r="AI470" s="537" t="n"/>
      <c r="AJ470" s="537" t="n"/>
      <c r="AK470" s="282" t="n"/>
      <c r="AL470" s="286" t="n"/>
      <c r="AM470" s="286" t="n"/>
      <c r="AN470" s="282" t="n"/>
    </row>
    <row customHeight="1" ht="15.75" r="471" s="452" spans="1:41">
      <c r="A471" s="44" t="n"/>
      <c r="G471" s="282" t="n"/>
      <c r="J471" s="282" t="n"/>
      <c r="M471" s="282" t="n"/>
      <c r="P471" s="282" t="n"/>
      <c r="S471" s="282" t="n"/>
      <c r="V471" s="282" t="n"/>
      <c r="Y471" s="282" t="n"/>
      <c r="AB471" s="282" t="n"/>
      <c r="AC471" s="537" t="n"/>
      <c r="AD471" s="537" t="n"/>
      <c r="AE471" s="282" t="n"/>
      <c r="AF471" s="537" t="n"/>
      <c r="AG471" s="537" t="n"/>
      <c r="AI471" s="537" t="n"/>
      <c r="AJ471" s="537" t="n"/>
      <c r="AK471" s="282" t="n"/>
      <c r="AL471" s="286" t="n"/>
      <c r="AM471" s="286" t="n"/>
      <c r="AN471" s="282" t="n"/>
    </row>
    <row customHeight="1" ht="15.75" r="472" s="452" spans="1:41">
      <c r="A472" s="44" t="n"/>
      <c r="G472" s="282" t="n"/>
      <c r="J472" s="282" t="n"/>
      <c r="M472" s="282" t="n"/>
      <c r="P472" s="282" t="n"/>
      <c r="S472" s="282" t="n"/>
      <c r="V472" s="282" t="n"/>
      <c r="Y472" s="282" t="n"/>
      <c r="AB472" s="282" t="n"/>
      <c r="AC472" s="537" t="n"/>
      <c r="AD472" s="537" t="n"/>
      <c r="AE472" s="282" t="n"/>
      <c r="AF472" s="537" t="n"/>
      <c r="AG472" s="537" t="n"/>
      <c r="AI472" s="537" t="n"/>
      <c r="AJ472" s="537" t="n"/>
      <c r="AK472" s="282" t="n"/>
      <c r="AL472" s="286" t="n"/>
      <c r="AM472" s="286" t="n"/>
      <c r="AN472" s="282" t="n"/>
    </row>
    <row customHeight="1" ht="15.75" r="473" s="452" spans="1:41">
      <c r="A473" s="44" t="n"/>
      <c r="G473" s="282" t="n"/>
      <c r="J473" s="282" t="n"/>
      <c r="M473" s="282" t="n"/>
      <c r="P473" s="282" t="n"/>
      <c r="S473" s="282" t="n"/>
      <c r="V473" s="282" t="n"/>
      <c r="Y473" s="282" t="n"/>
      <c r="AB473" s="282" t="n"/>
      <c r="AC473" s="537" t="n"/>
      <c r="AD473" s="537" t="n"/>
      <c r="AE473" s="282" t="n"/>
      <c r="AF473" s="537" t="n"/>
      <c r="AG473" s="537" t="n"/>
      <c r="AI473" s="537" t="n"/>
      <c r="AJ473" s="537" t="n"/>
      <c r="AK473" s="282" t="n"/>
      <c r="AL473" s="286" t="n"/>
      <c r="AM473" s="286" t="n"/>
      <c r="AN473" s="282" t="n"/>
    </row>
    <row customHeight="1" ht="15.75" r="474" s="452" spans="1:41">
      <c r="A474" s="44" t="n"/>
      <c r="G474" s="282" t="n"/>
      <c r="J474" s="282" t="n"/>
      <c r="M474" s="282" t="n"/>
      <c r="P474" s="282" t="n"/>
      <c r="S474" s="282" t="n"/>
      <c r="V474" s="282" t="n"/>
      <c r="Y474" s="282" t="n"/>
      <c r="AB474" s="282" t="n"/>
      <c r="AC474" s="537" t="n"/>
      <c r="AD474" s="537" t="n"/>
      <c r="AE474" s="282" t="n"/>
      <c r="AF474" s="537" t="n"/>
      <c r="AG474" s="537" t="n"/>
      <c r="AI474" s="537" t="n"/>
      <c r="AJ474" s="537" t="n"/>
      <c r="AK474" s="282" t="n"/>
      <c r="AL474" s="286" t="n"/>
      <c r="AM474" s="286" t="n"/>
      <c r="AN474" s="282" t="n"/>
    </row>
    <row customHeight="1" ht="15.75" r="475" s="452" spans="1:41">
      <c r="A475" s="44" t="n"/>
      <c r="G475" s="282" t="n"/>
      <c r="J475" s="282" t="n"/>
      <c r="M475" s="282" t="n"/>
      <c r="P475" s="282" t="n"/>
      <c r="S475" s="282" t="n"/>
      <c r="V475" s="282" t="n"/>
      <c r="Y475" s="282" t="n"/>
      <c r="AB475" s="282" t="n"/>
      <c r="AC475" s="537" t="n"/>
      <c r="AD475" s="537" t="n"/>
      <c r="AE475" s="282" t="n"/>
      <c r="AF475" s="537" t="n"/>
      <c r="AG475" s="537" t="n"/>
      <c r="AI475" s="537" t="n"/>
      <c r="AJ475" s="537" t="n"/>
      <c r="AK475" s="282" t="n"/>
      <c r="AL475" s="286" t="n"/>
      <c r="AM475" s="286" t="n"/>
      <c r="AN475" s="282" t="n"/>
    </row>
    <row customHeight="1" ht="15.75" r="476" s="452" spans="1:41">
      <c r="A476" s="44" t="n"/>
      <c r="G476" s="282" t="n"/>
      <c r="J476" s="282" t="n"/>
      <c r="M476" s="282" t="n"/>
      <c r="P476" s="282" t="n"/>
      <c r="S476" s="282" t="n"/>
      <c r="V476" s="282" t="n"/>
      <c r="Y476" s="282" t="n"/>
      <c r="AB476" s="282" t="n"/>
      <c r="AC476" s="537" t="n"/>
      <c r="AD476" s="537" t="n"/>
      <c r="AE476" s="282" t="n"/>
      <c r="AF476" s="537" t="n"/>
      <c r="AG476" s="537" t="n"/>
      <c r="AI476" s="537" t="n"/>
      <c r="AJ476" s="537" t="n"/>
      <c r="AK476" s="282" t="n"/>
      <c r="AL476" s="286" t="n"/>
      <c r="AM476" s="286" t="n"/>
      <c r="AN476" s="282" t="n"/>
    </row>
    <row customHeight="1" ht="15.75" r="477" s="452" spans="1:41">
      <c r="A477" s="44" t="n"/>
      <c r="G477" s="282" t="n"/>
      <c r="J477" s="282" t="n"/>
      <c r="M477" s="282" t="n"/>
      <c r="P477" s="282" t="n"/>
      <c r="S477" s="282" t="n"/>
      <c r="V477" s="282" t="n"/>
      <c r="Y477" s="282" t="n"/>
      <c r="AB477" s="282" t="n"/>
      <c r="AC477" s="537" t="n"/>
      <c r="AD477" s="537" t="n"/>
      <c r="AE477" s="282" t="n"/>
      <c r="AF477" s="537" t="n"/>
      <c r="AG477" s="537" t="n"/>
      <c r="AI477" s="537" t="n"/>
      <c r="AJ477" s="537" t="n"/>
      <c r="AK477" s="282" t="n"/>
      <c r="AL477" s="286" t="n"/>
      <c r="AM477" s="286" t="n"/>
      <c r="AN477" s="282" t="n"/>
    </row>
    <row customHeight="1" ht="15.75" r="478" s="452" spans="1:41">
      <c r="A478" s="44" t="n"/>
      <c r="G478" s="282" t="n"/>
      <c r="J478" s="282" t="n"/>
      <c r="M478" s="282" t="n"/>
      <c r="P478" s="282" t="n"/>
      <c r="S478" s="282" t="n"/>
      <c r="V478" s="282" t="n"/>
      <c r="Y478" s="282" t="n"/>
      <c r="AB478" s="282" t="n"/>
      <c r="AC478" s="537" t="n"/>
      <c r="AD478" s="537" t="n"/>
      <c r="AE478" s="282" t="n"/>
      <c r="AF478" s="537" t="n"/>
      <c r="AG478" s="537" t="n"/>
      <c r="AI478" s="537" t="n"/>
      <c r="AJ478" s="537" t="n"/>
      <c r="AK478" s="282" t="n"/>
      <c r="AL478" s="286" t="n"/>
      <c r="AM478" s="286" t="n"/>
      <c r="AN478" s="282" t="n"/>
    </row>
    <row customHeight="1" ht="15.75" r="479" s="452" spans="1:41">
      <c r="A479" s="44" t="n"/>
      <c r="G479" s="282" t="n"/>
      <c r="J479" s="282" t="n"/>
      <c r="M479" s="282" t="n"/>
      <c r="P479" s="282" t="n"/>
      <c r="S479" s="282" t="n"/>
      <c r="V479" s="282" t="n"/>
      <c r="Y479" s="282" t="n"/>
      <c r="AB479" s="282" t="n"/>
      <c r="AC479" s="537" t="n"/>
      <c r="AD479" s="537" t="n"/>
      <c r="AE479" s="282" t="n"/>
      <c r="AF479" s="537" t="n"/>
      <c r="AG479" s="537" t="n"/>
      <c r="AI479" s="537" t="n"/>
      <c r="AJ479" s="537" t="n"/>
      <c r="AK479" s="282" t="n"/>
      <c r="AL479" s="286" t="n"/>
      <c r="AM479" s="286" t="n"/>
      <c r="AN479" s="282" t="n"/>
    </row>
    <row customHeight="1" ht="15.75" r="480" s="452" spans="1:41">
      <c r="A480" s="44" t="n"/>
      <c r="G480" s="282" t="n"/>
      <c r="J480" s="282" t="n"/>
      <c r="M480" s="282" t="n"/>
      <c r="P480" s="282" t="n"/>
      <c r="S480" s="282" t="n"/>
      <c r="V480" s="282" t="n"/>
      <c r="Y480" s="282" t="n"/>
      <c r="AB480" s="282" t="n"/>
      <c r="AC480" s="537" t="n"/>
      <c r="AD480" s="537" t="n"/>
      <c r="AE480" s="282" t="n"/>
      <c r="AF480" s="537" t="n"/>
      <c r="AG480" s="537" t="n"/>
      <c r="AI480" s="537" t="n"/>
      <c r="AJ480" s="537" t="n"/>
      <c r="AK480" s="282" t="n"/>
      <c r="AL480" s="286" t="n"/>
      <c r="AM480" s="286" t="n"/>
      <c r="AN480" s="282" t="n"/>
    </row>
    <row customHeight="1" ht="15.75" r="481" s="452" spans="1:41">
      <c r="A481" s="44" t="n"/>
      <c r="G481" s="282" t="n"/>
      <c r="J481" s="282" t="n"/>
      <c r="M481" s="282" t="n"/>
      <c r="P481" s="282" t="n"/>
      <c r="S481" s="282" t="n"/>
      <c r="V481" s="282" t="n"/>
      <c r="Y481" s="282" t="n"/>
      <c r="AB481" s="282" t="n"/>
      <c r="AC481" s="537" t="n"/>
      <c r="AD481" s="537" t="n"/>
      <c r="AE481" s="282" t="n"/>
      <c r="AF481" s="537" t="n"/>
      <c r="AG481" s="537" t="n"/>
      <c r="AI481" s="537" t="n"/>
      <c r="AJ481" s="537" t="n"/>
      <c r="AK481" s="282" t="n"/>
      <c r="AL481" s="286" t="n"/>
      <c r="AM481" s="286" t="n"/>
      <c r="AN481" s="282" t="n"/>
    </row>
    <row customHeight="1" ht="15.75" r="482" s="452" spans="1:41">
      <c r="A482" s="44" t="n"/>
      <c r="G482" s="282" t="n"/>
      <c r="J482" s="282" t="n"/>
      <c r="M482" s="282" t="n"/>
      <c r="P482" s="282" t="n"/>
      <c r="S482" s="282" t="n"/>
      <c r="V482" s="282" t="n"/>
      <c r="Y482" s="282" t="n"/>
      <c r="AB482" s="282" t="n"/>
      <c r="AC482" s="537" t="n"/>
      <c r="AD482" s="537" t="n"/>
      <c r="AE482" s="282" t="n"/>
      <c r="AF482" s="537" t="n"/>
      <c r="AG482" s="537" t="n"/>
      <c r="AI482" s="537" t="n"/>
      <c r="AJ482" s="537" t="n"/>
      <c r="AK482" s="282" t="n"/>
      <c r="AL482" s="286" t="n"/>
      <c r="AM482" s="286" t="n"/>
      <c r="AN482" s="282" t="n"/>
    </row>
    <row customHeight="1" ht="15.75" r="483" s="452" spans="1:41">
      <c r="A483" s="44" t="n"/>
      <c r="G483" s="282" t="n"/>
      <c r="J483" s="282" t="n"/>
      <c r="M483" s="282" t="n"/>
      <c r="P483" s="282" t="n"/>
      <c r="S483" s="282" t="n"/>
      <c r="V483" s="282" t="n"/>
      <c r="Y483" s="282" t="n"/>
      <c r="AB483" s="282" t="n"/>
      <c r="AC483" s="537" t="n"/>
      <c r="AD483" s="537" t="n"/>
      <c r="AE483" s="282" t="n"/>
      <c r="AF483" s="537" t="n"/>
      <c r="AG483" s="537" t="n"/>
      <c r="AI483" s="537" t="n"/>
      <c r="AJ483" s="537" t="n"/>
      <c r="AK483" s="282" t="n"/>
      <c r="AL483" s="286" t="n"/>
      <c r="AM483" s="286" t="n"/>
      <c r="AN483" s="282" t="n"/>
    </row>
    <row customHeight="1" ht="15.75" r="484" s="452" spans="1:41">
      <c r="A484" s="44" t="n"/>
      <c r="G484" s="282" t="n"/>
      <c r="J484" s="282" t="n"/>
      <c r="M484" s="282" t="n"/>
      <c r="P484" s="282" t="n"/>
      <c r="S484" s="282" t="n"/>
      <c r="V484" s="282" t="n"/>
      <c r="Y484" s="282" t="n"/>
      <c r="AB484" s="282" t="n"/>
      <c r="AC484" s="537" t="n"/>
      <c r="AD484" s="537" t="n"/>
      <c r="AE484" s="282" t="n"/>
      <c r="AF484" s="537" t="n"/>
      <c r="AG484" s="537" t="n"/>
      <c r="AI484" s="537" t="n"/>
      <c r="AJ484" s="537" t="n"/>
      <c r="AK484" s="282" t="n"/>
      <c r="AL484" s="286" t="n"/>
      <c r="AM484" s="286" t="n"/>
      <c r="AN484" s="282" t="n"/>
    </row>
    <row customHeight="1" ht="15.75" r="485" s="452" spans="1:41">
      <c r="A485" s="44" t="n"/>
      <c r="G485" s="282" t="n"/>
      <c r="J485" s="282" t="n"/>
      <c r="M485" s="282" t="n"/>
      <c r="P485" s="282" t="n"/>
      <c r="S485" s="282" t="n"/>
      <c r="V485" s="282" t="n"/>
      <c r="Y485" s="282" t="n"/>
      <c r="AB485" s="282" t="n"/>
      <c r="AC485" s="537" t="n"/>
      <c r="AD485" s="537" t="n"/>
      <c r="AE485" s="282" t="n"/>
      <c r="AF485" s="537" t="n"/>
      <c r="AG485" s="537" t="n"/>
      <c r="AI485" s="537" t="n"/>
      <c r="AJ485" s="537" t="n"/>
      <c r="AK485" s="282" t="n"/>
      <c r="AL485" s="286" t="n"/>
      <c r="AM485" s="286" t="n"/>
      <c r="AN485" s="282" t="n"/>
    </row>
    <row customHeight="1" ht="15.75" r="486" s="452" spans="1:41">
      <c r="A486" s="44" t="n"/>
      <c r="G486" s="282" t="n"/>
      <c r="J486" s="282" t="n"/>
      <c r="M486" s="282" t="n"/>
      <c r="P486" s="282" t="n"/>
      <c r="S486" s="282" t="n"/>
      <c r="V486" s="282" t="n"/>
      <c r="Y486" s="282" t="n"/>
      <c r="AB486" s="282" t="n"/>
      <c r="AC486" s="537" t="n"/>
      <c r="AD486" s="537" t="n"/>
      <c r="AE486" s="282" t="n"/>
      <c r="AF486" s="537" t="n"/>
      <c r="AG486" s="537" t="n"/>
      <c r="AI486" s="537" t="n"/>
      <c r="AJ486" s="537" t="n"/>
      <c r="AK486" s="282" t="n"/>
      <c r="AL486" s="286" t="n"/>
      <c r="AM486" s="286" t="n"/>
      <c r="AN486" s="282" t="n"/>
    </row>
    <row customHeight="1" ht="15.75" r="487" s="452" spans="1:41">
      <c r="A487" s="44" t="n"/>
      <c r="G487" s="282" t="n"/>
      <c r="J487" s="282" t="n"/>
      <c r="M487" s="282" t="n"/>
      <c r="P487" s="282" t="n"/>
      <c r="S487" s="282" t="n"/>
      <c r="V487" s="282" t="n"/>
      <c r="Y487" s="282" t="n"/>
      <c r="AB487" s="282" t="n"/>
      <c r="AC487" s="537" t="n"/>
      <c r="AD487" s="537" t="n"/>
      <c r="AE487" s="282" t="n"/>
      <c r="AF487" s="537" t="n"/>
      <c r="AG487" s="537" t="n"/>
      <c r="AI487" s="537" t="n"/>
      <c r="AJ487" s="537" t="n"/>
      <c r="AK487" s="282" t="n"/>
      <c r="AL487" s="286" t="n"/>
      <c r="AM487" s="286" t="n"/>
      <c r="AN487" s="282" t="n"/>
    </row>
    <row customHeight="1" ht="15.75" r="488" s="452" spans="1:41">
      <c r="A488" s="44" t="n"/>
      <c r="G488" s="282" t="n"/>
      <c r="J488" s="282" t="n"/>
      <c r="M488" s="282" t="n"/>
      <c r="P488" s="282" t="n"/>
      <c r="S488" s="282" t="n"/>
      <c r="V488" s="282" t="n"/>
      <c r="Y488" s="282" t="n"/>
      <c r="AB488" s="282" t="n"/>
      <c r="AC488" s="537" t="n"/>
      <c r="AD488" s="537" t="n"/>
      <c r="AE488" s="282" t="n"/>
      <c r="AF488" s="537" t="n"/>
      <c r="AG488" s="537" t="n"/>
      <c r="AI488" s="537" t="n"/>
      <c r="AJ488" s="537" t="n"/>
      <c r="AK488" s="282" t="n"/>
      <c r="AL488" s="286" t="n"/>
      <c r="AM488" s="286" t="n"/>
      <c r="AN488" s="282" t="n"/>
    </row>
    <row customHeight="1" ht="15.75" r="489" s="452" spans="1:41">
      <c r="A489" s="44" t="n"/>
      <c r="G489" s="282" t="n"/>
      <c r="J489" s="282" t="n"/>
      <c r="M489" s="282" t="n"/>
      <c r="P489" s="282" t="n"/>
      <c r="S489" s="282" t="n"/>
      <c r="V489" s="282" t="n"/>
      <c r="Y489" s="282" t="n"/>
      <c r="AB489" s="282" t="n"/>
      <c r="AC489" s="537" t="n"/>
      <c r="AD489" s="537" t="n"/>
      <c r="AE489" s="282" t="n"/>
      <c r="AF489" s="537" t="n"/>
      <c r="AG489" s="537" t="n"/>
      <c r="AI489" s="537" t="n"/>
      <c r="AJ489" s="537" t="n"/>
      <c r="AK489" s="282" t="n"/>
      <c r="AL489" s="286" t="n"/>
      <c r="AM489" s="286" t="n"/>
      <c r="AN489" s="282" t="n"/>
    </row>
    <row customHeight="1" ht="15.75" r="490" s="452" spans="1:41">
      <c r="A490" s="44" t="n"/>
      <c r="G490" s="282" t="n"/>
      <c r="J490" s="282" t="n"/>
      <c r="M490" s="282" t="n"/>
      <c r="P490" s="282" t="n"/>
      <c r="S490" s="282" t="n"/>
      <c r="V490" s="282" t="n"/>
      <c r="Y490" s="282" t="n"/>
      <c r="AB490" s="282" t="n"/>
      <c r="AC490" s="537" t="n"/>
      <c r="AD490" s="537" t="n"/>
      <c r="AE490" s="282" t="n"/>
      <c r="AF490" s="537" t="n"/>
      <c r="AG490" s="537" t="n"/>
      <c r="AI490" s="537" t="n"/>
      <c r="AJ490" s="537" t="n"/>
      <c r="AK490" s="282" t="n"/>
      <c r="AL490" s="286" t="n"/>
      <c r="AM490" s="286" t="n"/>
      <c r="AN490" s="282" t="n"/>
    </row>
    <row customHeight="1" ht="15.75" r="491" s="452" spans="1:41">
      <c r="A491" s="44" t="n"/>
      <c r="G491" s="282" t="n"/>
      <c r="J491" s="282" t="n"/>
      <c r="M491" s="282" t="n"/>
      <c r="P491" s="282" t="n"/>
      <c r="S491" s="282" t="n"/>
      <c r="V491" s="282" t="n"/>
      <c r="Y491" s="282" t="n"/>
      <c r="AB491" s="282" t="n"/>
      <c r="AC491" s="537" t="n"/>
      <c r="AD491" s="537" t="n"/>
      <c r="AE491" s="282" t="n"/>
      <c r="AF491" s="537" t="n"/>
      <c r="AG491" s="537" t="n"/>
      <c r="AI491" s="537" t="n"/>
      <c r="AJ491" s="537" t="n"/>
      <c r="AK491" s="282" t="n"/>
      <c r="AL491" s="286" t="n"/>
      <c r="AM491" s="286" t="n"/>
      <c r="AN491" s="282" t="n"/>
    </row>
    <row customHeight="1" ht="15.75" r="492" s="452" spans="1:41">
      <c r="A492" s="44" t="n"/>
      <c r="G492" s="282" t="n"/>
      <c r="J492" s="282" t="n"/>
      <c r="M492" s="282" t="n"/>
      <c r="P492" s="282" t="n"/>
      <c r="S492" s="282" t="n"/>
      <c r="V492" s="282" t="n"/>
      <c r="Y492" s="282" t="n"/>
      <c r="AB492" s="282" t="n"/>
      <c r="AC492" s="537" t="n"/>
      <c r="AD492" s="537" t="n"/>
      <c r="AE492" s="282" t="n"/>
      <c r="AF492" s="537" t="n"/>
      <c r="AG492" s="537" t="n"/>
      <c r="AI492" s="537" t="n"/>
      <c r="AJ492" s="537" t="n"/>
      <c r="AK492" s="282" t="n"/>
      <c r="AL492" s="286" t="n"/>
      <c r="AM492" s="286" t="n"/>
      <c r="AN492" s="282" t="n"/>
    </row>
    <row customHeight="1" ht="15.75" r="493" s="452" spans="1:41">
      <c r="A493" s="44" t="n"/>
      <c r="G493" s="282" t="n"/>
      <c r="J493" s="282" t="n"/>
      <c r="M493" s="282" t="n"/>
      <c r="P493" s="282" t="n"/>
      <c r="S493" s="282" t="n"/>
      <c r="V493" s="282" t="n"/>
      <c r="Y493" s="282" t="n"/>
      <c r="AB493" s="282" t="n"/>
      <c r="AC493" s="537" t="n"/>
      <c r="AD493" s="537" t="n"/>
      <c r="AE493" s="282" t="n"/>
      <c r="AF493" s="537" t="n"/>
      <c r="AG493" s="537" t="n"/>
      <c r="AI493" s="537" t="n"/>
      <c r="AJ493" s="537" t="n"/>
      <c r="AK493" s="282" t="n"/>
      <c r="AL493" s="286" t="n"/>
      <c r="AM493" s="286" t="n"/>
      <c r="AN493" s="282" t="n"/>
    </row>
    <row customHeight="1" ht="15.75" r="494" s="452" spans="1:41">
      <c r="A494" s="44" t="n"/>
      <c r="G494" s="282" t="n"/>
      <c r="J494" s="282" t="n"/>
      <c r="M494" s="282" t="n"/>
      <c r="P494" s="282" t="n"/>
      <c r="S494" s="282" t="n"/>
      <c r="V494" s="282" t="n"/>
      <c r="Y494" s="282" t="n"/>
      <c r="AB494" s="282" t="n"/>
      <c r="AC494" s="537" t="n"/>
      <c r="AD494" s="537" t="n"/>
      <c r="AE494" s="282" t="n"/>
      <c r="AF494" s="537" t="n"/>
      <c r="AG494" s="537" t="n"/>
      <c r="AI494" s="537" t="n"/>
      <c r="AJ494" s="537" t="n"/>
      <c r="AK494" s="282" t="n"/>
      <c r="AL494" s="286" t="n"/>
      <c r="AM494" s="286" t="n"/>
      <c r="AN494" s="282" t="n"/>
    </row>
    <row customHeight="1" ht="15.75" r="495" s="452" spans="1:41">
      <c r="A495" s="44" t="n"/>
      <c r="G495" s="282" t="n"/>
      <c r="J495" s="282" t="n"/>
      <c r="M495" s="282" t="n"/>
      <c r="P495" s="282" t="n"/>
      <c r="S495" s="282" t="n"/>
      <c r="V495" s="282" t="n"/>
      <c r="Y495" s="282" t="n"/>
      <c r="AB495" s="282" t="n"/>
      <c r="AC495" s="537" t="n"/>
      <c r="AD495" s="537" t="n"/>
      <c r="AE495" s="282" t="n"/>
      <c r="AF495" s="537" t="n"/>
      <c r="AG495" s="537" t="n"/>
      <c r="AI495" s="537" t="n"/>
      <c r="AJ495" s="537" t="n"/>
      <c r="AK495" s="282" t="n"/>
      <c r="AL495" s="286" t="n"/>
      <c r="AM495" s="286" t="n"/>
      <c r="AN495" s="282" t="n"/>
    </row>
    <row customHeight="1" ht="15.75" r="496" s="452" spans="1:41">
      <c r="A496" s="44" t="n"/>
      <c r="G496" s="282" t="n"/>
      <c r="J496" s="282" t="n"/>
      <c r="M496" s="282" t="n"/>
      <c r="P496" s="282" t="n"/>
      <c r="S496" s="282" t="n"/>
      <c r="V496" s="282" t="n"/>
      <c r="Y496" s="282" t="n"/>
      <c r="AB496" s="282" t="n"/>
      <c r="AC496" s="537" t="n"/>
      <c r="AD496" s="537" t="n"/>
      <c r="AE496" s="282" t="n"/>
      <c r="AF496" s="537" t="n"/>
      <c r="AG496" s="537" t="n"/>
      <c r="AI496" s="537" t="n"/>
      <c r="AJ496" s="537" t="n"/>
      <c r="AK496" s="282" t="n"/>
      <c r="AL496" s="286" t="n"/>
      <c r="AM496" s="286" t="n"/>
      <c r="AN496" s="282" t="n"/>
    </row>
    <row customHeight="1" ht="15.75" r="497" s="452" spans="1:41">
      <c r="A497" s="44" t="n"/>
      <c r="G497" s="282" t="n"/>
      <c r="J497" s="282" t="n"/>
      <c r="M497" s="282" t="n"/>
      <c r="P497" s="282" t="n"/>
      <c r="S497" s="282" t="n"/>
      <c r="V497" s="282" t="n"/>
      <c r="Y497" s="282" t="n"/>
      <c r="AB497" s="282" t="n"/>
      <c r="AC497" s="537" t="n"/>
      <c r="AD497" s="537" t="n"/>
      <c r="AE497" s="282" t="n"/>
      <c r="AF497" s="537" t="n"/>
      <c r="AG497" s="537" t="n"/>
      <c r="AI497" s="537" t="n"/>
      <c r="AJ497" s="537" t="n"/>
      <c r="AK497" s="282" t="n"/>
      <c r="AL497" s="286" t="n"/>
      <c r="AM497" s="286" t="n"/>
      <c r="AN497" s="282" t="n"/>
    </row>
    <row customHeight="1" ht="15.75" r="498" s="452" spans="1:41">
      <c r="A498" s="44" t="n"/>
      <c r="G498" s="282" t="n"/>
      <c r="J498" s="282" t="n"/>
      <c r="M498" s="282" t="n"/>
      <c r="P498" s="282" t="n"/>
      <c r="S498" s="282" t="n"/>
      <c r="V498" s="282" t="n"/>
      <c r="Y498" s="282" t="n"/>
      <c r="AB498" s="282" t="n"/>
      <c r="AC498" s="537" t="n"/>
      <c r="AD498" s="537" t="n"/>
      <c r="AE498" s="282" t="n"/>
      <c r="AF498" s="537" t="n"/>
      <c r="AG498" s="537" t="n"/>
      <c r="AI498" s="537" t="n"/>
      <c r="AJ498" s="537" t="n"/>
      <c r="AK498" s="282" t="n"/>
      <c r="AL498" s="286" t="n"/>
      <c r="AM498" s="286" t="n"/>
      <c r="AN498" s="282" t="n"/>
    </row>
    <row customHeight="1" ht="15.75" r="499" s="452" spans="1:41">
      <c r="A499" s="44" t="n"/>
      <c r="G499" s="282" t="n"/>
      <c r="J499" s="282" t="n"/>
      <c r="M499" s="282" t="n"/>
      <c r="P499" s="282" t="n"/>
      <c r="S499" s="282" t="n"/>
      <c r="V499" s="282" t="n"/>
      <c r="Y499" s="282" t="n"/>
      <c r="AB499" s="282" t="n"/>
      <c r="AC499" s="537" t="n"/>
      <c r="AD499" s="537" t="n"/>
      <c r="AE499" s="282" t="n"/>
      <c r="AF499" s="537" t="n"/>
      <c r="AG499" s="537" t="n"/>
      <c r="AI499" s="537" t="n"/>
      <c r="AJ499" s="537" t="n"/>
      <c r="AK499" s="282" t="n"/>
      <c r="AL499" s="286" t="n"/>
      <c r="AM499" s="286" t="n"/>
      <c r="AN499" s="282" t="n"/>
    </row>
    <row customHeight="1" ht="15.75" r="500" s="452" spans="1:41">
      <c r="A500" s="44" t="n"/>
      <c r="G500" s="282" t="n"/>
      <c r="J500" s="282" t="n"/>
      <c r="M500" s="282" t="n"/>
      <c r="P500" s="282" t="n"/>
      <c r="S500" s="282" t="n"/>
      <c r="V500" s="282" t="n"/>
      <c r="Y500" s="282" t="n"/>
      <c r="AB500" s="282" t="n"/>
      <c r="AC500" s="537" t="n"/>
      <c r="AD500" s="537" t="n"/>
      <c r="AE500" s="282" t="n"/>
      <c r="AF500" s="537" t="n"/>
      <c r="AG500" s="537" t="n"/>
      <c r="AI500" s="537" t="n"/>
      <c r="AJ500" s="537" t="n"/>
      <c r="AK500" s="282" t="n"/>
      <c r="AL500" s="286" t="n"/>
      <c r="AM500" s="286" t="n"/>
      <c r="AN500" s="282" t="n"/>
    </row>
    <row customHeight="1" ht="15.75" r="501" s="452" spans="1:41">
      <c r="A501" s="44" t="n"/>
      <c r="G501" s="282" t="n"/>
      <c r="J501" s="282" t="n"/>
      <c r="M501" s="282" t="n"/>
      <c r="P501" s="282" t="n"/>
      <c r="S501" s="282" t="n"/>
      <c r="V501" s="282" t="n"/>
      <c r="Y501" s="282" t="n"/>
      <c r="AB501" s="282" t="n"/>
      <c r="AC501" s="537" t="n"/>
      <c r="AD501" s="537" t="n"/>
      <c r="AE501" s="282" t="n"/>
      <c r="AF501" s="537" t="n"/>
      <c r="AG501" s="537" t="n"/>
      <c r="AI501" s="537" t="n"/>
      <c r="AJ501" s="537" t="n"/>
      <c r="AK501" s="282" t="n"/>
      <c r="AL501" s="286" t="n"/>
      <c r="AM501" s="286" t="n"/>
      <c r="AN501" s="282" t="n"/>
    </row>
    <row customHeight="1" ht="15.75" r="502" s="452" spans="1:41">
      <c r="A502" s="44" t="n"/>
      <c r="G502" s="282" t="n"/>
      <c r="J502" s="282" t="n"/>
      <c r="M502" s="282" t="n"/>
      <c r="P502" s="282" t="n"/>
      <c r="S502" s="282" t="n"/>
      <c r="V502" s="282" t="n"/>
      <c r="Y502" s="282" t="n"/>
      <c r="AB502" s="282" t="n"/>
      <c r="AC502" s="537" t="n"/>
      <c r="AD502" s="537" t="n"/>
      <c r="AE502" s="282" t="n"/>
      <c r="AF502" s="537" t="n"/>
      <c r="AG502" s="537" t="n"/>
      <c r="AI502" s="537" t="n"/>
      <c r="AJ502" s="537" t="n"/>
      <c r="AK502" s="282" t="n"/>
      <c r="AL502" s="286" t="n"/>
      <c r="AM502" s="286" t="n"/>
      <c r="AN502" s="282" t="n"/>
    </row>
    <row customHeight="1" ht="15.75" r="503" s="452" spans="1:41">
      <c r="A503" s="44" t="n"/>
      <c r="G503" s="282" t="n"/>
      <c r="J503" s="282" t="n"/>
      <c r="M503" s="282" t="n"/>
      <c r="P503" s="282" t="n"/>
      <c r="S503" s="282" t="n"/>
      <c r="V503" s="282" t="n"/>
      <c r="Y503" s="282" t="n"/>
      <c r="AB503" s="282" t="n"/>
      <c r="AC503" s="537" t="n"/>
      <c r="AD503" s="537" t="n"/>
      <c r="AE503" s="282" t="n"/>
      <c r="AF503" s="537" t="n"/>
      <c r="AG503" s="537" t="n"/>
      <c r="AI503" s="537" t="n"/>
      <c r="AJ503" s="537" t="n"/>
      <c r="AK503" s="282" t="n"/>
      <c r="AL503" s="286" t="n"/>
      <c r="AM503" s="286" t="n"/>
      <c r="AN503" s="282" t="n"/>
    </row>
    <row customHeight="1" ht="15.75" r="504" s="452" spans="1:41">
      <c r="A504" s="44" t="n"/>
      <c r="G504" s="282" t="n"/>
      <c r="J504" s="282" t="n"/>
      <c r="M504" s="282" t="n"/>
      <c r="P504" s="282" t="n"/>
      <c r="S504" s="282" t="n"/>
      <c r="V504" s="282" t="n"/>
      <c r="Y504" s="282" t="n"/>
      <c r="AB504" s="282" t="n"/>
      <c r="AC504" s="537" t="n"/>
      <c r="AD504" s="537" t="n"/>
      <c r="AE504" s="282" t="n"/>
      <c r="AF504" s="537" t="n"/>
      <c r="AG504" s="537" t="n"/>
      <c r="AI504" s="537" t="n"/>
      <c r="AJ504" s="537" t="n"/>
      <c r="AK504" s="282" t="n"/>
      <c r="AL504" s="286" t="n"/>
      <c r="AM504" s="286" t="n"/>
      <c r="AN504" s="282" t="n"/>
    </row>
    <row customHeight="1" ht="15.75" r="505" s="452" spans="1:41">
      <c r="A505" s="44" t="n"/>
      <c r="G505" s="282" t="n"/>
      <c r="J505" s="282" t="n"/>
      <c r="M505" s="282" t="n"/>
      <c r="P505" s="282" t="n"/>
      <c r="S505" s="282" t="n"/>
      <c r="V505" s="282" t="n"/>
      <c r="Y505" s="282" t="n"/>
      <c r="AB505" s="282" t="n"/>
      <c r="AC505" s="537" t="n"/>
      <c r="AD505" s="537" t="n"/>
      <c r="AE505" s="282" t="n"/>
      <c r="AF505" s="537" t="n"/>
      <c r="AG505" s="537" t="n"/>
      <c r="AI505" s="537" t="n"/>
      <c r="AJ505" s="537" t="n"/>
      <c r="AK505" s="282" t="n"/>
      <c r="AL505" s="286" t="n"/>
      <c r="AM505" s="286" t="n"/>
      <c r="AN505" s="282" t="n"/>
    </row>
    <row customHeight="1" ht="15.75" r="506" s="452" spans="1:41">
      <c r="A506" s="44" t="n"/>
      <c r="G506" s="282" t="n"/>
      <c r="J506" s="282" t="n"/>
      <c r="M506" s="282" t="n"/>
      <c r="P506" s="282" t="n"/>
      <c r="S506" s="282" t="n"/>
      <c r="V506" s="282" t="n"/>
      <c r="Y506" s="282" t="n"/>
      <c r="AB506" s="282" t="n"/>
      <c r="AC506" s="537" t="n"/>
      <c r="AD506" s="537" t="n"/>
      <c r="AE506" s="282" t="n"/>
      <c r="AF506" s="537" t="n"/>
      <c r="AG506" s="537" t="n"/>
      <c r="AI506" s="537" t="n"/>
      <c r="AJ506" s="537" t="n"/>
      <c r="AK506" s="282" t="n"/>
      <c r="AL506" s="286" t="n"/>
      <c r="AM506" s="286" t="n"/>
      <c r="AN506" s="282" t="n"/>
    </row>
    <row customHeight="1" ht="15.75" r="507" s="452" spans="1:41">
      <c r="A507" s="44" t="n"/>
      <c r="G507" s="282" t="n"/>
      <c r="J507" s="282" t="n"/>
      <c r="M507" s="282" t="n"/>
      <c r="P507" s="282" t="n"/>
      <c r="S507" s="282" t="n"/>
      <c r="V507" s="282" t="n"/>
      <c r="Y507" s="282" t="n"/>
      <c r="AB507" s="282" t="n"/>
      <c r="AC507" s="537" t="n"/>
      <c r="AD507" s="537" t="n"/>
      <c r="AE507" s="282" t="n"/>
      <c r="AF507" s="537" t="n"/>
      <c r="AG507" s="537" t="n"/>
      <c r="AI507" s="537" t="n"/>
      <c r="AJ507" s="537" t="n"/>
      <c r="AK507" s="282" t="n"/>
      <c r="AL507" s="286" t="n"/>
      <c r="AM507" s="286" t="n"/>
      <c r="AN507" s="282" t="n"/>
    </row>
    <row customHeight="1" ht="15.75" r="508" s="452" spans="1:41">
      <c r="A508" s="44" t="n"/>
      <c r="G508" s="282" t="n"/>
      <c r="J508" s="282" t="n"/>
      <c r="M508" s="282" t="n"/>
      <c r="P508" s="282" t="n"/>
      <c r="S508" s="282" t="n"/>
      <c r="V508" s="282" t="n"/>
      <c r="Y508" s="282" t="n"/>
      <c r="AB508" s="282" t="n"/>
      <c r="AC508" s="537" t="n"/>
      <c r="AD508" s="537" t="n"/>
      <c r="AE508" s="282" t="n"/>
      <c r="AF508" s="537" t="n"/>
      <c r="AG508" s="537" t="n"/>
      <c r="AI508" s="537" t="n"/>
      <c r="AJ508" s="537" t="n"/>
      <c r="AK508" s="282" t="n"/>
      <c r="AL508" s="286" t="n"/>
      <c r="AM508" s="286" t="n"/>
      <c r="AN508" s="282" t="n"/>
    </row>
    <row customHeight="1" ht="15.75" r="509" s="452" spans="1:41">
      <c r="A509" s="44" t="n"/>
      <c r="G509" s="282" t="n"/>
      <c r="J509" s="282" t="n"/>
      <c r="M509" s="282" t="n"/>
      <c r="P509" s="282" t="n"/>
      <c r="S509" s="282" t="n"/>
      <c r="V509" s="282" t="n"/>
      <c r="Y509" s="282" t="n"/>
      <c r="AB509" s="282" t="n"/>
      <c r="AC509" s="537" t="n"/>
      <c r="AD509" s="537" t="n"/>
      <c r="AE509" s="282" t="n"/>
      <c r="AF509" s="537" t="n"/>
      <c r="AG509" s="537" t="n"/>
      <c r="AI509" s="537" t="n"/>
      <c r="AJ509" s="537" t="n"/>
      <c r="AK509" s="282" t="n"/>
      <c r="AL509" s="286" t="n"/>
      <c r="AM509" s="286" t="n"/>
      <c r="AN509" s="282" t="n"/>
    </row>
    <row customHeight="1" ht="15.75" r="510" s="452" spans="1:41">
      <c r="A510" s="44" t="n"/>
      <c r="G510" s="282" t="n"/>
      <c r="J510" s="282" t="n"/>
      <c r="M510" s="282" t="n"/>
      <c r="P510" s="282" t="n"/>
      <c r="S510" s="282" t="n"/>
      <c r="V510" s="282" t="n"/>
      <c r="Y510" s="282" t="n"/>
      <c r="AB510" s="282" t="n"/>
      <c r="AC510" s="537" t="n"/>
      <c r="AD510" s="537" t="n"/>
      <c r="AE510" s="282" t="n"/>
      <c r="AF510" s="537" t="n"/>
      <c r="AG510" s="537" t="n"/>
      <c r="AI510" s="537" t="n"/>
      <c r="AJ510" s="537" t="n"/>
      <c r="AK510" s="282" t="n"/>
      <c r="AL510" s="286" t="n"/>
      <c r="AM510" s="286" t="n"/>
      <c r="AN510" s="282" t="n"/>
    </row>
    <row customHeight="1" ht="15.75" r="511" s="452" spans="1:41">
      <c r="A511" s="44" t="n"/>
      <c r="G511" s="282" t="n"/>
      <c r="J511" s="282" t="n"/>
      <c r="M511" s="282" t="n"/>
      <c r="P511" s="282" t="n"/>
      <c r="S511" s="282" t="n"/>
      <c r="V511" s="282" t="n"/>
      <c r="Y511" s="282" t="n"/>
      <c r="AB511" s="282" t="n"/>
      <c r="AC511" s="537" t="n"/>
      <c r="AD511" s="537" t="n"/>
      <c r="AE511" s="282" t="n"/>
      <c r="AF511" s="537" t="n"/>
      <c r="AG511" s="537" t="n"/>
      <c r="AI511" s="537" t="n"/>
      <c r="AJ511" s="537" t="n"/>
      <c r="AK511" s="282" t="n"/>
      <c r="AL511" s="286" t="n"/>
      <c r="AM511" s="286" t="n"/>
      <c r="AN511" s="282" t="n"/>
    </row>
    <row customHeight="1" ht="15.75" r="512" s="452" spans="1:41">
      <c r="A512" s="44" t="n"/>
      <c r="G512" s="282" t="n"/>
      <c r="J512" s="282" t="n"/>
      <c r="M512" s="282" t="n"/>
      <c r="P512" s="282" t="n"/>
      <c r="S512" s="282" t="n"/>
      <c r="V512" s="282" t="n"/>
      <c r="Y512" s="282" t="n"/>
      <c r="AB512" s="282" t="n"/>
      <c r="AC512" s="537" t="n"/>
      <c r="AD512" s="537" t="n"/>
      <c r="AE512" s="282" t="n"/>
      <c r="AF512" s="537" t="n"/>
      <c r="AG512" s="537" t="n"/>
      <c r="AI512" s="537" t="n"/>
      <c r="AJ512" s="537" t="n"/>
      <c r="AK512" s="282" t="n"/>
      <c r="AL512" s="286" t="n"/>
      <c r="AM512" s="286" t="n"/>
      <c r="AN512" s="282" t="n"/>
    </row>
    <row customHeight="1" ht="15.75" r="513" s="452" spans="1:41">
      <c r="A513" s="44" t="n"/>
      <c r="G513" s="282" t="n"/>
      <c r="J513" s="282" t="n"/>
      <c r="M513" s="282" t="n"/>
      <c r="P513" s="282" t="n"/>
      <c r="S513" s="282" t="n"/>
      <c r="V513" s="282" t="n"/>
      <c r="Y513" s="282" t="n"/>
      <c r="AB513" s="282" t="n"/>
      <c r="AC513" s="537" t="n"/>
      <c r="AD513" s="537" t="n"/>
      <c r="AE513" s="282" t="n"/>
      <c r="AF513" s="537" t="n"/>
      <c r="AG513" s="537" t="n"/>
      <c r="AI513" s="537" t="n"/>
      <c r="AJ513" s="537" t="n"/>
      <c r="AK513" s="282" t="n"/>
      <c r="AL513" s="286" t="n"/>
      <c r="AM513" s="286" t="n"/>
      <c r="AN513" s="282" t="n"/>
    </row>
    <row customHeight="1" ht="15.75" r="514" s="452" spans="1:41">
      <c r="A514" s="44" t="n"/>
      <c r="G514" s="282" t="n"/>
      <c r="J514" s="282" t="n"/>
      <c r="M514" s="282" t="n"/>
      <c r="P514" s="282" t="n"/>
      <c r="S514" s="282" t="n"/>
      <c r="V514" s="282" t="n"/>
      <c r="Y514" s="282" t="n"/>
      <c r="AB514" s="282" t="n"/>
      <c r="AC514" s="537" t="n"/>
      <c r="AD514" s="537" t="n"/>
      <c r="AE514" s="282" t="n"/>
      <c r="AF514" s="537" t="n"/>
      <c r="AG514" s="537" t="n"/>
      <c r="AI514" s="537" t="n"/>
      <c r="AJ514" s="537" t="n"/>
      <c r="AK514" s="282" t="n"/>
      <c r="AL514" s="286" t="n"/>
      <c r="AM514" s="286" t="n"/>
      <c r="AN514" s="282" t="n"/>
    </row>
    <row customHeight="1" ht="15.75" r="515" s="452" spans="1:41">
      <c r="A515" s="44" t="n"/>
      <c r="G515" s="282" t="n"/>
      <c r="J515" s="282" t="n"/>
      <c r="M515" s="282" t="n"/>
      <c r="P515" s="282" t="n"/>
      <c r="S515" s="282" t="n"/>
      <c r="V515" s="282" t="n"/>
      <c r="Y515" s="282" t="n"/>
      <c r="AB515" s="282" t="n"/>
      <c r="AC515" s="537" t="n"/>
      <c r="AD515" s="537" t="n"/>
      <c r="AE515" s="282" t="n"/>
      <c r="AF515" s="537" t="n"/>
      <c r="AG515" s="537" t="n"/>
      <c r="AI515" s="537" t="n"/>
      <c r="AJ515" s="537" t="n"/>
      <c r="AK515" s="282" t="n"/>
      <c r="AL515" s="286" t="n"/>
      <c r="AM515" s="286" t="n"/>
      <c r="AN515" s="282" t="n"/>
    </row>
    <row customHeight="1" ht="15.75" r="516" s="452" spans="1:41">
      <c r="A516" s="44" t="n"/>
      <c r="G516" s="282" t="n"/>
      <c r="J516" s="282" t="n"/>
      <c r="M516" s="282" t="n"/>
      <c r="P516" s="282" t="n"/>
      <c r="S516" s="282" t="n"/>
      <c r="V516" s="282" t="n"/>
      <c r="Y516" s="282" t="n"/>
      <c r="AB516" s="282" t="n"/>
      <c r="AC516" s="537" t="n"/>
      <c r="AD516" s="537" t="n"/>
      <c r="AE516" s="282" t="n"/>
      <c r="AF516" s="537" t="n"/>
      <c r="AG516" s="537" t="n"/>
      <c r="AI516" s="537" t="n"/>
      <c r="AJ516" s="537" t="n"/>
      <c r="AK516" s="282" t="n"/>
      <c r="AL516" s="286" t="n"/>
      <c r="AM516" s="286" t="n"/>
      <c r="AN516" s="282" t="n"/>
    </row>
    <row customHeight="1" ht="15.75" r="517" s="452" spans="1:41">
      <c r="A517" s="44" t="n"/>
      <c r="G517" s="282" t="n"/>
      <c r="J517" s="282" t="n"/>
      <c r="M517" s="282" t="n"/>
      <c r="P517" s="282" t="n"/>
      <c r="S517" s="282" t="n"/>
      <c r="V517" s="282" t="n"/>
      <c r="Y517" s="282" t="n"/>
      <c r="AB517" s="282" t="n"/>
      <c r="AC517" s="537" t="n"/>
      <c r="AD517" s="537" t="n"/>
      <c r="AE517" s="282" t="n"/>
      <c r="AF517" s="537" t="n"/>
      <c r="AG517" s="537" t="n"/>
      <c r="AI517" s="537" t="n"/>
      <c r="AJ517" s="537" t="n"/>
      <c r="AK517" s="282" t="n"/>
      <c r="AL517" s="286" t="n"/>
      <c r="AM517" s="286" t="n"/>
      <c r="AN517" s="282" t="n"/>
    </row>
    <row customHeight="1" ht="15.75" r="518" s="452" spans="1:41">
      <c r="A518" s="44" t="n"/>
      <c r="G518" s="282" t="n"/>
      <c r="J518" s="282" t="n"/>
      <c r="M518" s="282" t="n"/>
      <c r="P518" s="282" t="n"/>
      <c r="S518" s="282" t="n"/>
      <c r="V518" s="282" t="n"/>
      <c r="Y518" s="282" t="n"/>
      <c r="AB518" s="282" t="n"/>
      <c r="AC518" s="537" t="n"/>
      <c r="AD518" s="537" t="n"/>
      <c r="AE518" s="282" t="n"/>
      <c r="AF518" s="537" t="n"/>
      <c r="AG518" s="537" t="n"/>
      <c r="AI518" s="537" t="n"/>
      <c r="AJ518" s="537" t="n"/>
      <c r="AK518" s="282" t="n"/>
      <c r="AL518" s="286" t="n"/>
      <c r="AM518" s="286" t="n"/>
      <c r="AN518" s="282" t="n"/>
    </row>
    <row customHeight="1" ht="15.75" r="519" s="452" spans="1:41">
      <c r="A519" s="44" t="n"/>
      <c r="G519" s="282" t="n"/>
      <c r="J519" s="282" t="n"/>
      <c r="M519" s="282" t="n"/>
      <c r="P519" s="282" t="n"/>
      <c r="S519" s="282" t="n"/>
      <c r="V519" s="282" t="n"/>
      <c r="Y519" s="282" t="n"/>
      <c r="AB519" s="282" t="n"/>
      <c r="AC519" s="537" t="n"/>
      <c r="AD519" s="537" t="n"/>
      <c r="AE519" s="282" t="n"/>
      <c r="AF519" s="537" t="n"/>
      <c r="AG519" s="537" t="n"/>
      <c r="AI519" s="537" t="n"/>
      <c r="AJ519" s="537" t="n"/>
      <c r="AK519" s="282" t="n"/>
      <c r="AL519" s="286" t="n"/>
      <c r="AM519" s="286" t="n"/>
      <c r="AN519" s="282" t="n"/>
    </row>
    <row customHeight="1" ht="15.75" r="520" s="452" spans="1:41">
      <c r="A520" s="44" t="n"/>
      <c r="G520" s="282" t="n"/>
      <c r="J520" s="282" t="n"/>
      <c r="M520" s="282" t="n"/>
      <c r="P520" s="282" t="n"/>
      <c r="S520" s="282" t="n"/>
      <c r="V520" s="282" t="n"/>
      <c r="Y520" s="282" t="n"/>
      <c r="AB520" s="282" t="n"/>
      <c r="AC520" s="537" t="n"/>
      <c r="AD520" s="537" t="n"/>
      <c r="AE520" s="282" t="n"/>
      <c r="AF520" s="537" t="n"/>
      <c r="AG520" s="537" t="n"/>
      <c r="AI520" s="537" t="n"/>
      <c r="AJ520" s="537" t="n"/>
      <c r="AK520" s="282" t="n"/>
      <c r="AL520" s="286" t="n"/>
      <c r="AM520" s="286" t="n"/>
      <c r="AN520" s="282" t="n"/>
    </row>
    <row customHeight="1" ht="15.75" r="521" s="452" spans="1:41">
      <c r="A521" s="44" t="n"/>
      <c r="G521" s="282" t="n"/>
      <c r="J521" s="282" t="n"/>
      <c r="M521" s="282" t="n"/>
      <c r="P521" s="282" t="n"/>
      <c r="S521" s="282" t="n"/>
      <c r="V521" s="282" t="n"/>
      <c r="Y521" s="282" t="n"/>
      <c r="AB521" s="282" t="n"/>
      <c r="AC521" s="537" t="n"/>
      <c r="AD521" s="537" t="n"/>
      <c r="AE521" s="282" t="n"/>
      <c r="AF521" s="537" t="n"/>
      <c r="AG521" s="537" t="n"/>
      <c r="AI521" s="537" t="n"/>
      <c r="AJ521" s="537" t="n"/>
      <c r="AK521" s="282" t="n"/>
      <c r="AL521" s="286" t="n"/>
      <c r="AM521" s="286" t="n"/>
      <c r="AN521" s="282" t="n"/>
    </row>
    <row customHeight="1" ht="15.75" r="522" s="452" spans="1:41">
      <c r="A522" s="44" t="n"/>
      <c r="G522" s="282" t="n"/>
      <c r="J522" s="282" t="n"/>
      <c r="M522" s="282" t="n"/>
      <c r="P522" s="282" t="n"/>
      <c r="S522" s="282" t="n"/>
      <c r="V522" s="282" t="n"/>
      <c r="Y522" s="282" t="n"/>
      <c r="AB522" s="282" t="n"/>
      <c r="AC522" s="537" t="n"/>
      <c r="AD522" s="537" t="n"/>
      <c r="AE522" s="282" t="n"/>
      <c r="AF522" s="537" t="n"/>
      <c r="AG522" s="537" t="n"/>
      <c r="AI522" s="537" t="n"/>
      <c r="AJ522" s="537" t="n"/>
      <c r="AK522" s="282" t="n"/>
      <c r="AL522" s="286" t="n"/>
      <c r="AM522" s="286" t="n"/>
      <c r="AN522" s="282" t="n"/>
    </row>
    <row customHeight="1" ht="15.75" r="523" s="452" spans="1:41">
      <c r="A523" s="44" t="n"/>
      <c r="G523" s="282" t="n"/>
      <c r="J523" s="282" t="n"/>
      <c r="M523" s="282" t="n"/>
      <c r="P523" s="282" t="n"/>
      <c r="S523" s="282" t="n"/>
      <c r="V523" s="282" t="n"/>
      <c r="Y523" s="282" t="n"/>
      <c r="AB523" s="282" t="n"/>
      <c r="AC523" s="537" t="n"/>
      <c r="AD523" s="537" t="n"/>
      <c r="AE523" s="282" t="n"/>
      <c r="AF523" s="537" t="n"/>
      <c r="AG523" s="537" t="n"/>
      <c r="AI523" s="537" t="n"/>
      <c r="AJ523" s="537" t="n"/>
      <c r="AK523" s="282" t="n"/>
      <c r="AL523" s="286" t="n"/>
      <c r="AM523" s="286" t="n"/>
      <c r="AN523" s="282" t="n"/>
    </row>
    <row customHeight="1" ht="15.75" r="524" s="452" spans="1:41">
      <c r="A524" s="44" t="n"/>
      <c r="G524" s="282" t="n"/>
      <c r="J524" s="282" t="n"/>
      <c r="M524" s="282" t="n"/>
      <c r="P524" s="282" t="n"/>
      <c r="S524" s="282" t="n"/>
      <c r="V524" s="282" t="n"/>
      <c r="Y524" s="282" t="n"/>
      <c r="AB524" s="282" t="n"/>
      <c r="AC524" s="537" t="n"/>
      <c r="AD524" s="537" t="n"/>
      <c r="AE524" s="282" t="n"/>
      <c r="AF524" s="537" t="n"/>
      <c r="AG524" s="537" t="n"/>
      <c r="AI524" s="537" t="n"/>
      <c r="AJ524" s="537" t="n"/>
      <c r="AK524" s="282" t="n"/>
      <c r="AL524" s="286" t="n"/>
      <c r="AM524" s="286" t="n"/>
      <c r="AN524" s="282" t="n"/>
    </row>
    <row customHeight="1" ht="15.75" r="525" s="452" spans="1:41">
      <c r="A525" s="44" t="n"/>
      <c r="G525" s="282" t="n"/>
      <c r="J525" s="282" t="n"/>
      <c r="M525" s="282" t="n"/>
      <c r="P525" s="282" t="n"/>
      <c r="S525" s="282" t="n"/>
      <c r="V525" s="282" t="n"/>
      <c r="Y525" s="282" t="n"/>
      <c r="AB525" s="282" t="n"/>
      <c r="AC525" s="537" t="n"/>
      <c r="AD525" s="537" t="n"/>
      <c r="AE525" s="282" t="n"/>
      <c r="AF525" s="537" t="n"/>
      <c r="AG525" s="537" t="n"/>
      <c r="AI525" s="537" t="n"/>
      <c r="AJ525" s="537" t="n"/>
      <c r="AK525" s="282" t="n"/>
      <c r="AL525" s="286" t="n"/>
      <c r="AM525" s="286" t="n"/>
      <c r="AN525" s="282" t="n"/>
    </row>
    <row customHeight="1" ht="15.75" r="526" s="452" spans="1:41">
      <c r="A526" s="44" t="n"/>
      <c r="G526" s="282" t="n"/>
      <c r="J526" s="282" t="n"/>
      <c r="M526" s="282" t="n"/>
      <c r="P526" s="282" t="n"/>
      <c r="S526" s="282" t="n"/>
      <c r="V526" s="282" t="n"/>
      <c r="Y526" s="282" t="n"/>
      <c r="AB526" s="282" t="n"/>
      <c r="AC526" s="537" t="n"/>
      <c r="AD526" s="537" t="n"/>
      <c r="AE526" s="282" t="n"/>
      <c r="AF526" s="537" t="n"/>
      <c r="AG526" s="537" t="n"/>
      <c r="AI526" s="537" t="n"/>
      <c r="AJ526" s="537" t="n"/>
      <c r="AK526" s="282" t="n"/>
      <c r="AL526" s="286" t="n"/>
      <c r="AM526" s="286" t="n"/>
      <c r="AN526" s="282" t="n"/>
    </row>
    <row customHeight="1" ht="15.75" r="527" s="452" spans="1:41">
      <c r="A527" s="44" t="n"/>
      <c r="G527" s="282" t="n"/>
      <c r="J527" s="282" t="n"/>
      <c r="M527" s="282" t="n"/>
      <c r="P527" s="282" t="n"/>
      <c r="S527" s="282" t="n"/>
      <c r="V527" s="282" t="n"/>
      <c r="Y527" s="282" t="n"/>
      <c r="AB527" s="282" t="n"/>
      <c r="AC527" s="537" t="n"/>
      <c r="AD527" s="537" t="n"/>
      <c r="AE527" s="282" t="n"/>
      <c r="AF527" s="537" t="n"/>
      <c r="AG527" s="537" t="n"/>
      <c r="AI527" s="537" t="n"/>
      <c r="AJ527" s="537" t="n"/>
      <c r="AK527" s="282" t="n"/>
      <c r="AL527" s="286" t="n"/>
      <c r="AM527" s="286" t="n"/>
      <c r="AN527" s="282" t="n"/>
    </row>
    <row customHeight="1" ht="15.75" r="528" s="452" spans="1:41">
      <c r="A528" s="44" t="n"/>
      <c r="G528" s="282" t="n"/>
      <c r="J528" s="282" t="n"/>
      <c r="M528" s="282" t="n"/>
      <c r="P528" s="282" t="n"/>
      <c r="S528" s="282" t="n"/>
      <c r="V528" s="282" t="n"/>
      <c r="Y528" s="282" t="n"/>
      <c r="AB528" s="282" t="n"/>
      <c r="AC528" s="537" t="n"/>
      <c r="AD528" s="537" t="n"/>
      <c r="AE528" s="282" t="n"/>
      <c r="AF528" s="537" t="n"/>
      <c r="AG528" s="537" t="n"/>
      <c r="AI528" s="537" t="n"/>
      <c r="AJ528" s="537" t="n"/>
      <c r="AK528" s="282" t="n"/>
      <c r="AL528" s="286" t="n"/>
      <c r="AM528" s="286" t="n"/>
      <c r="AN528" s="282" t="n"/>
    </row>
    <row customHeight="1" ht="15.75" r="529" s="452" spans="1:41">
      <c r="A529" s="44" t="n"/>
      <c r="G529" s="282" t="n"/>
      <c r="J529" s="282" t="n"/>
      <c r="M529" s="282" t="n"/>
      <c r="P529" s="282" t="n"/>
      <c r="S529" s="282" t="n"/>
      <c r="V529" s="282" t="n"/>
      <c r="Y529" s="282" t="n"/>
      <c r="AB529" s="282" t="n"/>
      <c r="AC529" s="537" t="n"/>
      <c r="AD529" s="537" t="n"/>
      <c r="AE529" s="282" t="n"/>
      <c r="AF529" s="537" t="n"/>
      <c r="AG529" s="537" t="n"/>
      <c r="AI529" s="537" t="n"/>
      <c r="AJ529" s="537" t="n"/>
      <c r="AK529" s="282" t="n"/>
      <c r="AL529" s="286" t="n"/>
      <c r="AM529" s="286" t="n"/>
      <c r="AN529" s="282" t="n"/>
    </row>
    <row customHeight="1" ht="15.75" r="530" s="452" spans="1:41">
      <c r="A530" s="44" t="n"/>
      <c r="G530" s="282" t="n"/>
      <c r="J530" s="282" t="n"/>
      <c r="M530" s="282" t="n"/>
      <c r="P530" s="282" t="n"/>
      <c r="S530" s="282" t="n"/>
      <c r="V530" s="282" t="n"/>
      <c r="Y530" s="282" t="n"/>
      <c r="AB530" s="282" t="n"/>
      <c r="AC530" s="537" t="n"/>
      <c r="AD530" s="537" t="n"/>
      <c r="AE530" s="282" t="n"/>
      <c r="AF530" s="537" t="n"/>
      <c r="AG530" s="537" t="n"/>
      <c r="AI530" s="537" t="n"/>
      <c r="AJ530" s="537" t="n"/>
      <c r="AK530" s="282" t="n"/>
      <c r="AL530" s="286" t="n"/>
      <c r="AM530" s="286" t="n"/>
      <c r="AN530" s="282" t="n"/>
    </row>
    <row customHeight="1" ht="15.75" r="531" s="452" spans="1:41">
      <c r="A531" s="44" t="n"/>
      <c r="G531" s="282" t="n"/>
      <c r="J531" s="282" t="n"/>
      <c r="M531" s="282" t="n"/>
      <c r="P531" s="282" t="n"/>
      <c r="S531" s="282" t="n"/>
      <c r="V531" s="282" t="n"/>
      <c r="Y531" s="282" t="n"/>
      <c r="AB531" s="282" t="n"/>
      <c r="AC531" s="537" t="n"/>
      <c r="AD531" s="537" t="n"/>
      <c r="AE531" s="282" t="n"/>
      <c r="AF531" s="537" t="n"/>
      <c r="AG531" s="537" t="n"/>
      <c r="AI531" s="537" t="n"/>
      <c r="AJ531" s="537" t="n"/>
      <c r="AK531" s="282" t="n"/>
      <c r="AL531" s="286" t="n"/>
      <c r="AM531" s="286" t="n"/>
      <c r="AN531" s="282" t="n"/>
    </row>
    <row customHeight="1" ht="15.75" r="532" s="452" spans="1:41">
      <c r="A532" s="44" t="n"/>
      <c r="G532" s="282" t="n"/>
      <c r="J532" s="282" t="n"/>
      <c r="M532" s="282" t="n"/>
      <c r="P532" s="282" t="n"/>
      <c r="S532" s="282" t="n"/>
      <c r="V532" s="282" t="n"/>
      <c r="Y532" s="282" t="n"/>
      <c r="AB532" s="282" t="n"/>
      <c r="AC532" s="537" t="n"/>
      <c r="AD532" s="537" t="n"/>
      <c r="AE532" s="282" t="n"/>
      <c r="AF532" s="537" t="n"/>
      <c r="AG532" s="537" t="n"/>
      <c r="AI532" s="537" t="n"/>
      <c r="AJ532" s="537" t="n"/>
      <c r="AK532" s="282" t="n"/>
      <c r="AL532" s="286" t="n"/>
      <c r="AM532" s="286" t="n"/>
      <c r="AN532" s="282" t="n"/>
    </row>
    <row customHeight="1" ht="15.75" r="533" s="452" spans="1:41">
      <c r="A533" s="44" t="n"/>
      <c r="G533" s="282" t="n"/>
      <c r="J533" s="282" t="n"/>
      <c r="M533" s="282" t="n"/>
      <c r="P533" s="282" t="n"/>
      <c r="S533" s="282" t="n"/>
      <c r="V533" s="282" t="n"/>
      <c r="Y533" s="282" t="n"/>
      <c r="AB533" s="282" t="n"/>
      <c r="AC533" s="537" t="n"/>
      <c r="AD533" s="537" t="n"/>
      <c r="AE533" s="282" t="n"/>
      <c r="AF533" s="537" t="n"/>
      <c r="AG533" s="537" t="n"/>
      <c r="AI533" s="537" t="n"/>
      <c r="AJ533" s="537" t="n"/>
      <c r="AK533" s="282" t="n"/>
      <c r="AL533" s="286" t="n"/>
      <c r="AM533" s="286" t="n"/>
      <c r="AN533" s="282" t="n"/>
    </row>
    <row customHeight="1" ht="15.75" r="534" s="452" spans="1:41">
      <c r="A534" s="44" t="n"/>
      <c r="G534" s="282" t="n"/>
      <c r="J534" s="282" t="n"/>
      <c r="M534" s="282" t="n"/>
      <c r="P534" s="282" t="n"/>
      <c r="S534" s="282" t="n"/>
      <c r="V534" s="282" t="n"/>
      <c r="Y534" s="282" t="n"/>
      <c r="AB534" s="282" t="n"/>
      <c r="AC534" s="537" t="n"/>
      <c r="AD534" s="537" t="n"/>
      <c r="AE534" s="282" t="n"/>
      <c r="AF534" s="537" t="n"/>
      <c r="AG534" s="537" t="n"/>
      <c r="AI534" s="537" t="n"/>
      <c r="AJ534" s="537" t="n"/>
      <c r="AK534" s="282" t="n"/>
      <c r="AL534" s="286" t="n"/>
      <c r="AM534" s="286" t="n"/>
      <c r="AN534" s="282" t="n"/>
    </row>
    <row customHeight="1" ht="15.75" r="535" s="452" spans="1:41">
      <c r="A535" s="44" t="n"/>
      <c r="G535" s="282" t="n"/>
      <c r="J535" s="282" t="n"/>
      <c r="M535" s="282" t="n"/>
      <c r="P535" s="282" t="n"/>
      <c r="S535" s="282" t="n"/>
      <c r="V535" s="282" t="n"/>
      <c r="Y535" s="282" t="n"/>
      <c r="AB535" s="282" t="n"/>
      <c r="AC535" s="537" t="n"/>
      <c r="AD535" s="537" t="n"/>
      <c r="AE535" s="282" t="n"/>
      <c r="AF535" s="537" t="n"/>
      <c r="AG535" s="537" t="n"/>
      <c r="AI535" s="537" t="n"/>
      <c r="AJ535" s="537" t="n"/>
      <c r="AK535" s="282" t="n"/>
      <c r="AL535" s="286" t="n"/>
      <c r="AM535" s="286" t="n"/>
      <c r="AN535" s="282" t="n"/>
    </row>
    <row customHeight="1" ht="15.75" r="536" s="452" spans="1:41">
      <c r="A536" s="44" t="n"/>
      <c r="G536" s="282" t="n"/>
      <c r="J536" s="282" t="n"/>
      <c r="M536" s="282" t="n"/>
      <c r="P536" s="282" t="n"/>
      <c r="S536" s="282" t="n"/>
      <c r="V536" s="282" t="n"/>
      <c r="Y536" s="282" t="n"/>
      <c r="AB536" s="282" t="n"/>
      <c r="AC536" s="537" t="n"/>
      <c r="AD536" s="537" t="n"/>
      <c r="AE536" s="282" t="n"/>
      <c r="AF536" s="537" t="n"/>
      <c r="AG536" s="537" t="n"/>
      <c r="AI536" s="537" t="n"/>
      <c r="AJ536" s="537" t="n"/>
      <c r="AK536" s="282" t="n"/>
      <c r="AL536" s="286" t="n"/>
      <c r="AM536" s="286" t="n"/>
      <c r="AN536" s="282" t="n"/>
    </row>
    <row customHeight="1" ht="15.75" r="537" s="452" spans="1:41">
      <c r="A537" s="44" t="n"/>
      <c r="G537" s="282" t="n"/>
      <c r="J537" s="282" t="n"/>
      <c r="M537" s="282" t="n"/>
      <c r="P537" s="282" t="n"/>
      <c r="S537" s="282" t="n"/>
      <c r="V537" s="282" t="n"/>
      <c r="Y537" s="282" t="n"/>
      <c r="AB537" s="282" t="n"/>
      <c r="AC537" s="537" t="n"/>
      <c r="AD537" s="537" t="n"/>
      <c r="AE537" s="282" t="n"/>
      <c r="AF537" s="537" t="n"/>
      <c r="AG537" s="537" t="n"/>
      <c r="AI537" s="537" t="n"/>
      <c r="AJ537" s="537" t="n"/>
      <c r="AK537" s="282" t="n"/>
      <c r="AL537" s="286" t="n"/>
      <c r="AM537" s="286" t="n"/>
      <c r="AN537" s="282" t="n"/>
    </row>
    <row customHeight="1" ht="15.75" r="538" s="452" spans="1:41">
      <c r="A538" s="44" t="n"/>
      <c r="G538" s="282" t="n"/>
      <c r="J538" s="282" t="n"/>
      <c r="M538" s="282" t="n"/>
      <c r="P538" s="282" t="n"/>
      <c r="S538" s="282" t="n"/>
      <c r="V538" s="282" t="n"/>
      <c r="Y538" s="282" t="n"/>
      <c r="AB538" s="282" t="n"/>
      <c r="AC538" s="537" t="n"/>
      <c r="AD538" s="537" t="n"/>
      <c r="AE538" s="282" t="n"/>
      <c r="AF538" s="537" t="n"/>
      <c r="AG538" s="537" t="n"/>
      <c r="AI538" s="537" t="n"/>
      <c r="AJ538" s="537" t="n"/>
      <c r="AK538" s="282" t="n"/>
      <c r="AL538" s="286" t="n"/>
      <c r="AM538" s="286" t="n"/>
      <c r="AN538" s="282" t="n"/>
    </row>
    <row customHeight="1" ht="15.75" r="539" s="452" spans="1:41">
      <c r="A539" s="44" t="n"/>
      <c r="G539" s="282" t="n"/>
      <c r="J539" s="282" t="n"/>
      <c r="M539" s="282" t="n"/>
      <c r="P539" s="282" t="n"/>
      <c r="S539" s="282" t="n"/>
      <c r="V539" s="282" t="n"/>
      <c r="Y539" s="282" t="n"/>
      <c r="AB539" s="282" t="n"/>
      <c r="AC539" s="537" t="n"/>
      <c r="AD539" s="537" t="n"/>
      <c r="AE539" s="282" t="n"/>
      <c r="AF539" s="537" t="n"/>
      <c r="AG539" s="537" t="n"/>
      <c r="AI539" s="537" t="n"/>
      <c r="AJ539" s="537" t="n"/>
      <c r="AK539" s="282" t="n"/>
      <c r="AL539" s="286" t="n"/>
      <c r="AM539" s="286" t="n"/>
      <c r="AN539" s="282" t="n"/>
    </row>
    <row customHeight="1" ht="15.75" r="540" s="452" spans="1:41">
      <c r="A540" s="44" t="n"/>
      <c r="G540" s="282" t="n"/>
      <c r="J540" s="282" t="n"/>
      <c r="M540" s="282" t="n"/>
      <c r="P540" s="282" t="n"/>
      <c r="S540" s="282" t="n"/>
      <c r="V540" s="282" t="n"/>
      <c r="Y540" s="282" t="n"/>
      <c r="AB540" s="282" t="n"/>
      <c r="AC540" s="537" t="n"/>
      <c r="AD540" s="537" t="n"/>
      <c r="AE540" s="282" t="n"/>
      <c r="AF540" s="537" t="n"/>
      <c r="AG540" s="537" t="n"/>
      <c r="AI540" s="537" t="n"/>
      <c r="AJ540" s="537" t="n"/>
      <c r="AK540" s="282" t="n"/>
      <c r="AL540" s="286" t="n"/>
      <c r="AM540" s="286" t="n"/>
      <c r="AN540" s="282" t="n"/>
    </row>
    <row customHeight="1" ht="15.75" r="541" s="452" spans="1:41">
      <c r="A541" s="44" t="n"/>
      <c r="G541" s="282" t="n"/>
      <c r="J541" s="282" t="n"/>
      <c r="M541" s="282" t="n"/>
      <c r="P541" s="282" t="n"/>
      <c r="S541" s="282" t="n"/>
      <c r="V541" s="282" t="n"/>
      <c r="Y541" s="282" t="n"/>
      <c r="AB541" s="282" t="n"/>
      <c r="AC541" s="537" t="n"/>
      <c r="AD541" s="537" t="n"/>
      <c r="AE541" s="282" t="n"/>
      <c r="AF541" s="537" t="n"/>
      <c r="AG541" s="537" t="n"/>
      <c r="AI541" s="537" t="n"/>
      <c r="AJ541" s="537" t="n"/>
      <c r="AK541" s="282" t="n"/>
      <c r="AL541" s="286" t="n"/>
      <c r="AM541" s="286" t="n"/>
      <c r="AN541" s="282" t="n"/>
    </row>
    <row customHeight="1" ht="15.75" r="542" s="452" spans="1:41">
      <c r="A542" s="44" t="n"/>
      <c r="G542" s="282" t="n"/>
      <c r="J542" s="282" t="n"/>
      <c r="M542" s="282" t="n"/>
      <c r="P542" s="282" t="n"/>
      <c r="S542" s="282" t="n"/>
      <c r="V542" s="282" t="n"/>
      <c r="Y542" s="282" t="n"/>
      <c r="AB542" s="282" t="n"/>
      <c r="AC542" s="537" t="n"/>
      <c r="AD542" s="537" t="n"/>
      <c r="AE542" s="282" t="n"/>
      <c r="AF542" s="537" t="n"/>
      <c r="AG542" s="537" t="n"/>
      <c r="AI542" s="537" t="n"/>
      <c r="AJ542" s="537" t="n"/>
      <c r="AK542" s="282" t="n"/>
      <c r="AL542" s="286" t="n"/>
      <c r="AM542" s="286" t="n"/>
      <c r="AN542" s="282" t="n"/>
    </row>
    <row customHeight="1" ht="15.75" r="543" s="452" spans="1:41">
      <c r="A543" s="44" t="n"/>
      <c r="G543" s="282" t="n"/>
      <c r="J543" s="282" t="n"/>
      <c r="M543" s="282" t="n"/>
      <c r="P543" s="282" t="n"/>
      <c r="S543" s="282" t="n"/>
      <c r="V543" s="282" t="n"/>
      <c r="Y543" s="282" t="n"/>
      <c r="AB543" s="282" t="n"/>
      <c r="AC543" s="537" t="n"/>
      <c r="AD543" s="537" t="n"/>
      <c r="AE543" s="282" t="n"/>
      <c r="AF543" s="537" t="n"/>
      <c r="AG543" s="537" t="n"/>
      <c r="AI543" s="537" t="n"/>
      <c r="AJ543" s="537" t="n"/>
      <c r="AK543" s="282" t="n"/>
      <c r="AL543" s="286" t="n"/>
      <c r="AM543" s="286" t="n"/>
      <c r="AN543" s="282" t="n"/>
    </row>
    <row customHeight="1" ht="15.75" r="544" s="452" spans="1:41">
      <c r="A544" s="44" t="n"/>
      <c r="G544" s="282" t="n"/>
      <c r="J544" s="282" t="n"/>
      <c r="M544" s="282" t="n"/>
      <c r="P544" s="282" t="n"/>
      <c r="S544" s="282" t="n"/>
      <c r="V544" s="282" t="n"/>
      <c r="Y544" s="282" t="n"/>
      <c r="AB544" s="282" t="n"/>
      <c r="AC544" s="537" t="n"/>
      <c r="AD544" s="537" t="n"/>
      <c r="AE544" s="282" t="n"/>
      <c r="AF544" s="537" t="n"/>
      <c r="AG544" s="537" t="n"/>
      <c r="AI544" s="537" t="n"/>
      <c r="AJ544" s="537" t="n"/>
      <c r="AK544" s="282" t="n"/>
      <c r="AL544" s="286" t="n"/>
      <c r="AM544" s="286" t="n"/>
      <c r="AN544" s="282" t="n"/>
    </row>
    <row customHeight="1" ht="15.75" r="545" s="452" spans="1:41">
      <c r="A545" s="44" t="n"/>
      <c r="G545" s="282" t="n"/>
      <c r="J545" s="282" t="n"/>
      <c r="M545" s="282" t="n"/>
      <c r="P545" s="282" t="n"/>
      <c r="S545" s="282" t="n"/>
      <c r="V545" s="282" t="n"/>
      <c r="Y545" s="282" t="n"/>
      <c r="AB545" s="282" t="n"/>
      <c r="AC545" s="537" t="n"/>
      <c r="AD545" s="537" t="n"/>
      <c r="AE545" s="282" t="n"/>
      <c r="AF545" s="537" t="n"/>
      <c r="AG545" s="537" t="n"/>
      <c r="AI545" s="537" t="n"/>
      <c r="AJ545" s="537" t="n"/>
      <c r="AK545" s="282" t="n"/>
      <c r="AL545" s="286" t="n"/>
      <c r="AM545" s="286" t="n"/>
      <c r="AN545" s="282" t="n"/>
    </row>
    <row customHeight="1" ht="15.75" r="546" s="452" spans="1:41">
      <c r="A546" s="44" t="n"/>
      <c r="G546" s="282" t="n"/>
      <c r="J546" s="282" t="n"/>
      <c r="M546" s="282" t="n"/>
      <c r="P546" s="282" t="n"/>
      <c r="S546" s="282" t="n"/>
      <c r="V546" s="282" t="n"/>
      <c r="Y546" s="282" t="n"/>
      <c r="AB546" s="282" t="n"/>
      <c r="AC546" s="537" t="n"/>
      <c r="AD546" s="537" t="n"/>
      <c r="AE546" s="282" t="n"/>
      <c r="AF546" s="537" t="n"/>
      <c r="AG546" s="537" t="n"/>
      <c r="AI546" s="537" t="n"/>
      <c r="AJ546" s="537" t="n"/>
      <c r="AK546" s="282" t="n"/>
      <c r="AL546" s="286" t="n"/>
      <c r="AM546" s="286" t="n"/>
      <c r="AN546" s="282" t="n"/>
    </row>
    <row customHeight="1" ht="15.75" r="547" s="452" spans="1:41">
      <c r="A547" s="44" t="n"/>
      <c r="G547" s="282" t="n"/>
      <c r="J547" s="282" t="n"/>
      <c r="M547" s="282" t="n"/>
      <c r="P547" s="282" t="n"/>
      <c r="S547" s="282" t="n"/>
      <c r="V547" s="282" t="n"/>
      <c r="Y547" s="282" t="n"/>
      <c r="AB547" s="282" t="n"/>
      <c r="AC547" s="537" t="n"/>
      <c r="AD547" s="537" t="n"/>
      <c r="AE547" s="282" t="n"/>
      <c r="AF547" s="537" t="n"/>
      <c r="AG547" s="537" t="n"/>
      <c r="AI547" s="537" t="n"/>
      <c r="AJ547" s="537" t="n"/>
      <c r="AK547" s="282" t="n"/>
      <c r="AL547" s="286" t="n"/>
      <c r="AM547" s="286" t="n"/>
      <c r="AN547" s="282" t="n"/>
    </row>
    <row customHeight="1" ht="15.75" r="548" s="452" spans="1:41">
      <c r="A548" s="44" t="n"/>
      <c r="G548" s="282" t="n"/>
      <c r="J548" s="282" t="n"/>
      <c r="M548" s="282" t="n"/>
      <c r="P548" s="282" t="n"/>
      <c r="S548" s="282" t="n"/>
      <c r="V548" s="282" t="n"/>
      <c r="Y548" s="282" t="n"/>
      <c r="AB548" s="282" t="n"/>
      <c r="AC548" s="537" t="n"/>
      <c r="AD548" s="537" t="n"/>
      <c r="AE548" s="282" t="n"/>
      <c r="AF548" s="537" t="n"/>
      <c r="AG548" s="537" t="n"/>
      <c r="AI548" s="537" t="n"/>
      <c r="AJ548" s="537" t="n"/>
      <c r="AK548" s="282" t="n"/>
      <c r="AL548" s="286" t="n"/>
      <c r="AM548" s="286" t="n"/>
      <c r="AN548" s="282" t="n"/>
    </row>
    <row customHeight="1" ht="15.75" r="549" s="452" spans="1:41">
      <c r="A549" s="44" t="n"/>
      <c r="G549" s="282" t="n"/>
      <c r="J549" s="282" t="n"/>
      <c r="M549" s="282" t="n"/>
      <c r="P549" s="282" t="n"/>
      <c r="S549" s="282" t="n"/>
      <c r="V549" s="282" t="n"/>
      <c r="Y549" s="282" t="n"/>
      <c r="AB549" s="282" t="n"/>
      <c r="AC549" s="537" t="n"/>
      <c r="AD549" s="537" t="n"/>
      <c r="AE549" s="282" t="n"/>
      <c r="AF549" s="537" t="n"/>
      <c r="AG549" s="537" t="n"/>
      <c r="AI549" s="537" t="n"/>
      <c r="AJ549" s="537" t="n"/>
      <c r="AK549" s="282" t="n"/>
      <c r="AL549" s="286" t="n"/>
      <c r="AM549" s="286" t="n"/>
      <c r="AN549" s="282" t="n"/>
    </row>
    <row customHeight="1" ht="15.75" r="550" s="452" spans="1:41">
      <c r="A550" s="44" t="n"/>
      <c r="G550" s="282" t="n"/>
      <c r="J550" s="282" t="n"/>
      <c r="M550" s="282" t="n"/>
      <c r="P550" s="282" t="n"/>
      <c r="S550" s="282" t="n"/>
      <c r="V550" s="282" t="n"/>
      <c r="Y550" s="282" t="n"/>
      <c r="AB550" s="282" t="n"/>
      <c r="AC550" s="537" t="n"/>
      <c r="AD550" s="537" t="n"/>
      <c r="AE550" s="282" t="n"/>
      <c r="AF550" s="537" t="n"/>
      <c r="AG550" s="537" t="n"/>
      <c r="AI550" s="537" t="n"/>
      <c r="AJ550" s="537" t="n"/>
      <c r="AK550" s="282" t="n"/>
      <c r="AL550" s="286" t="n"/>
      <c r="AM550" s="286" t="n"/>
      <c r="AN550" s="282" t="n"/>
    </row>
    <row customHeight="1" ht="15.75" r="551" s="452" spans="1:41">
      <c r="A551" s="44" t="n"/>
      <c r="G551" s="282" t="n"/>
      <c r="J551" s="282" t="n"/>
      <c r="M551" s="282" t="n"/>
      <c r="P551" s="282" t="n"/>
      <c r="S551" s="282" t="n"/>
      <c r="V551" s="282" t="n"/>
      <c r="Y551" s="282" t="n"/>
      <c r="AB551" s="282" t="n"/>
      <c r="AC551" s="537" t="n"/>
      <c r="AD551" s="537" t="n"/>
      <c r="AE551" s="282" t="n"/>
      <c r="AF551" s="537" t="n"/>
      <c r="AG551" s="537" t="n"/>
      <c r="AI551" s="537" t="n"/>
      <c r="AJ551" s="537" t="n"/>
      <c r="AK551" s="282" t="n"/>
      <c r="AL551" s="286" t="n"/>
      <c r="AM551" s="286" t="n"/>
      <c r="AN551" s="282" t="n"/>
    </row>
    <row customHeight="1" ht="15.75" r="552" s="452" spans="1:41">
      <c r="A552" s="44" t="n"/>
      <c r="G552" s="282" t="n"/>
      <c r="J552" s="282" t="n"/>
      <c r="M552" s="282" t="n"/>
      <c r="P552" s="282" t="n"/>
      <c r="S552" s="282" t="n"/>
      <c r="V552" s="282" t="n"/>
      <c r="Y552" s="282" t="n"/>
      <c r="AB552" s="282" t="n"/>
      <c r="AC552" s="537" t="n"/>
      <c r="AD552" s="537" t="n"/>
      <c r="AE552" s="282" t="n"/>
      <c r="AF552" s="537" t="n"/>
      <c r="AG552" s="537" t="n"/>
      <c r="AI552" s="537" t="n"/>
      <c r="AJ552" s="537" t="n"/>
      <c r="AK552" s="282" t="n"/>
      <c r="AL552" s="286" t="n"/>
      <c r="AM552" s="286" t="n"/>
      <c r="AN552" s="282" t="n"/>
    </row>
    <row customHeight="1" ht="15.75" r="553" s="452" spans="1:41">
      <c r="A553" s="44" t="n"/>
      <c r="G553" s="282" t="n"/>
      <c r="J553" s="282" t="n"/>
      <c r="M553" s="282" t="n"/>
      <c r="P553" s="282" t="n"/>
      <c r="S553" s="282" t="n"/>
      <c r="V553" s="282" t="n"/>
      <c r="Y553" s="282" t="n"/>
      <c r="AB553" s="282" t="n"/>
      <c r="AC553" s="537" t="n"/>
      <c r="AD553" s="537" t="n"/>
      <c r="AE553" s="282" t="n"/>
      <c r="AF553" s="537" t="n"/>
      <c r="AG553" s="537" t="n"/>
      <c r="AI553" s="537" t="n"/>
      <c r="AJ553" s="537" t="n"/>
      <c r="AK553" s="282" t="n"/>
      <c r="AL553" s="286" t="n"/>
      <c r="AM553" s="286" t="n"/>
      <c r="AN553" s="282" t="n"/>
    </row>
    <row customHeight="1" ht="15.75" r="554" s="452" spans="1:41">
      <c r="A554" s="44" t="n"/>
      <c r="G554" s="282" t="n"/>
      <c r="J554" s="282" t="n"/>
      <c r="M554" s="282" t="n"/>
      <c r="P554" s="282" t="n"/>
      <c r="S554" s="282" t="n"/>
      <c r="V554" s="282" t="n"/>
      <c r="Y554" s="282" t="n"/>
      <c r="AB554" s="282" t="n"/>
      <c r="AC554" s="537" t="n"/>
      <c r="AD554" s="537" t="n"/>
      <c r="AE554" s="282" t="n"/>
      <c r="AF554" s="537" t="n"/>
      <c r="AG554" s="537" t="n"/>
      <c r="AI554" s="537" t="n"/>
      <c r="AJ554" s="537" t="n"/>
      <c r="AK554" s="282" t="n"/>
      <c r="AL554" s="286" t="n"/>
      <c r="AM554" s="286" t="n"/>
      <c r="AN554" s="282" t="n"/>
    </row>
    <row customHeight="1" ht="15.75" r="555" s="452" spans="1:41">
      <c r="A555" s="44" t="n"/>
      <c r="G555" s="282" t="n"/>
      <c r="J555" s="282" t="n"/>
      <c r="M555" s="282" t="n"/>
      <c r="P555" s="282" t="n"/>
      <c r="S555" s="282" t="n"/>
      <c r="V555" s="282" t="n"/>
      <c r="Y555" s="282" t="n"/>
      <c r="AB555" s="282" t="n"/>
      <c r="AC555" s="537" t="n"/>
      <c r="AD555" s="537" t="n"/>
      <c r="AE555" s="282" t="n"/>
      <c r="AF555" s="537" t="n"/>
      <c r="AG555" s="537" t="n"/>
      <c r="AI555" s="537" t="n"/>
      <c r="AJ555" s="537" t="n"/>
      <c r="AK555" s="282" t="n"/>
      <c r="AL555" s="286" t="n"/>
      <c r="AM555" s="286" t="n"/>
      <c r="AN555" s="282" t="n"/>
    </row>
    <row customHeight="1" ht="15.75" r="556" s="452" spans="1:41">
      <c r="A556" s="44" t="n"/>
      <c r="G556" s="282" t="n"/>
      <c r="J556" s="282" t="n"/>
      <c r="M556" s="282" t="n"/>
      <c r="P556" s="282" t="n"/>
      <c r="S556" s="282" t="n"/>
      <c r="V556" s="282" t="n"/>
      <c r="Y556" s="282" t="n"/>
      <c r="AB556" s="282" t="n"/>
      <c r="AC556" s="537" t="n"/>
      <c r="AD556" s="537" t="n"/>
      <c r="AE556" s="282" t="n"/>
      <c r="AF556" s="537" t="n"/>
      <c r="AG556" s="537" t="n"/>
      <c r="AI556" s="537" t="n"/>
      <c r="AJ556" s="537" t="n"/>
      <c r="AK556" s="282" t="n"/>
      <c r="AL556" s="286" t="n"/>
      <c r="AM556" s="286" t="n"/>
      <c r="AN556" s="282" t="n"/>
    </row>
    <row customHeight="1" ht="15.75" r="557" s="452" spans="1:41">
      <c r="A557" s="44" t="n"/>
      <c r="G557" s="282" t="n"/>
      <c r="J557" s="282" t="n"/>
      <c r="M557" s="282" t="n"/>
      <c r="P557" s="282" t="n"/>
      <c r="S557" s="282" t="n"/>
      <c r="V557" s="282" t="n"/>
      <c r="Y557" s="282" t="n"/>
      <c r="AB557" s="282" t="n"/>
      <c r="AC557" s="537" t="n"/>
      <c r="AD557" s="537" t="n"/>
      <c r="AE557" s="282" t="n"/>
      <c r="AF557" s="537" t="n"/>
      <c r="AG557" s="537" t="n"/>
      <c r="AI557" s="537" t="n"/>
      <c r="AJ557" s="537" t="n"/>
      <c r="AK557" s="282" t="n"/>
      <c r="AL557" s="286" t="n"/>
      <c r="AM557" s="286" t="n"/>
      <c r="AN557" s="282" t="n"/>
    </row>
    <row customHeight="1" ht="15.75" r="558" s="452" spans="1:41">
      <c r="A558" s="44" t="n"/>
      <c r="G558" s="282" t="n"/>
      <c r="J558" s="282" t="n"/>
      <c r="M558" s="282" t="n"/>
      <c r="P558" s="282" t="n"/>
      <c r="S558" s="282" t="n"/>
      <c r="V558" s="282" t="n"/>
      <c r="Y558" s="282" t="n"/>
      <c r="AB558" s="282" t="n"/>
      <c r="AC558" s="537" t="n"/>
      <c r="AD558" s="537" t="n"/>
      <c r="AE558" s="282" t="n"/>
      <c r="AF558" s="537" t="n"/>
      <c r="AG558" s="537" t="n"/>
      <c r="AI558" s="537" t="n"/>
      <c r="AJ558" s="537" t="n"/>
      <c r="AK558" s="282" t="n"/>
      <c r="AL558" s="286" t="n"/>
      <c r="AM558" s="286" t="n"/>
      <c r="AN558" s="282" t="n"/>
    </row>
    <row customHeight="1" ht="15.75" r="559" s="452" spans="1:41">
      <c r="A559" s="44" t="n"/>
      <c r="G559" s="282" t="n"/>
      <c r="J559" s="282" t="n"/>
      <c r="M559" s="282" t="n"/>
      <c r="P559" s="282" t="n"/>
      <c r="S559" s="282" t="n"/>
      <c r="V559" s="282" t="n"/>
      <c r="Y559" s="282" t="n"/>
      <c r="AB559" s="282" t="n"/>
      <c r="AC559" s="537" t="n"/>
      <c r="AD559" s="537" t="n"/>
      <c r="AE559" s="282" t="n"/>
      <c r="AF559" s="537" t="n"/>
      <c r="AG559" s="537" t="n"/>
      <c r="AI559" s="537" t="n"/>
      <c r="AJ559" s="537" t="n"/>
      <c r="AK559" s="282" t="n"/>
      <c r="AL559" s="286" t="n"/>
      <c r="AM559" s="286" t="n"/>
      <c r="AN559" s="282" t="n"/>
    </row>
    <row customHeight="1" ht="15.75" r="560" s="452" spans="1:41">
      <c r="A560" s="44" t="n"/>
      <c r="G560" s="282" t="n"/>
      <c r="J560" s="282" t="n"/>
      <c r="M560" s="282" t="n"/>
      <c r="P560" s="282" t="n"/>
      <c r="S560" s="282" t="n"/>
      <c r="V560" s="282" t="n"/>
      <c r="Y560" s="282" t="n"/>
      <c r="AB560" s="282" t="n"/>
      <c r="AC560" s="537" t="n"/>
      <c r="AD560" s="537" t="n"/>
      <c r="AE560" s="282" t="n"/>
      <c r="AF560" s="537" t="n"/>
      <c r="AG560" s="537" t="n"/>
      <c r="AI560" s="537" t="n"/>
      <c r="AJ560" s="537" t="n"/>
      <c r="AK560" s="282" t="n"/>
      <c r="AL560" s="286" t="n"/>
      <c r="AM560" s="286" t="n"/>
      <c r="AN560" s="282" t="n"/>
    </row>
    <row customHeight="1" ht="15.75" r="561" s="452" spans="1:41">
      <c r="A561" s="44" t="n"/>
      <c r="G561" s="282" t="n"/>
      <c r="J561" s="282" t="n"/>
      <c r="M561" s="282" t="n"/>
      <c r="P561" s="282" t="n"/>
      <c r="S561" s="282" t="n"/>
      <c r="V561" s="282" t="n"/>
      <c r="Y561" s="282" t="n"/>
      <c r="AB561" s="282" t="n"/>
      <c r="AC561" s="537" t="n"/>
      <c r="AD561" s="537" t="n"/>
      <c r="AE561" s="282" t="n"/>
      <c r="AF561" s="537" t="n"/>
      <c r="AG561" s="537" t="n"/>
      <c r="AI561" s="537" t="n"/>
      <c r="AJ561" s="537" t="n"/>
      <c r="AK561" s="282" t="n"/>
      <c r="AL561" s="286" t="n"/>
      <c r="AM561" s="286" t="n"/>
      <c r="AN561" s="282" t="n"/>
    </row>
    <row customHeight="1" ht="15.75" r="562" s="452" spans="1:41">
      <c r="A562" s="44" t="n"/>
      <c r="G562" s="282" t="n"/>
      <c r="J562" s="282" t="n"/>
      <c r="M562" s="282" t="n"/>
      <c r="P562" s="282" t="n"/>
      <c r="S562" s="282" t="n"/>
      <c r="V562" s="282" t="n"/>
      <c r="Y562" s="282" t="n"/>
      <c r="AB562" s="282" t="n"/>
      <c r="AC562" s="537" t="n"/>
      <c r="AD562" s="537" t="n"/>
      <c r="AE562" s="282" t="n"/>
      <c r="AF562" s="537" t="n"/>
      <c r="AG562" s="537" t="n"/>
      <c r="AI562" s="537" t="n"/>
      <c r="AJ562" s="537" t="n"/>
      <c r="AK562" s="282" t="n"/>
      <c r="AL562" s="286" t="n"/>
      <c r="AM562" s="286" t="n"/>
      <c r="AN562" s="282" t="n"/>
    </row>
    <row customHeight="1" ht="15.75" r="563" s="452" spans="1:41">
      <c r="A563" s="44" t="n"/>
      <c r="G563" s="282" t="n"/>
      <c r="J563" s="282" t="n"/>
      <c r="M563" s="282" t="n"/>
      <c r="P563" s="282" t="n"/>
      <c r="S563" s="282" t="n"/>
      <c r="V563" s="282" t="n"/>
      <c r="Y563" s="282" t="n"/>
      <c r="AB563" s="282" t="n"/>
      <c r="AC563" s="537" t="n"/>
      <c r="AD563" s="537" t="n"/>
      <c r="AE563" s="282" t="n"/>
      <c r="AF563" s="537" t="n"/>
      <c r="AG563" s="537" t="n"/>
      <c r="AI563" s="537" t="n"/>
      <c r="AJ563" s="537" t="n"/>
      <c r="AK563" s="282" t="n"/>
      <c r="AL563" s="286" t="n"/>
      <c r="AM563" s="286" t="n"/>
      <c r="AN563" s="282" t="n"/>
    </row>
    <row customHeight="1" ht="15.75" r="564" s="452" spans="1:41">
      <c r="A564" s="44" t="n"/>
      <c r="G564" s="282" t="n"/>
      <c r="J564" s="282" t="n"/>
      <c r="M564" s="282" t="n"/>
      <c r="P564" s="282" t="n"/>
      <c r="S564" s="282" t="n"/>
      <c r="V564" s="282" t="n"/>
      <c r="Y564" s="282" t="n"/>
      <c r="AB564" s="282" t="n"/>
      <c r="AC564" s="537" t="n"/>
      <c r="AD564" s="537" t="n"/>
      <c r="AE564" s="282" t="n"/>
      <c r="AF564" s="537" t="n"/>
      <c r="AG564" s="537" t="n"/>
      <c r="AI564" s="537" t="n"/>
      <c r="AJ564" s="537" t="n"/>
      <c r="AK564" s="282" t="n"/>
      <c r="AL564" s="286" t="n"/>
      <c r="AM564" s="286" t="n"/>
      <c r="AN564" s="282" t="n"/>
    </row>
    <row customHeight="1" ht="15.75" r="565" s="452" spans="1:41">
      <c r="A565" s="44" t="n"/>
      <c r="G565" s="282" t="n"/>
      <c r="J565" s="282" t="n"/>
      <c r="M565" s="282" t="n"/>
      <c r="P565" s="282" t="n"/>
      <c r="S565" s="282" t="n"/>
      <c r="V565" s="282" t="n"/>
      <c r="Y565" s="282" t="n"/>
      <c r="AB565" s="282" t="n"/>
      <c r="AC565" s="537" t="n"/>
      <c r="AD565" s="537" t="n"/>
      <c r="AE565" s="282" t="n"/>
      <c r="AF565" s="537" t="n"/>
      <c r="AG565" s="537" t="n"/>
      <c r="AI565" s="537" t="n"/>
      <c r="AJ565" s="537" t="n"/>
      <c r="AK565" s="282" t="n"/>
      <c r="AL565" s="286" t="n"/>
      <c r="AM565" s="286" t="n"/>
      <c r="AN565" s="282" t="n"/>
    </row>
    <row customHeight="1" ht="15.75" r="566" s="452" spans="1:41">
      <c r="A566" s="44" t="n"/>
      <c r="G566" s="282" t="n"/>
      <c r="J566" s="282" t="n"/>
      <c r="M566" s="282" t="n"/>
      <c r="P566" s="282" t="n"/>
      <c r="S566" s="282" t="n"/>
      <c r="V566" s="282" t="n"/>
      <c r="Y566" s="282" t="n"/>
      <c r="AB566" s="282" t="n"/>
      <c r="AC566" s="537" t="n"/>
      <c r="AD566" s="537" t="n"/>
      <c r="AE566" s="282" t="n"/>
      <c r="AF566" s="537" t="n"/>
      <c r="AG566" s="537" t="n"/>
      <c r="AI566" s="537" t="n"/>
      <c r="AJ566" s="537" t="n"/>
      <c r="AK566" s="282" t="n"/>
      <c r="AL566" s="286" t="n"/>
      <c r="AM566" s="286" t="n"/>
      <c r="AN566" s="282" t="n"/>
    </row>
    <row customHeight="1" ht="15.75" r="567" s="452" spans="1:41">
      <c r="A567" s="44" t="n"/>
      <c r="G567" s="282" t="n"/>
      <c r="J567" s="282" t="n"/>
      <c r="M567" s="282" t="n"/>
      <c r="P567" s="282" t="n"/>
      <c r="S567" s="282" t="n"/>
      <c r="V567" s="282" t="n"/>
      <c r="Y567" s="282" t="n"/>
      <c r="AB567" s="282" t="n"/>
      <c r="AC567" s="537" t="n"/>
      <c r="AD567" s="537" t="n"/>
      <c r="AE567" s="282" t="n"/>
      <c r="AF567" s="537" t="n"/>
      <c r="AG567" s="537" t="n"/>
      <c r="AI567" s="537" t="n"/>
      <c r="AJ567" s="537" t="n"/>
      <c r="AK567" s="282" t="n"/>
      <c r="AL567" s="286" t="n"/>
      <c r="AM567" s="286" t="n"/>
      <c r="AN567" s="282" t="n"/>
    </row>
    <row customHeight="1" ht="15.75" r="568" s="452" spans="1:41">
      <c r="A568" s="44" t="n"/>
      <c r="G568" s="282" t="n"/>
      <c r="J568" s="282" t="n"/>
      <c r="M568" s="282" t="n"/>
      <c r="P568" s="282" t="n"/>
      <c r="S568" s="282" t="n"/>
      <c r="V568" s="282" t="n"/>
      <c r="Y568" s="282" t="n"/>
      <c r="AB568" s="282" t="n"/>
      <c r="AC568" s="537" t="n"/>
      <c r="AD568" s="537" t="n"/>
      <c r="AE568" s="282" t="n"/>
      <c r="AF568" s="537" t="n"/>
      <c r="AG568" s="537" t="n"/>
      <c r="AI568" s="537" t="n"/>
      <c r="AJ568" s="537" t="n"/>
      <c r="AK568" s="282" t="n"/>
      <c r="AL568" s="286" t="n"/>
      <c r="AM568" s="286" t="n"/>
      <c r="AN568" s="282" t="n"/>
    </row>
    <row customHeight="1" ht="15.75" r="569" s="452" spans="1:41">
      <c r="A569" s="44" t="n"/>
      <c r="G569" s="282" t="n"/>
      <c r="J569" s="282" t="n"/>
      <c r="M569" s="282" t="n"/>
      <c r="P569" s="282" t="n"/>
      <c r="S569" s="282" t="n"/>
      <c r="V569" s="282" t="n"/>
      <c r="Y569" s="282" t="n"/>
      <c r="AB569" s="282" t="n"/>
      <c r="AC569" s="537" t="n"/>
      <c r="AD569" s="537" t="n"/>
      <c r="AE569" s="282" t="n"/>
      <c r="AF569" s="537" t="n"/>
      <c r="AG569" s="537" t="n"/>
      <c r="AI569" s="537" t="n"/>
      <c r="AJ569" s="537" t="n"/>
      <c r="AK569" s="282" t="n"/>
      <c r="AL569" s="286" t="n"/>
      <c r="AM569" s="286" t="n"/>
      <c r="AN569" s="282" t="n"/>
    </row>
    <row customHeight="1" ht="15.75" r="570" s="452" spans="1:41">
      <c r="A570" s="44" t="n"/>
      <c r="G570" s="282" t="n"/>
      <c r="J570" s="282" t="n"/>
      <c r="M570" s="282" t="n"/>
      <c r="P570" s="282" t="n"/>
      <c r="S570" s="282" t="n"/>
      <c r="V570" s="282" t="n"/>
      <c r="Y570" s="282" t="n"/>
      <c r="AB570" s="282" t="n"/>
      <c r="AC570" s="537" t="n"/>
      <c r="AD570" s="537" t="n"/>
      <c r="AE570" s="282" t="n"/>
      <c r="AF570" s="537" t="n"/>
      <c r="AG570" s="537" t="n"/>
      <c r="AI570" s="537" t="n"/>
      <c r="AJ570" s="537" t="n"/>
      <c r="AK570" s="282" t="n"/>
      <c r="AL570" s="286" t="n"/>
      <c r="AM570" s="286" t="n"/>
      <c r="AN570" s="282" t="n"/>
    </row>
    <row customHeight="1" ht="15.75" r="571" s="452" spans="1:41">
      <c r="A571" s="44" t="n"/>
      <c r="G571" s="282" t="n"/>
      <c r="J571" s="282" t="n"/>
      <c r="M571" s="282" t="n"/>
      <c r="P571" s="282" t="n"/>
      <c r="S571" s="282" t="n"/>
      <c r="V571" s="282" t="n"/>
      <c r="Y571" s="282" t="n"/>
      <c r="AB571" s="282" t="n"/>
      <c r="AC571" s="537" t="n"/>
      <c r="AD571" s="537" t="n"/>
      <c r="AE571" s="282" t="n"/>
      <c r="AF571" s="537" t="n"/>
      <c r="AG571" s="537" t="n"/>
      <c r="AI571" s="537" t="n"/>
      <c r="AJ571" s="537" t="n"/>
      <c r="AK571" s="282" t="n"/>
      <c r="AL571" s="286" t="n"/>
      <c r="AM571" s="286" t="n"/>
      <c r="AN571" s="282" t="n"/>
    </row>
    <row customHeight="1" ht="15.75" r="572" s="452" spans="1:41">
      <c r="A572" s="44" t="n"/>
      <c r="G572" s="282" t="n"/>
      <c r="J572" s="282" t="n"/>
      <c r="M572" s="282" t="n"/>
      <c r="P572" s="282" t="n"/>
      <c r="S572" s="282" t="n"/>
      <c r="V572" s="282" t="n"/>
      <c r="Y572" s="282" t="n"/>
      <c r="AB572" s="282" t="n"/>
      <c r="AC572" s="537" t="n"/>
      <c r="AD572" s="537" t="n"/>
      <c r="AE572" s="282" t="n"/>
      <c r="AF572" s="537" t="n"/>
      <c r="AG572" s="537" t="n"/>
      <c r="AI572" s="537" t="n"/>
      <c r="AJ572" s="537" t="n"/>
      <c r="AK572" s="282" t="n"/>
      <c r="AL572" s="286" t="n"/>
      <c r="AM572" s="286" t="n"/>
      <c r="AN572" s="282" t="n"/>
    </row>
    <row customHeight="1" ht="15.75" r="573" s="452" spans="1:41">
      <c r="A573" s="44" t="n"/>
      <c r="G573" s="282" t="n"/>
      <c r="J573" s="282" t="n"/>
      <c r="M573" s="282" t="n"/>
      <c r="P573" s="282" t="n"/>
      <c r="S573" s="282" t="n"/>
      <c r="V573" s="282" t="n"/>
      <c r="Y573" s="282" t="n"/>
      <c r="AB573" s="282" t="n"/>
      <c r="AC573" s="537" t="n"/>
      <c r="AD573" s="537" t="n"/>
      <c r="AE573" s="282" t="n"/>
      <c r="AF573" s="537" t="n"/>
      <c r="AG573" s="537" t="n"/>
      <c r="AI573" s="537" t="n"/>
      <c r="AJ573" s="537" t="n"/>
      <c r="AK573" s="282" t="n"/>
      <c r="AL573" s="286" t="n"/>
      <c r="AM573" s="286" t="n"/>
      <c r="AN573" s="282" t="n"/>
    </row>
    <row customHeight="1" ht="15.75" r="574" s="452" spans="1:41">
      <c r="A574" s="44" t="n"/>
      <c r="G574" s="282" t="n"/>
      <c r="J574" s="282" t="n"/>
      <c r="M574" s="282" t="n"/>
      <c r="P574" s="282" t="n"/>
      <c r="S574" s="282" t="n"/>
      <c r="V574" s="282" t="n"/>
      <c r="Y574" s="282" t="n"/>
      <c r="AB574" s="282" t="n"/>
      <c r="AC574" s="537" t="n"/>
      <c r="AD574" s="537" t="n"/>
      <c r="AE574" s="282" t="n"/>
      <c r="AF574" s="537" t="n"/>
      <c r="AG574" s="537" t="n"/>
      <c r="AI574" s="537" t="n"/>
      <c r="AJ574" s="537" t="n"/>
      <c r="AK574" s="282" t="n"/>
      <c r="AL574" s="286" t="n"/>
      <c r="AM574" s="286" t="n"/>
      <c r="AN574" s="282" t="n"/>
    </row>
    <row customHeight="1" ht="15.75" r="575" s="452" spans="1:41">
      <c r="A575" s="44" t="n"/>
      <c r="G575" s="282" t="n"/>
      <c r="J575" s="282" t="n"/>
      <c r="M575" s="282" t="n"/>
      <c r="P575" s="282" t="n"/>
      <c r="S575" s="282" t="n"/>
      <c r="V575" s="282" t="n"/>
      <c r="Y575" s="282" t="n"/>
      <c r="AB575" s="282" t="n"/>
      <c r="AC575" s="537" t="n"/>
      <c r="AD575" s="537" t="n"/>
      <c r="AE575" s="282" t="n"/>
      <c r="AF575" s="537" t="n"/>
      <c r="AG575" s="537" t="n"/>
      <c r="AI575" s="537" t="n"/>
      <c r="AJ575" s="537" t="n"/>
      <c r="AK575" s="282" t="n"/>
      <c r="AL575" s="286" t="n"/>
      <c r="AM575" s="286" t="n"/>
      <c r="AN575" s="282" t="n"/>
    </row>
    <row customHeight="1" ht="15.75" r="576" s="452" spans="1:41">
      <c r="A576" s="44" t="n"/>
      <c r="G576" s="282" t="n"/>
      <c r="J576" s="282" t="n"/>
      <c r="M576" s="282" t="n"/>
      <c r="P576" s="282" t="n"/>
      <c r="S576" s="282" t="n"/>
      <c r="V576" s="282" t="n"/>
      <c r="Y576" s="282" t="n"/>
      <c r="AB576" s="282" t="n"/>
      <c r="AC576" s="537" t="n"/>
      <c r="AD576" s="537" t="n"/>
      <c r="AE576" s="282" t="n"/>
      <c r="AF576" s="537" t="n"/>
      <c r="AG576" s="537" t="n"/>
      <c r="AI576" s="537" t="n"/>
      <c r="AJ576" s="537" t="n"/>
      <c r="AK576" s="282" t="n"/>
      <c r="AL576" s="286" t="n"/>
      <c r="AM576" s="286" t="n"/>
      <c r="AN576" s="282" t="n"/>
    </row>
    <row customHeight="1" ht="15.75" r="577" s="452" spans="1:41">
      <c r="A577" s="44" t="n"/>
      <c r="G577" s="282" t="n"/>
      <c r="J577" s="282" t="n"/>
      <c r="M577" s="282" t="n"/>
      <c r="P577" s="282" t="n"/>
      <c r="S577" s="282" t="n"/>
      <c r="V577" s="282" t="n"/>
      <c r="Y577" s="282" t="n"/>
      <c r="AB577" s="282" t="n"/>
      <c r="AC577" s="537" t="n"/>
      <c r="AD577" s="537" t="n"/>
      <c r="AE577" s="282" t="n"/>
      <c r="AF577" s="537" t="n"/>
      <c r="AG577" s="537" t="n"/>
      <c r="AI577" s="537" t="n"/>
      <c r="AJ577" s="537" t="n"/>
      <c r="AK577" s="282" t="n"/>
      <c r="AL577" s="286" t="n"/>
      <c r="AM577" s="286" t="n"/>
      <c r="AN577" s="282" t="n"/>
    </row>
    <row customHeight="1" ht="15.75" r="578" s="452" spans="1:41">
      <c r="A578" s="44" t="n"/>
      <c r="G578" s="282" t="n"/>
      <c r="J578" s="282" t="n"/>
      <c r="M578" s="282" t="n"/>
      <c r="P578" s="282" t="n"/>
      <c r="S578" s="282" t="n"/>
      <c r="V578" s="282" t="n"/>
      <c r="Y578" s="282" t="n"/>
      <c r="AB578" s="282" t="n"/>
      <c r="AC578" s="537" t="n"/>
      <c r="AD578" s="537" t="n"/>
      <c r="AE578" s="282" t="n"/>
      <c r="AF578" s="537" t="n"/>
      <c r="AG578" s="537" t="n"/>
      <c r="AI578" s="537" t="n"/>
      <c r="AJ578" s="537" t="n"/>
      <c r="AK578" s="282" t="n"/>
      <c r="AL578" s="286" t="n"/>
      <c r="AM578" s="286" t="n"/>
      <c r="AN578" s="282" t="n"/>
    </row>
    <row customHeight="1" ht="15.75" r="579" s="452" spans="1:41">
      <c r="A579" s="44" t="n"/>
      <c r="G579" s="282" t="n"/>
      <c r="J579" s="282" t="n"/>
      <c r="M579" s="282" t="n"/>
      <c r="P579" s="282" t="n"/>
      <c r="S579" s="282" t="n"/>
      <c r="V579" s="282" t="n"/>
      <c r="Y579" s="282" t="n"/>
      <c r="AB579" s="282" t="n"/>
      <c r="AC579" s="537" t="n"/>
      <c r="AD579" s="537" t="n"/>
      <c r="AE579" s="282" t="n"/>
      <c r="AF579" s="537" t="n"/>
      <c r="AG579" s="537" t="n"/>
      <c r="AI579" s="537" t="n"/>
      <c r="AJ579" s="537" t="n"/>
      <c r="AK579" s="282" t="n"/>
      <c r="AL579" s="286" t="n"/>
      <c r="AM579" s="286" t="n"/>
      <c r="AN579" s="282" t="n"/>
    </row>
    <row customHeight="1" ht="15.75" r="580" s="452" spans="1:41">
      <c r="A580" s="44" t="n"/>
      <c r="G580" s="282" t="n"/>
      <c r="J580" s="282" t="n"/>
      <c r="M580" s="282" t="n"/>
      <c r="P580" s="282" t="n"/>
      <c r="S580" s="282" t="n"/>
      <c r="V580" s="282" t="n"/>
      <c r="Y580" s="282" t="n"/>
      <c r="AB580" s="282" t="n"/>
      <c r="AC580" s="537" t="n"/>
      <c r="AD580" s="537" t="n"/>
      <c r="AE580" s="282" t="n"/>
      <c r="AF580" s="537" t="n"/>
      <c r="AG580" s="537" t="n"/>
      <c r="AI580" s="537" t="n"/>
      <c r="AJ580" s="537" t="n"/>
      <c r="AK580" s="282" t="n"/>
      <c r="AL580" s="286" t="n"/>
      <c r="AM580" s="286" t="n"/>
      <c r="AN580" s="282" t="n"/>
    </row>
    <row customHeight="1" ht="15.75" r="581" s="452" spans="1:41">
      <c r="A581" s="44" t="n"/>
      <c r="G581" s="282" t="n"/>
      <c r="J581" s="282" t="n"/>
      <c r="M581" s="282" t="n"/>
      <c r="P581" s="282" t="n"/>
      <c r="S581" s="282" t="n"/>
      <c r="V581" s="282" t="n"/>
      <c r="Y581" s="282" t="n"/>
      <c r="AB581" s="282" t="n"/>
      <c r="AC581" s="537" t="n"/>
      <c r="AD581" s="537" t="n"/>
      <c r="AE581" s="282" t="n"/>
      <c r="AF581" s="537" t="n"/>
      <c r="AG581" s="537" t="n"/>
      <c r="AI581" s="537" t="n"/>
      <c r="AJ581" s="537" t="n"/>
      <c r="AK581" s="282" t="n"/>
      <c r="AL581" s="286" t="n"/>
      <c r="AM581" s="286" t="n"/>
      <c r="AN581" s="282" t="n"/>
    </row>
    <row customHeight="1" ht="15.75" r="582" s="452" spans="1:41">
      <c r="A582" s="44" t="n"/>
      <c r="G582" s="282" t="n"/>
      <c r="J582" s="282" t="n"/>
      <c r="M582" s="282" t="n"/>
      <c r="P582" s="282" t="n"/>
      <c r="S582" s="282" t="n"/>
      <c r="V582" s="282" t="n"/>
      <c r="Y582" s="282" t="n"/>
      <c r="AB582" s="282" t="n"/>
      <c r="AC582" s="537" t="n"/>
      <c r="AD582" s="537" t="n"/>
      <c r="AE582" s="282" t="n"/>
      <c r="AF582" s="537" t="n"/>
      <c r="AG582" s="537" t="n"/>
      <c r="AI582" s="537" t="n"/>
      <c r="AJ582" s="537" t="n"/>
      <c r="AK582" s="282" t="n"/>
      <c r="AL582" s="286" t="n"/>
      <c r="AM582" s="286" t="n"/>
      <c r="AN582" s="282" t="n"/>
    </row>
    <row customHeight="1" ht="15.75" r="583" s="452" spans="1:41">
      <c r="A583" s="44" t="n"/>
      <c r="G583" s="282" t="n"/>
      <c r="J583" s="282" t="n"/>
      <c r="M583" s="282" t="n"/>
      <c r="P583" s="282" t="n"/>
      <c r="S583" s="282" t="n"/>
      <c r="V583" s="282" t="n"/>
      <c r="Y583" s="282" t="n"/>
      <c r="AB583" s="282" t="n"/>
      <c r="AC583" s="537" t="n"/>
      <c r="AD583" s="537" t="n"/>
      <c r="AE583" s="282" t="n"/>
      <c r="AF583" s="537" t="n"/>
      <c r="AG583" s="537" t="n"/>
      <c r="AI583" s="537" t="n"/>
      <c r="AJ583" s="537" t="n"/>
      <c r="AK583" s="282" t="n"/>
      <c r="AL583" s="286" t="n"/>
      <c r="AM583" s="286" t="n"/>
      <c r="AN583" s="282" t="n"/>
    </row>
    <row customHeight="1" ht="15.75" r="584" s="452" spans="1:41">
      <c r="A584" s="44" t="n"/>
      <c r="G584" s="282" t="n"/>
      <c r="J584" s="282" t="n"/>
      <c r="M584" s="282" t="n"/>
      <c r="P584" s="282" t="n"/>
      <c r="S584" s="282" t="n"/>
      <c r="V584" s="282" t="n"/>
      <c r="Y584" s="282" t="n"/>
      <c r="AB584" s="282" t="n"/>
      <c r="AC584" s="537" t="n"/>
      <c r="AD584" s="537" t="n"/>
      <c r="AE584" s="282" t="n"/>
      <c r="AF584" s="537" t="n"/>
      <c r="AG584" s="537" t="n"/>
      <c r="AI584" s="537" t="n"/>
      <c r="AJ584" s="537" t="n"/>
      <c r="AK584" s="282" t="n"/>
      <c r="AL584" s="286" t="n"/>
      <c r="AM584" s="286" t="n"/>
      <c r="AN584" s="282" t="n"/>
    </row>
    <row customHeight="1" ht="15.75" r="585" s="452" spans="1:41">
      <c r="A585" s="44" t="n"/>
      <c r="G585" s="282" t="n"/>
      <c r="J585" s="282" t="n"/>
      <c r="M585" s="282" t="n"/>
      <c r="P585" s="282" t="n"/>
      <c r="S585" s="282" t="n"/>
      <c r="V585" s="282" t="n"/>
      <c r="Y585" s="282" t="n"/>
      <c r="AB585" s="282" t="n"/>
      <c r="AC585" s="537" t="n"/>
      <c r="AD585" s="537" t="n"/>
      <c r="AE585" s="282" t="n"/>
      <c r="AF585" s="537" t="n"/>
      <c r="AG585" s="537" t="n"/>
      <c r="AI585" s="537" t="n"/>
      <c r="AJ585" s="537" t="n"/>
      <c r="AK585" s="282" t="n"/>
      <c r="AL585" s="286" t="n"/>
      <c r="AM585" s="286" t="n"/>
      <c r="AN585" s="282" t="n"/>
    </row>
    <row customHeight="1" ht="15.75" r="586" s="452" spans="1:41">
      <c r="A586" s="44" t="n"/>
      <c r="G586" s="282" t="n"/>
      <c r="J586" s="282" t="n"/>
      <c r="M586" s="282" t="n"/>
      <c r="P586" s="282" t="n"/>
      <c r="S586" s="282" t="n"/>
      <c r="V586" s="282" t="n"/>
      <c r="Y586" s="282" t="n"/>
      <c r="AB586" s="282" t="n"/>
      <c r="AC586" s="537" t="n"/>
      <c r="AD586" s="537" t="n"/>
      <c r="AE586" s="282" t="n"/>
      <c r="AF586" s="537" t="n"/>
      <c r="AG586" s="537" t="n"/>
      <c r="AI586" s="537" t="n"/>
      <c r="AJ586" s="537" t="n"/>
      <c r="AK586" s="282" t="n"/>
      <c r="AL586" s="286" t="n"/>
      <c r="AM586" s="286" t="n"/>
      <c r="AN586" s="282" t="n"/>
    </row>
    <row customHeight="1" ht="15.75" r="587" s="452" spans="1:41">
      <c r="A587" s="44" t="n"/>
      <c r="G587" s="282" t="n"/>
      <c r="J587" s="282" t="n"/>
      <c r="M587" s="282" t="n"/>
      <c r="P587" s="282" t="n"/>
      <c r="S587" s="282" t="n"/>
      <c r="V587" s="282" t="n"/>
      <c r="Y587" s="282" t="n"/>
      <c r="AB587" s="282" t="n"/>
      <c r="AC587" s="537" t="n"/>
      <c r="AD587" s="537" t="n"/>
      <c r="AE587" s="282" t="n"/>
      <c r="AF587" s="537" t="n"/>
      <c r="AG587" s="537" t="n"/>
      <c r="AI587" s="537" t="n"/>
      <c r="AJ587" s="537" t="n"/>
      <c r="AK587" s="282" t="n"/>
      <c r="AL587" s="286" t="n"/>
      <c r="AM587" s="286" t="n"/>
      <c r="AN587" s="282" t="n"/>
    </row>
    <row customHeight="1" ht="15.75" r="588" s="452" spans="1:41">
      <c r="A588" s="44" t="n"/>
      <c r="G588" s="282" t="n"/>
      <c r="J588" s="282" t="n"/>
      <c r="M588" s="282" t="n"/>
      <c r="P588" s="282" t="n"/>
      <c r="S588" s="282" t="n"/>
      <c r="V588" s="282" t="n"/>
      <c r="Y588" s="282" t="n"/>
      <c r="AB588" s="282" t="n"/>
      <c r="AC588" s="537" t="n"/>
      <c r="AD588" s="537" t="n"/>
      <c r="AE588" s="282" t="n"/>
      <c r="AF588" s="537" t="n"/>
      <c r="AG588" s="537" t="n"/>
      <c r="AI588" s="537" t="n"/>
      <c r="AJ588" s="537" t="n"/>
      <c r="AK588" s="282" t="n"/>
      <c r="AL588" s="286" t="n"/>
      <c r="AM588" s="286" t="n"/>
      <c r="AN588" s="282" t="n"/>
    </row>
    <row customHeight="1" ht="15.75" r="589" s="452" spans="1:41">
      <c r="A589" s="44" t="n"/>
      <c r="G589" s="282" t="n"/>
      <c r="J589" s="282" t="n"/>
      <c r="M589" s="282" t="n"/>
      <c r="P589" s="282" t="n"/>
      <c r="S589" s="282" t="n"/>
      <c r="V589" s="282" t="n"/>
      <c r="Y589" s="282" t="n"/>
      <c r="AB589" s="282" t="n"/>
      <c r="AC589" s="537" t="n"/>
      <c r="AD589" s="537" t="n"/>
      <c r="AE589" s="282" t="n"/>
      <c r="AF589" s="537" t="n"/>
      <c r="AG589" s="537" t="n"/>
      <c r="AI589" s="537" t="n"/>
      <c r="AJ589" s="537" t="n"/>
      <c r="AK589" s="282" t="n"/>
      <c r="AL589" s="286" t="n"/>
      <c r="AM589" s="286" t="n"/>
      <c r="AN589" s="282" t="n"/>
    </row>
    <row customHeight="1" ht="15.75" r="590" s="452" spans="1:41">
      <c r="A590" s="44" t="n"/>
      <c r="G590" s="282" t="n"/>
      <c r="J590" s="282" t="n"/>
      <c r="M590" s="282" t="n"/>
      <c r="P590" s="282" t="n"/>
      <c r="S590" s="282" t="n"/>
      <c r="V590" s="282" t="n"/>
      <c r="Y590" s="282" t="n"/>
      <c r="AB590" s="282" t="n"/>
      <c r="AC590" s="537" t="n"/>
      <c r="AD590" s="537" t="n"/>
      <c r="AE590" s="282" t="n"/>
      <c r="AF590" s="537" t="n"/>
      <c r="AG590" s="537" t="n"/>
      <c r="AI590" s="537" t="n"/>
      <c r="AJ590" s="537" t="n"/>
      <c r="AK590" s="282" t="n"/>
      <c r="AL590" s="286" t="n"/>
      <c r="AM590" s="286" t="n"/>
      <c r="AN590" s="282" t="n"/>
    </row>
    <row customHeight="1" ht="15.75" r="591" s="452" spans="1:41">
      <c r="A591" s="44" t="n"/>
      <c r="G591" s="282" t="n"/>
      <c r="J591" s="282" t="n"/>
      <c r="M591" s="282" t="n"/>
      <c r="P591" s="282" t="n"/>
      <c r="S591" s="282" t="n"/>
      <c r="V591" s="282" t="n"/>
      <c r="Y591" s="282" t="n"/>
      <c r="AB591" s="282" t="n"/>
      <c r="AC591" s="537" t="n"/>
      <c r="AD591" s="537" t="n"/>
      <c r="AE591" s="282" t="n"/>
      <c r="AF591" s="537" t="n"/>
      <c r="AG591" s="537" t="n"/>
      <c r="AI591" s="537" t="n"/>
      <c r="AJ591" s="537" t="n"/>
      <c r="AK591" s="282" t="n"/>
      <c r="AL591" s="286" t="n"/>
      <c r="AM591" s="286" t="n"/>
      <c r="AN591" s="282" t="n"/>
    </row>
    <row customHeight="1" ht="15.75" r="592" s="452" spans="1:41">
      <c r="A592" s="44" t="n"/>
      <c r="G592" s="282" t="n"/>
      <c r="J592" s="282" t="n"/>
      <c r="M592" s="282" t="n"/>
      <c r="P592" s="282" t="n"/>
      <c r="S592" s="282" t="n"/>
      <c r="V592" s="282" t="n"/>
      <c r="Y592" s="282" t="n"/>
      <c r="AB592" s="282" t="n"/>
      <c r="AC592" s="537" t="n"/>
      <c r="AD592" s="537" t="n"/>
      <c r="AE592" s="282" t="n"/>
      <c r="AF592" s="537" t="n"/>
      <c r="AG592" s="537" t="n"/>
      <c r="AI592" s="537" t="n"/>
      <c r="AJ592" s="537" t="n"/>
      <c r="AK592" s="282" t="n"/>
      <c r="AL592" s="286" t="n"/>
      <c r="AM592" s="286" t="n"/>
      <c r="AN592" s="282" t="n"/>
    </row>
    <row customHeight="1" ht="15.75" r="593" s="452" spans="1:41">
      <c r="A593" s="44" t="n"/>
      <c r="G593" s="282" t="n"/>
      <c r="J593" s="282" t="n"/>
      <c r="M593" s="282" t="n"/>
      <c r="P593" s="282" t="n"/>
      <c r="S593" s="282" t="n"/>
      <c r="V593" s="282" t="n"/>
      <c r="Y593" s="282" t="n"/>
      <c r="AB593" s="282" t="n"/>
      <c r="AC593" s="537" t="n"/>
      <c r="AD593" s="537" t="n"/>
      <c r="AE593" s="282" t="n"/>
      <c r="AF593" s="537" t="n"/>
      <c r="AG593" s="537" t="n"/>
      <c r="AI593" s="537" t="n"/>
      <c r="AJ593" s="537" t="n"/>
      <c r="AK593" s="282" t="n"/>
      <c r="AL593" s="286" t="n"/>
      <c r="AM593" s="286" t="n"/>
      <c r="AN593" s="282" t="n"/>
    </row>
    <row customHeight="1" ht="15.75" r="594" s="452" spans="1:41">
      <c r="A594" s="44" t="n"/>
      <c r="G594" s="282" t="n"/>
      <c r="J594" s="282" t="n"/>
      <c r="M594" s="282" t="n"/>
      <c r="P594" s="282" t="n"/>
      <c r="S594" s="282" t="n"/>
      <c r="V594" s="282" t="n"/>
      <c r="Y594" s="282" t="n"/>
      <c r="AB594" s="282" t="n"/>
      <c r="AC594" s="537" t="n"/>
      <c r="AD594" s="537" t="n"/>
      <c r="AE594" s="282" t="n"/>
      <c r="AF594" s="537" t="n"/>
      <c r="AG594" s="537" t="n"/>
      <c r="AI594" s="537" t="n"/>
      <c r="AJ594" s="537" t="n"/>
      <c r="AK594" s="282" t="n"/>
      <c r="AL594" s="286" t="n"/>
      <c r="AM594" s="286" t="n"/>
      <c r="AN594" s="282" t="n"/>
    </row>
    <row customHeight="1" ht="15.75" r="595" s="452" spans="1:41">
      <c r="A595" s="44" t="n"/>
      <c r="G595" s="282" t="n"/>
      <c r="J595" s="282" t="n"/>
      <c r="M595" s="282" t="n"/>
      <c r="P595" s="282" t="n"/>
      <c r="S595" s="282" t="n"/>
      <c r="V595" s="282" t="n"/>
      <c r="Y595" s="282" t="n"/>
      <c r="AB595" s="282" t="n"/>
      <c r="AC595" s="537" t="n"/>
      <c r="AD595" s="537" t="n"/>
      <c r="AE595" s="282" t="n"/>
      <c r="AF595" s="537" t="n"/>
      <c r="AG595" s="537" t="n"/>
      <c r="AI595" s="537" t="n"/>
      <c r="AJ595" s="537" t="n"/>
      <c r="AK595" s="282" t="n"/>
      <c r="AL595" s="286" t="n"/>
      <c r="AM595" s="286" t="n"/>
      <c r="AN595" s="282" t="n"/>
    </row>
    <row customHeight="1" ht="15.75" r="596" s="452" spans="1:41">
      <c r="A596" s="44" t="n"/>
      <c r="G596" s="282" t="n"/>
      <c r="J596" s="282" t="n"/>
      <c r="M596" s="282" t="n"/>
      <c r="P596" s="282" t="n"/>
      <c r="S596" s="282" t="n"/>
      <c r="V596" s="282" t="n"/>
      <c r="Y596" s="282" t="n"/>
      <c r="AB596" s="282" t="n"/>
      <c r="AC596" s="537" t="n"/>
      <c r="AD596" s="537" t="n"/>
      <c r="AE596" s="282" t="n"/>
      <c r="AF596" s="537" t="n"/>
      <c r="AG596" s="537" t="n"/>
      <c r="AI596" s="537" t="n"/>
      <c r="AJ596" s="537" t="n"/>
      <c r="AK596" s="282" t="n"/>
      <c r="AL596" s="286" t="n"/>
      <c r="AM596" s="286" t="n"/>
      <c r="AN596" s="282" t="n"/>
    </row>
    <row customHeight="1" ht="15.75" r="597" s="452" spans="1:41">
      <c r="A597" s="44" t="n"/>
      <c r="G597" s="282" t="n"/>
      <c r="J597" s="282" t="n"/>
      <c r="M597" s="282" t="n"/>
      <c r="P597" s="282" t="n"/>
      <c r="S597" s="282" t="n"/>
      <c r="V597" s="282" t="n"/>
      <c r="Y597" s="282" t="n"/>
      <c r="AB597" s="282" t="n"/>
      <c r="AC597" s="537" t="n"/>
      <c r="AD597" s="537" t="n"/>
      <c r="AE597" s="282" t="n"/>
      <c r="AF597" s="537" t="n"/>
      <c r="AG597" s="537" t="n"/>
      <c r="AI597" s="537" t="n"/>
      <c r="AJ597" s="537" t="n"/>
      <c r="AK597" s="282" t="n"/>
      <c r="AL597" s="286" t="n"/>
      <c r="AM597" s="286" t="n"/>
      <c r="AN597" s="282" t="n"/>
    </row>
    <row customHeight="1" ht="15.75" r="598" s="452" spans="1:41">
      <c r="A598" s="44" t="n"/>
      <c r="G598" s="282" t="n"/>
      <c r="J598" s="282" t="n"/>
      <c r="M598" s="282" t="n"/>
      <c r="P598" s="282" t="n"/>
      <c r="S598" s="282" t="n"/>
      <c r="V598" s="282" t="n"/>
      <c r="Y598" s="282" t="n"/>
      <c r="AB598" s="282" t="n"/>
      <c r="AC598" s="537" t="n"/>
      <c r="AD598" s="537" t="n"/>
      <c r="AE598" s="282" t="n"/>
      <c r="AF598" s="537" t="n"/>
      <c r="AG598" s="537" t="n"/>
      <c r="AI598" s="537" t="n"/>
      <c r="AJ598" s="537" t="n"/>
      <c r="AK598" s="282" t="n"/>
      <c r="AL598" s="286" t="n"/>
      <c r="AM598" s="286" t="n"/>
      <c r="AN598" s="282" t="n"/>
    </row>
    <row customHeight="1" ht="15.75" r="599" s="452" spans="1:41">
      <c r="A599" s="44" t="n"/>
      <c r="G599" s="282" t="n"/>
      <c r="J599" s="282" t="n"/>
      <c r="M599" s="282" t="n"/>
      <c r="P599" s="282" t="n"/>
      <c r="S599" s="282" t="n"/>
      <c r="V599" s="282" t="n"/>
      <c r="Y599" s="282" t="n"/>
      <c r="AB599" s="282" t="n"/>
      <c r="AC599" s="537" t="n"/>
      <c r="AD599" s="537" t="n"/>
      <c r="AE599" s="282" t="n"/>
      <c r="AF599" s="537" t="n"/>
      <c r="AG599" s="537" t="n"/>
      <c r="AI599" s="537" t="n"/>
      <c r="AJ599" s="537" t="n"/>
      <c r="AK599" s="282" t="n"/>
      <c r="AL599" s="286" t="n"/>
      <c r="AM599" s="286" t="n"/>
      <c r="AN599" s="282" t="n"/>
    </row>
    <row customHeight="1" ht="15.75" r="600" s="452" spans="1:41">
      <c r="A600" s="44" t="n"/>
      <c r="G600" s="282" t="n"/>
      <c r="J600" s="282" t="n"/>
      <c r="M600" s="282" t="n"/>
      <c r="P600" s="282" t="n"/>
      <c r="S600" s="282" t="n"/>
      <c r="V600" s="282" t="n"/>
      <c r="Y600" s="282" t="n"/>
      <c r="AB600" s="282" t="n"/>
      <c r="AC600" s="537" t="n"/>
      <c r="AD600" s="537" t="n"/>
      <c r="AE600" s="282" t="n"/>
      <c r="AF600" s="537" t="n"/>
      <c r="AG600" s="537" t="n"/>
      <c r="AI600" s="537" t="n"/>
      <c r="AJ600" s="537" t="n"/>
      <c r="AK600" s="282" t="n"/>
      <c r="AL600" s="286" t="n"/>
      <c r="AM600" s="286" t="n"/>
      <c r="AN600" s="282" t="n"/>
    </row>
    <row customHeight="1" ht="15.75" r="601" s="452" spans="1:41">
      <c r="A601" s="44" t="n"/>
      <c r="G601" s="282" t="n"/>
      <c r="J601" s="282" t="n"/>
      <c r="M601" s="282" t="n"/>
      <c r="P601" s="282" t="n"/>
      <c r="S601" s="282" t="n"/>
      <c r="V601" s="282" t="n"/>
      <c r="Y601" s="282" t="n"/>
      <c r="AB601" s="282" t="n"/>
      <c r="AC601" s="537" t="n"/>
      <c r="AD601" s="537" t="n"/>
      <c r="AE601" s="282" t="n"/>
      <c r="AF601" s="537" t="n"/>
      <c r="AG601" s="537" t="n"/>
      <c r="AI601" s="537" t="n"/>
      <c r="AJ601" s="537" t="n"/>
      <c r="AK601" s="282" t="n"/>
      <c r="AL601" s="286" t="n"/>
      <c r="AM601" s="286" t="n"/>
      <c r="AN601" s="282" t="n"/>
    </row>
    <row customHeight="1" ht="15.75" r="602" s="452" spans="1:41">
      <c r="A602" s="44" t="n"/>
      <c r="G602" s="282" t="n"/>
      <c r="J602" s="282" t="n"/>
      <c r="M602" s="282" t="n"/>
      <c r="P602" s="282" t="n"/>
      <c r="S602" s="282" t="n"/>
      <c r="V602" s="282" t="n"/>
      <c r="Y602" s="282" t="n"/>
      <c r="AB602" s="282" t="n"/>
      <c r="AC602" s="537" t="n"/>
      <c r="AD602" s="537" t="n"/>
      <c r="AE602" s="282" t="n"/>
      <c r="AF602" s="537" t="n"/>
      <c r="AG602" s="537" t="n"/>
      <c r="AI602" s="537" t="n"/>
      <c r="AJ602" s="537" t="n"/>
      <c r="AK602" s="282" t="n"/>
      <c r="AL602" s="286" t="n"/>
      <c r="AM602" s="286" t="n"/>
      <c r="AN602" s="282" t="n"/>
    </row>
    <row customHeight="1" ht="15.75" r="603" s="452" spans="1:41">
      <c r="A603" s="44" t="n"/>
      <c r="G603" s="282" t="n"/>
      <c r="J603" s="282" t="n"/>
      <c r="M603" s="282" t="n"/>
      <c r="P603" s="282" t="n"/>
      <c r="S603" s="282" t="n"/>
      <c r="V603" s="282" t="n"/>
      <c r="Y603" s="282" t="n"/>
      <c r="AB603" s="282" t="n"/>
      <c r="AC603" s="537" t="n"/>
      <c r="AD603" s="537" t="n"/>
      <c r="AE603" s="282" t="n"/>
      <c r="AF603" s="537" t="n"/>
      <c r="AG603" s="537" t="n"/>
      <c r="AI603" s="537" t="n"/>
      <c r="AJ603" s="537" t="n"/>
      <c r="AK603" s="282" t="n"/>
      <c r="AL603" s="286" t="n"/>
      <c r="AM603" s="286" t="n"/>
      <c r="AN603" s="282" t="n"/>
    </row>
    <row customHeight="1" ht="15.75" r="604" s="452" spans="1:41">
      <c r="A604" s="44" t="n"/>
      <c r="G604" s="282" t="n"/>
      <c r="J604" s="282" t="n"/>
      <c r="M604" s="282" t="n"/>
      <c r="P604" s="282" t="n"/>
      <c r="S604" s="282" t="n"/>
      <c r="V604" s="282" t="n"/>
      <c r="Y604" s="282" t="n"/>
      <c r="AB604" s="282" t="n"/>
      <c r="AC604" s="537" t="n"/>
      <c r="AD604" s="537" t="n"/>
      <c r="AE604" s="282" t="n"/>
      <c r="AF604" s="537" t="n"/>
      <c r="AG604" s="537" t="n"/>
      <c r="AI604" s="537" t="n"/>
      <c r="AJ604" s="537" t="n"/>
      <c r="AK604" s="282" t="n"/>
      <c r="AL604" s="286" t="n"/>
      <c r="AM604" s="286" t="n"/>
      <c r="AN604" s="282" t="n"/>
    </row>
    <row customHeight="1" ht="15.75" r="605" s="452" spans="1:41">
      <c r="A605" s="44" t="n"/>
      <c r="G605" s="282" t="n"/>
      <c r="J605" s="282" t="n"/>
      <c r="M605" s="282" t="n"/>
      <c r="P605" s="282" t="n"/>
      <c r="S605" s="282" t="n"/>
      <c r="V605" s="282" t="n"/>
      <c r="Y605" s="282" t="n"/>
      <c r="AB605" s="282" t="n"/>
      <c r="AC605" s="537" t="n"/>
      <c r="AD605" s="537" t="n"/>
      <c r="AE605" s="282" t="n"/>
      <c r="AF605" s="537" t="n"/>
      <c r="AG605" s="537" t="n"/>
      <c r="AI605" s="537" t="n"/>
      <c r="AJ605" s="537" t="n"/>
      <c r="AK605" s="282" t="n"/>
      <c r="AL605" s="286" t="n"/>
      <c r="AM605" s="286" t="n"/>
      <c r="AN605" s="282" t="n"/>
    </row>
    <row customHeight="1" ht="15.75" r="606" s="452" spans="1:41">
      <c r="A606" s="44" t="n"/>
      <c r="G606" s="282" t="n"/>
      <c r="J606" s="282" t="n"/>
      <c r="M606" s="282" t="n"/>
      <c r="P606" s="282" t="n"/>
      <c r="S606" s="282" t="n"/>
      <c r="V606" s="282" t="n"/>
      <c r="Y606" s="282" t="n"/>
      <c r="AB606" s="282" t="n"/>
      <c r="AC606" s="537" t="n"/>
      <c r="AD606" s="537" t="n"/>
      <c r="AE606" s="282" t="n"/>
      <c r="AF606" s="537" t="n"/>
      <c r="AG606" s="537" t="n"/>
      <c r="AI606" s="537" t="n"/>
      <c r="AJ606" s="537" t="n"/>
      <c r="AK606" s="282" t="n"/>
      <c r="AL606" s="286" t="n"/>
      <c r="AM606" s="286" t="n"/>
      <c r="AN606" s="282" t="n"/>
    </row>
    <row customHeight="1" ht="15.75" r="607" s="452" spans="1:41">
      <c r="A607" s="44" t="n"/>
      <c r="G607" s="282" t="n"/>
      <c r="J607" s="282" t="n"/>
      <c r="M607" s="282" t="n"/>
      <c r="P607" s="282" t="n"/>
      <c r="S607" s="282" t="n"/>
      <c r="V607" s="282" t="n"/>
      <c r="Y607" s="282" t="n"/>
      <c r="AB607" s="282" t="n"/>
      <c r="AC607" s="537" t="n"/>
      <c r="AD607" s="537" t="n"/>
      <c r="AE607" s="282" t="n"/>
      <c r="AF607" s="537" t="n"/>
      <c r="AG607" s="537" t="n"/>
      <c r="AI607" s="537" t="n"/>
      <c r="AJ607" s="537" t="n"/>
      <c r="AK607" s="282" t="n"/>
      <c r="AL607" s="286" t="n"/>
      <c r="AM607" s="286" t="n"/>
      <c r="AN607" s="282" t="n"/>
    </row>
    <row customHeight="1" ht="15.75" r="608" s="452" spans="1:41">
      <c r="A608" s="44" t="n"/>
      <c r="G608" s="282" t="n"/>
      <c r="J608" s="282" t="n"/>
      <c r="M608" s="282" t="n"/>
      <c r="P608" s="282" t="n"/>
      <c r="S608" s="282" t="n"/>
      <c r="V608" s="282" t="n"/>
      <c r="Y608" s="282" t="n"/>
      <c r="AB608" s="282" t="n"/>
      <c r="AC608" s="537" t="n"/>
      <c r="AD608" s="537" t="n"/>
      <c r="AE608" s="282" t="n"/>
      <c r="AF608" s="537" t="n"/>
      <c r="AG608" s="537" t="n"/>
      <c r="AI608" s="537" t="n"/>
      <c r="AJ608" s="537" t="n"/>
      <c r="AK608" s="282" t="n"/>
      <c r="AL608" s="286" t="n"/>
      <c r="AM608" s="286" t="n"/>
      <c r="AN608" s="282" t="n"/>
    </row>
    <row customHeight="1" ht="15.75" r="609" s="452" spans="1:41">
      <c r="A609" s="44" t="n"/>
      <c r="G609" s="282" t="n"/>
      <c r="J609" s="282" t="n"/>
      <c r="M609" s="282" t="n"/>
      <c r="P609" s="282" t="n"/>
      <c r="S609" s="282" t="n"/>
      <c r="V609" s="282" t="n"/>
      <c r="Y609" s="282" t="n"/>
      <c r="AB609" s="282" t="n"/>
      <c r="AC609" s="537" t="n"/>
      <c r="AD609" s="537" t="n"/>
      <c r="AE609" s="282" t="n"/>
      <c r="AF609" s="537" t="n"/>
      <c r="AG609" s="537" t="n"/>
      <c r="AI609" s="537" t="n"/>
      <c r="AJ609" s="537" t="n"/>
      <c r="AK609" s="282" t="n"/>
      <c r="AL609" s="286" t="n"/>
      <c r="AM609" s="286" t="n"/>
      <c r="AN609" s="282" t="n"/>
    </row>
    <row customHeight="1" ht="15.75" r="610" s="452" spans="1:41">
      <c r="A610" s="44" t="n"/>
      <c r="G610" s="282" t="n"/>
      <c r="J610" s="282" t="n"/>
      <c r="M610" s="282" t="n"/>
      <c r="P610" s="282" t="n"/>
      <c r="S610" s="282" t="n"/>
      <c r="V610" s="282" t="n"/>
      <c r="Y610" s="282" t="n"/>
      <c r="AB610" s="282" t="n"/>
      <c r="AC610" s="537" t="n"/>
      <c r="AD610" s="537" t="n"/>
      <c r="AE610" s="282" t="n"/>
      <c r="AF610" s="537" t="n"/>
      <c r="AG610" s="537" t="n"/>
      <c r="AI610" s="537" t="n"/>
      <c r="AJ610" s="537" t="n"/>
      <c r="AK610" s="282" t="n"/>
      <c r="AL610" s="286" t="n"/>
      <c r="AM610" s="286" t="n"/>
      <c r="AN610" s="282" t="n"/>
    </row>
    <row customHeight="1" ht="15.75" r="611" s="452" spans="1:41">
      <c r="A611" s="44" t="n"/>
      <c r="G611" s="282" t="n"/>
      <c r="J611" s="282" t="n"/>
      <c r="M611" s="282" t="n"/>
      <c r="P611" s="282" t="n"/>
      <c r="S611" s="282" t="n"/>
      <c r="V611" s="282" t="n"/>
      <c r="Y611" s="282" t="n"/>
      <c r="AB611" s="282" t="n"/>
      <c r="AC611" s="537" t="n"/>
      <c r="AD611" s="537" t="n"/>
      <c r="AE611" s="282" t="n"/>
      <c r="AF611" s="537" t="n"/>
      <c r="AG611" s="537" t="n"/>
      <c r="AI611" s="537" t="n"/>
      <c r="AJ611" s="537" t="n"/>
      <c r="AK611" s="282" t="n"/>
      <c r="AL611" s="286" t="n"/>
      <c r="AM611" s="286" t="n"/>
      <c r="AN611" s="282" t="n"/>
    </row>
    <row customHeight="1" ht="15.75" r="612" s="452" spans="1:41">
      <c r="A612" s="44" t="n"/>
      <c r="G612" s="282" t="n"/>
      <c r="J612" s="282" t="n"/>
      <c r="M612" s="282" t="n"/>
      <c r="P612" s="282" t="n"/>
      <c r="S612" s="282" t="n"/>
      <c r="V612" s="282" t="n"/>
      <c r="Y612" s="282" t="n"/>
      <c r="AB612" s="282" t="n"/>
      <c r="AC612" s="537" t="n"/>
      <c r="AD612" s="537" t="n"/>
      <c r="AE612" s="282" t="n"/>
      <c r="AF612" s="537" t="n"/>
      <c r="AG612" s="537" t="n"/>
      <c r="AI612" s="537" t="n"/>
      <c r="AJ612" s="537" t="n"/>
      <c r="AK612" s="282" t="n"/>
      <c r="AL612" s="286" t="n"/>
      <c r="AM612" s="286" t="n"/>
      <c r="AN612" s="282" t="n"/>
    </row>
    <row customHeight="1" ht="15.75" r="613" s="452" spans="1:41">
      <c r="A613" s="44" t="n"/>
      <c r="G613" s="282" t="n"/>
      <c r="J613" s="282" t="n"/>
      <c r="M613" s="282" t="n"/>
      <c r="P613" s="282" t="n"/>
      <c r="S613" s="282" t="n"/>
      <c r="V613" s="282" t="n"/>
      <c r="Y613" s="282" t="n"/>
      <c r="AB613" s="282" t="n"/>
      <c r="AC613" s="537" t="n"/>
      <c r="AD613" s="537" t="n"/>
      <c r="AE613" s="282" t="n"/>
      <c r="AF613" s="537" t="n"/>
      <c r="AG613" s="537" t="n"/>
      <c r="AI613" s="537" t="n"/>
      <c r="AJ613" s="537" t="n"/>
      <c r="AK613" s="282" t="n"/>
      <c r="AL613" s="286" t="n"/>
      <c r="AM613" s="286" t="n"/>
      <c r="AN613" s="282" t="n"/>
    </row>
    <row customHeight="1" ht="15.75" r="614" s="452" spans="1:41">
      <c r="A614" s="44" t="n"/>
      <c r="G614" s="282" t="n"/>
      <c r="J614" s="282" t="n"/>
      <c r="M614" s="282" t="n"/>
      <c r="P614" s="282" t="n"/>
      <c r="S614" s="282" t="n"/>
      <c r="V614" s="282" t="n"/>
      <c r="Y614" s="282" t="n"/>
      <c r="AB614" s="282" t="n"/>
      <c r="AC614" s="537" t="n"/>
      <c r="AD614" s="537" t="n"/>
      <c r="AE614" s="282" t="n"/>
      <c r="AF614" s="537" t="n"/>
      <c r="AG614" s="537" t="n"/>
      <c r="AI614" s="537" t="n"/>
      <c r="AJ614" s="537" t="n"/>
      <c r="AK614" s="282" t="n"/>
      <c r="AL614" s="286" t="n"/>
      <c r="AM614" s="286" t="n"/>
      <c r="AN614" s="282" t="n"/>
    </row>
    <row customHeight="1" ht="15.75" r="615" s="452" spans="1:41">
      <c r="A615" s="44" t="n"/>
      <c r="G615" s="282" t="n"/>
      <c r="J615" s="282" t="n"/>
      <c r="M615" s="282" t="n"/>
      <c r="P615" s="282" t="n"/>
      <c r="S615" s="282" t="n"/>
      <c r="V615" s="282" t="n"/>
      <c r="Y615" s="282" t="n"/>
      <c r="AB615" s="282" t="n"/>
      <c r="AC615" s="537" t="n"/>
      <c r="AD615" s="537" t="n"/>
      <c r="AE615" s="282" t="n"/>
      <c r="AF615" s="537" t="n"/>
      <c r="AG615" s="537" t="n"/>
      <c r="AI615" s="537" t="n"/>
      <c r="AJ615" s="537" t="n"/>
      <c r="AK615" s="282" t="n"/>
      <c r="AL615" s="286" t="n"/>
      <c r="AM615" s="286" t="n"/>
      <c r="AN615" s="282" t="n"/>
    </row>
    <row customHeight="1" ht="15.75" r="616" s="452" spans="1:41">
      <c r="A616" s="44" t="n"/>
      <c r="G616" s="282" t="n"/>
      <c r="J616" s="282" t="n"/>
      <c r="M616" s="282" t="n"/>
      <c r="P616" s="282" t="n"/>
      <c r="S616" s="282" t="n"/>
      <c r="V616" s="282" t="n"/>
      <c r="Y616" s="282" t="n"/>
      <c r="AB616" s="282" t="n"/>
      <c r="AC616" s="537" t="n"/>
      <c r="AD616" s="537" t="n"/>
      <c r="AE616" s="282" t="n"/>
      <c r="AF616" s="537" t="n"/>
      <c r="AG616" s="537" t="n"/>
      <c r="AI616" s="537" t="n"/>
      <c r="AJ616" s="537" t="n"/>
      <c r="AK616" s="282" t="n"/>
      <c r="AL616" s="286" t="n"/>
      <c r="AM616" s="286" t="n"/>
      <c r="AN616" s="282" t="n"/>
    </row>
    <row customHeight="1" ht="15.75" r="617" s="452" spans="1:41">
      <c r="A617" s="44" t="n"/>
      <c r="G617" s="282" t="n"/>
      <c r="J617" s="282" t="n"/>
      <c r="M617" s="282" t="n"/>
      <c r="P617" s="282" t="n"/>
      <c r="S617" s="282" t="n"/>
      <c r="V617" s="282" t="n"/>
      <c r="Y617" s="282" t="n"/>
      <c r="AB617" s="282" t="n"/>
      <c r="AC617" s="537" t="n"/>
      <c r="AD617" s="537" t="n"/>
      <c r="AE617" s="282" t="n"/>
      <c r="AF617" s="537" t="n"/>
      <c r="AG617" s="537" t="n"/>
      <c r="AI617" s="537" t="n"/>
      <c r="AJ617" s="537" t="n"/>
      <c r="AK617" s="282" t="n"/>
      <c r="AL617" s="286" t="n"/>
      <c r="AM617" s="286" t="n"/>
      <c r="AN617" s="282" t="n"/>
    </row>
    <row customHeight="1" ht="15.75" r="618" s="452" spans="1:41">
      <c r="A618" s="44" t="n"/>
      <c r="G618" s="282" t="n"/>
      <c r="J618" s="282" t="n"/>
      <c r="M618" s="282" t="n"/>
      <c r="P618" s="282" t="n"/>
      <c r="S618" s="282" t="n"/>
      <c r="V618" s="282" t="n"/>
      <c r="Y618" s="282" t="n"/>
      <c r="AB618" s="282" t="n"/>
      <c r="AC618" s="537" t="n"/>
      <c r="AD618" s="537" t="n"/>
      <c r="AE618" s="282" t="n"/>
      <c r="AF618" s="537" t="n"/>
      <c r="AG618" s="537" t="n"/>
      <c r="AI618" s="537" t="n"/>
      <c r="AJ618" s="537" t="n"/>
      <c r="AK618" s="282" t="n"/>
      <c r="AL618" s="286" t="n"/>
      <c r="AM618" s="286" t="n"/>
      <c r="AN618" s="282" t="n"/>
    </row>
    <row customHeight="1" ht="15.75" r="619" s="452" spans="1:41">
      <c r="A619" s="44" t="n"/>
      <c r="G619" s="282" t="n"/>
      <c r="J619" s="282" t="n"/>
      <c r="M619" s="282" t="n"/>
      <c r="P619" s="282" t="n"/>
      <c r="S619" s="282" t="n"/>
      <c r="V619" s="282" t="n"/>
      <c r="Y619" s="282" t="n"/>
      <c r="AB619" s="282" t="n"/>
      <c r="AC619" s="537" t="n"/>
      <c r="AD619" s="537" t="n"/>
      <c r="AE619" s="282" t="n"/>
      <c r="AF619" s="537" t="n"/>
      <c r="AG619" s="537" t="n"/>
      <c r="AI619" s="537" t="n"/>
      <c r="AJ619" s="537" t="n"/>
      <c r="AK619" s="282" t="n"/>
      <c r="AL619" s="286" t="n"/>
      <c r="AM619" s="286" t="n"/>
      <c r="AN619" s="282" t="n"/>
    </row>
    <row customHeight="1" ht="15.75" r="620" s="452" spans="1:41">
      <c r="A620" s="44" t="n"/>
      <c r="G620" s="282" t="n"/>
      <c r="J620" s="282" t="n"/>
      <c r="M620" s="282" t="n"/>
      <c r="P620" s="282" t="n"/>
      <c r="S620" s="282" t="n"/>
      <c r="V620" s="282" t="n"/>
      <c r="Y620" s="282" t="n"/>
      <c r="AB620" s="282" t="n"/>
      <c r="AC620" s="537" t="n"/>
      <c r="AD620" s="537" t="n"/>
      <c r="AE620" s="282" t="n"/>
      <c r="AF620" s="537" t="n"/>
      <c r="AG620" s="537" t="n"/>
      <c r="AI620" s="537" t="n"/>
      <c r="AJ620" s="537" t="n"/>
      <c r="AK620" s="282" t="n"/>
      <c r="AL620" s="286" t="n"/>
      <c r="AM620" s="286" t="n"/>
      <c r="AN620" s="282" t="n"/>
    </row>
    <row customHeight="1" ht="15.75" r="621" s="452" spans="1:41">
      <c r="A621" s="44" t="n"/>
      <c r="G621" s="282" t="n"/>
      <c r="J621" s="282" t="n"/>
      <c r="M621" s="282" t="n"/>
      <c r="P621" s="282" t="n"/>
      <c r="S621" s="282" t="n"/>
      <c r="V621" s="282" t="n"/>
      <c r="Y621" s="282" t="n"/>
      <c r="AB621" s="282" t="n"/>
      <c r="AC621" s="537" t="n"/>
      <c r="AD621" s="537" t="n"/>
      <c r="AE621" s="282" t="n"/>
      <c r="AF621" s="537" t="n"/>
      <c r="AG621" s="537" t="n"/>
      <c r="AI621" s="537" t="n"/>
      <c r="AJ621" s="537" t="n"/>
      <c r="AK621" s="282" t="n"/>
      <c r="AL621" s="286" t="n"/>
      <c r="AM621" s="286" t="n"/>
      <c r="AN621" s="282" t="n"/>
    </row>
    <row customHeight="1" ht="15.75" r="622" s="452" spans="1:41">
      <c r="A622" s="44" t="n"/>
      <c r="G622" s="282" t="n"/>
      <c r="J622" s="282" t="n"/>
      <c r="M622" s="282" t="n"/>
      <c r="P622" s="282" t="n"/>
      <c r="S622" s="282" t="n"/>
      <c r="V622" s="282" t="n"/>
      <c r="Y622" s="282" t="n"/>
      <c r="AB622" s="282" t="n"/>
      <c r="AC622" s="537" t="n"/>
      <c r="AD622" s="537" t="n"/>
      <c r="AE622" s="282" t="n"/>
      <c r="AF622" s="537" t="n"/>
      <c r="AG622" s="537" t="n"/>
      <c r="AI622" s="537" t="n"/>
      <c r="AJ622" s="537" t="n"/>
      <c r="AK622" s="282" t="n"/>
      <c r="AL622" s="286" t="n"/>
      <c r="AM622" s="286" t="n"/>
      <c r="AN622" s="282" t="n"/>
    </row>
    <row customHeight="1" ht="15.75" r="623" s="452" spans="1:41">
      <c r="A623" s="44" t="n"/>
      <c r="G623" s="282" t="n"/>
      <c r="J623" s="282" t="n"/>
      <c r="M623" s="282" t="n"/>
      <c r="P623" s="282" t="n"/>
      <c r="S623" s="282" t="n"/>
      <c r="V623" s="282" t="n"/>
      <c r="Y623" s="282" t="n"/>
      <c r="AB623" s="282" t="n"/>
      <c r="AC623" s="537" t="n"/>
      <c r="AD623" s="537" t="n"/>
      <c r="AE623" s="282" t="n"/>
      <c r="AF623" s="537" t="n"/>
      <c r="AG623" s="537" t="n"/>
      <c r="AI623" s="537" t="n"/>
      <c r="AJ623" s="537" t="n"/>
      <c r="AK623" s="282" t="n"/>
      <c r="AL623" s="286" t="n"/>
      <c r="AM623" s="286" t="n"/>
      <c r="AN623" s="282" t="n"/>
    </row>
    <row customHeight="1" ht="15.75" r="624" s="452" spans="1:41">
      <c r="A624" s="44" t="n"/>
      <c r="G624" s="282" t="n"/>
      <c r="J624" s="282" t="n"/>
      <c r="M624" s="282" t="n"/>
      <c r="P624" s="282" t="n"/>
      <c r="S624" s="282" t="n"/>
      <c r="V624" s="282" t="n"/>
      <c r="Y624" s="282" t="n"/>
      <c r="AB624" s="282" t="n"/>
      <c r="AC624" s="537" t="n"/>
      <c r="AD624" s="537" t="n"/>
      <c r="AE624" s="282" t="n"/>
      <c r="AF624" s="537" t="n"/>
      <c r="AG624" s="537" t="n"/>
      <c r="AI624" s="537" t="n"/>
      <c r="AJ624" s="537" t="n"/>
      <c r="AK624" s="282" t="n"/>
      <c r="AL624" s="286" t="n"/>
      <c r="AM624" s="286" t="n"/>
      <c r="AN624" s="282" t="n"/>
    </row>
    <row customHeight="1" ht="15.75" r="625" s="452" spans="1:41">
      <c r="A625" s="44" t="n"/>
      <c r="G625" s="282" t="n"/>
      <c r="J625" s="282" t="n"/>
      <c r="M625" s="282" t="n"/>
      <c r="P625" s="282" t="n"/>
      <c r="S625" s="282" t="n"/>
      <c r="V625" s="282" t="n"/>
      <c r="Y625" s="282" t="n"/>
      <c r="AB625" s="282" t="n"/>
      <c r="AC625" s="537" t="n"/>
      <c r="AD625" s="537" t="n"/>
      <c r="AE625" s="282" t="n"/>
      <c r="AF625" s="537" t="n"/>
      <c r="AG625" s="537" t="n"/>
      <c r="AI625" s="537" t="n"/>
      <c r="AJ625" s="537" t="n"/>
      <c r="AK625" s="282" t="n"/>
      <c r="AL625" s="286" t="n"/>
      <c r="AM625" s="286" t="n"/>
      <c r="AN625" s="282" t="n"/>
    </row>
    <row customHeight="1" ht="15.75" r="626" s="452" spans="1:41">
      <c r="A626" s="44" t="n"/>
      <c r="G626" s="282" t="n"/>
      <c r="J626" s="282" t="n"/>
      <c r="M626" s="282" t="n"/>
      <c r="P626" s="282" t="n"/>
      <c r="S626" s="282" t="n"/>
      <c r="V626" s="282" t="n"/>
      <c r="Y626" s="282" t="n"/>
      <c r="AB626" s="282" t="n"/>
      <c r="AC626" s="537" t="n"/>
      <c r="AD626" s="537" t="n"/>
      <c r="AE626" s="282" t="n"/>
      <c r="AF626" s="537" t="n"/>
      <c r="AG626" s="537" t="n"/>
      <c r="AI626" s="537" t="n"/>
      <c r="AJ626" s="537" t="n"/>
      <c r="AK626" s="282" t="n"/>
      <c r="AL626" s="286" t="n"/>
      <c r="AM626" s="286" t="n"/>
      <c r="AN626" s="282" t="n"/>
    </row>
    <row customHeight="1" ht="15.75" r="627" s="452" spans="1:41">
      <c r="A627" s="44" t="n"/>
      <c r="G627" s="282" t="n"/>
      <c r="J627" s="282" t="n"/>
      <c r="M627" s="282" t="n"/>
      <c r="P627" s="282" t="n"/>
      <c r="S627" s="282" t="n"/>
      <c r="V627" s="282" t="n"/>
      <c r="Y627" s="282" t="n"/>
      <c r="AB627" s="282" t="n"/>
      <c r="AC627" s="537" t="n"/>
      <c r="AD627" s="537" t="n"/>
      <c r="AE627" s="282" t="n"/>
      <c r="AF627" s="537" t="n"/>
      <c r="AG627" s="537" t="n"/>
      <c r="AI627" s="537" t="n"/>
      <c r="AJ627" s="537" t="n"/>
      <c r="AK627" s="282" t="n"/>
      <c r="AL627" s="286" t="n"/>
      <c r="AM627" s="286" t="n"/>
      <c r="AN627" s="282" t="n"/>
    </row>
    <row customHeight="1" ht="15.75" r="628" s="452" spans="1:41">
      <c r="A628" s="44" t="n"/>
      <c r="G628" s="282" t="n"/>
      <c r="J628" s="282" t="n"/>
      <c r="M628" s="282" t="n"/>
      <c r="P628" s="282" t="n"/>
      <c r="S628" s="282" t="n"/>
      <c r="V628" s="282" t="n"/>
      <c r="Y628" s="282" t="n"/>
      <c r="AB628" s="282" t="n"/>
      <c r="AC628" s="537" t="n"/>
      <c r="AD628" s="537" t="n"/>
      <c r="AE628" s="282" t="n"/>
      <c r="AF628" s="537" t="n"/>
      <c r="AG628" s="537" t="n"/>
      <c r="AI628" s="537" t="n"/>
      <c r="AJ628" s="537" t="n"/>
      <c r="AK628" s="282" t="n"/>
      <c r="AL628" s="286" t="n"/>
      <c r="AM628" s="286" t="n"/>
      <c r="AN628" s="282" t="n"/>
    </row>
    <row customHeight="1" ht="15.75" r="629" s="452" spans="1:41">
      <c r="A629" s="44" t="n"/>
      <c r="G629" s="282" t="n"/>
      <c r="J629" s="282" t="n"/>
      <c r="M629" s="282" t="n"/>
      <c r="P629" s="282" t="n"/>
      <c r="S629" s="282" t="n"/>
      <c r="V629" s="282" t="n"/>
      <c r="Y629" s="282" t="n"/>
      <c r="AB629" s="282" t="n"/>
      <c r="AC629" s="537" t="n"/>
      <c r="AD629" s="537" t="n"/>
      <c r="AE629" s="282" t="n"/>
      <c r="AF629" s="537" t="n"/>
      <c r="AG629" s="537" t="n"/>
      <c r="AI629" s="537" t="n"/>
      <c r="AJ629" s="537" t="n"/>
      <c r="AK629" s="282" t="n"/>
      <c r="AL629" s="286" t="n"/>
      <c r="AM629" s="286" t="n"/>
      <c r="AN629" s="282" t="n"/>
    </row>
    <row customHeight="1" ht="15.75" r="630" s="452" spans="1:41">
      <c r="A630" s="44" t="n"/>
      <c r="G630" s="282" t="n"/>
      <c r="J630" s="282" t="n"/>
      <c r="M630" s="282" t="n"/>
      <c r="P630" s="282" t="n"/>
      <c r="S630" s="282" t="n"/>
      <c r="V630" s="282" t="n"/>
      <c r="Y630" s="282" t="n"/>
      <c r="AB630" s="282" t="n"/>
      <c r="AC630" s="537" t="n"/>
      <c r="AD630" s="537" t="n"/>
      <c r="AE630" s="282" t="n"/>
      <c r="AF630" s="537" t="n"/>
      <c r="AG630" s="537" t="n"/>
      <c r="AI630" s="537" t="n"/>
      <c r="AJ630" s="537" t="n"/>
      <c r="AK630" s="282" t="n"/>
      <c r="AL630" s="286" t="n"/>
      <c r="AM630" s="286" t="n"/>
      <c r="AN630" s="282" t="n"/>
    </row>
    <row customHeight="1" ht="15.75" r="631" s="452" spans="1:41">
      <c r="A631" s="44" t="n"/>
      <c r="G631" s="282" t="n"/>
      <c r="J631" s="282" t="n"/>
      <c r="M631" s="282" t="n"/>
      <c r="P631" s="282" t="n"/>
      <c r="S631" s="282" t="n"/>
      <c r="V631" s="282" t="n"/>
      <c r="Y631" s="282" t="n"/>
      <c r="AB631" s="282" t="n"/>
      <c r="AC631" s="537" t="n"/>
      <c r="AD631" s="537" t="n"/>
      <c r="AE631" s="282" t="n"/>
      <c r="AF631" s="537" t="n"/>
      <c r="AG631" s="537" t="n"/>
      <c r="AI631" s="537" t="n"/>
      <c r="AJ631" s="537" t="n"/>
      <c r="AK631" s="282" t="n"/>
      <c r="AL631" s="286" t="n"/>
      <c r="AM631" s="286" t="n"/>
      <c r="AN631" s="282" t="n"/>
    </row>
    <row customHeight="1" ht="15.75" r="632" s="452" spans="1:41">
      <c r="A632" s="44" t="n"/>
      <c r="G632" s="282" t="n"/>
      <c r="J632" s="282" t="n"/>
      <c r="M632" s="282" t="n"/>
      <c r="P632" s="282" t="n"/>
      <c r="S632" s="282" t="n"/>
      <c r="V632" s="282" t="n"/>
      <c r="Y632" s="282" t="n"/>
      <c r="AB632" s="282" t="n"/>
      <c r="AC632" s="537" t="n"/>
      <c r="AD632" s="537" t="n"/>
      <c r="AE632" s="282" t="n"/>
      <c r="AF632" s="537" t="n"/>
      <c r="AG632" s="537" t="n"/>
      <c r="AI632" s="537" t="n"/>
      <c r="AJ632" s="537" t="n"/>
      <c r="AK632" s="282" t="n"/>
      <c r="AL632" s="286" t="n"/>
      <c r="AM632" s="286" t="n"/>
      <c r="AN632" s="282" t="n"/>
    </row>
    <row customHeight="1" ht="15.75" r="633" s="452" spans="1:41">
      <c r="A633" s="44" t="n"/>
      <c r="G633" s="282" t="n"/>
      <c r="J633" s="282" t="n"/>
      <c r="M633" s="282" t="n"/>
      <c r="P633" s="282" t="n"/>
      <c r="S633" s="282" t="n"/>
      <c r="V633" s="282" t="n"/>
      <c r="Y633" s="282" t="n"/>
      <c r="AB633" s="282" t="n"/>
      <c r="AC633" s="537" t="n"/>
      <c r="AD633" s="537" t="n"/>
      <c r="AE633" s="282" t="n"/>
      <c r="AF633" s="537" t="n"/>
      <c r="AG633" s="537" t="n"/>
      <c r="AI633" s="537" t="n"/>
      <c r="AJ633" s="537" t="n"/>
      <c r="AK633" s="282" t="n"/>
      <c r="AL633" s="286" t="n"/>
      <c r="AM633" s="286" t="n"/>
      <c r="AN633" s="282" t="n"/>
    </row>
    <row customHeight="1" ht="15.75" r="634" s="452" spans="1:41">
      <c r="A634" s="44" t="n"/>
      <c r="G634" s="282" t="n"/>
      <c r="J634" s="282" t="n"/>
      <c r="M634" s="282" t="n"/>
      <c r="P634" s="282" t="n"/>
      <c r="S634" s="282" t="n"/>
      <c r="V634" s="282" t="n"/>
      <c r="Y634" s="282" t="n"/>
      <c r="AB634" s="282" t="n"/>
      <c r="AC634" s="537" t="n"/>
      <c r="AD634" s="537" t="n"/>
      <c r="AE634" s="282" t="n"/>
      <c r="AF634" s="537" t="n"/>
      <c r="AG634" s="537" t="n"/>
      <c r="AI634" s="537" t="n"/>
      <c r="AJ634" s="537" t="n"/>
      <c r="AK634" s="282" t="n"/>
      <c r="AL634" s="286" t="n"/>
      <c r="AM634" s="286" t="n"/>
      <c r="AN634" s="282" t="n"/>
    </row>
    <row customHeight="1" ht="15.75" r="635" s="452" spans="1:41">
      <c r="A635" s="44" t="n"/>
      <c r="G635" s="282" t="n"/>
      <c r="J635" s="282" t="n"/>
      <c r="M635" s="282" t="n"/>
      <c r="P635" s="282" t="n"/>
      <c r="S635" s="282" t="n"/>
      <c r="V635" s="282" t="n"/>
      <c r="Y635" s="282" t="n"/>
      <c r="AB635" s="282" t="n"/>
      <c r="AC635" s="537" t="n"/>
      <c r="AD635" s="537" t="n"/>
      <c r="AE635" s="282" t="n"/>
      <c r="AF635" s="537" t="n"/>
      <c r="AG635" s="537" t="n"/>
      <c r="AI635" s="537" t="n"/>
      <c r="AJ635" s="537" t="n"/>
      <c r="AK635" s="282" t="n"/>
      <c r="AL635" s="286" t="n"/>
      <c r="AM635" s="286" t="n"/>
      <c r="AN635" s="282" t="n"/>
    </row>
    <row customHeight="1" ht="15.75" r="636" s="452" spans="1:41">
      <c r="A636" s="44" t="n"/>
      <c r="G636" s="282" t="n"/>
      <c r="J636" s="282" t="n"/>
      <c r="M636" s="282" t="n"/>
      <c r="P636" s="282" t="n"/>
      <c r="S636" s="282" t="n"/>
      <c r="V636" s="282" t="n"/>
      <c r="Y636" s="282" t="n"/>
      <c r="AB636" s="282" t="n"/>
      <c r="AC636" s="537" t="n"/>
      <c r="AD636" s="537" t="n"/>
      <c r="AE636" s="282" t="n"/>
      <c r="AF636" s="537" t="n"/>
      <c r="AG636" s="537" t="n"/>
      <c r="AI636" s="537" t="n"/>
      <c r="AJ636" s="537" t="n"/>
      <c r="AK636" s="282" t="n"/>
      <c r="AL636" s="286" t="n"/>
      <c r="AM636" s="286" t="n"/>
      <c r="AN636" s="282" t="n"/>
    </row>
    <row customHeight="1" ht="15.75" r="637" s="452" spans="1:41">
      <c r="A637" s="44" t="n"/>
      <c r="G637" s="282" t="n"/>
      <c r="J637" s="282" t="n"/>
      <c r="M637" s="282" t="n"/>
      <c r="P637" s="282" t="n"/>
      <c r="S637" s="282" t="n"/>
      <c r="V637" s="282" t="n"/>
      <c r="Y637" s="282" t="n"/>
      <c r="AB637" s="282" t="n"/>
      <c r="AC637" s="537" t="n"/>
      <c r="AD637" s="537" t="n"/>
      <c r="AE637" s="282" t="n"/>
      <c r="AF637" s="537" t="n"/>
      <c r="AG637" s="537" t="n"/>
      <c r="AI637" s="537" t="n"/>
      <c r="AJ637" s="537" t="n"/>
      <c r="AK637" s="282" t="n"/>
      <c r="AL637" s="286" t="n"/>
      <c r="AM637" s="286" t="n"/>
      <c r="AN637" s="282" t="n"/>
    </row>
    <row customHeight="1" ht="15.75" r="638" s="452" spans="1:41">
      <c r="A638" s="44" t="n"/>
      <c r="G638" s="282" t="n"/>
      <c r="J638" s="282" t="n"/>
      <c r="M638" s="282" t="n"/>
      <c r="P638" s="282" t="n"/>
      <c r="S638" s="282" t="n"/>
      <c r="V638" s="282" t="n"/>
      <c r="Y638" s="282" t="n"/>
      <c r="AB638" s="282" t="n"/>
      <c r="AC638" s="537" t="n"/>
      <c r="AD638" s="537" t="n"/>
      <c r="AE638" s="282" t="n"/>
      <c r="AF638" s="537" t="n"/>
      <c r="AG638" s="537" t="n"/>
      <c r="AI638" s="537" t="n"/>
      <c r="AJ638" s="537" t="n"/>
      <c r="AK638" s="282" t="n"/>
      <c r="AL638" s="286" t="n"/>
      <c r="AM638" s="286" t="n"/>
      <c r="AN638" s="282" t="n"/>
    </row>
    <row customHeight="1" ht="15.75" r="639" s="452" spans="1:41">
      <c r="A639" s="44" t="n"/>
      <c r="G639" s="282" t="n"/>
      <c r="J639" s="282" t="n"/>
      <c r="M639" s="282" t="n"/>
      <c r="P639" s="282" t="n"/>
      <c r="S639" s="282" t="n"/>
      <c r="V639" s="282" t="n"/>
      <c r="Y639" s="282" t="n"/>
      <c r="AB639" s="282" t="n"/>
      <c r="AC639" s="537" t="n"/>
      <c r="AD639" s="537" t="n"/>
      <c r="AE639" s="282" t="n"/>
      <c r="AF639" s="537" t="n"/>
      <c r="AG639" s="537" t="n"/>
      <c r="AI639" s="537" t="n"/>
      <c r="AJ639" s="537" t="n"/>
      <c r="AK639" s="282" t="n"/>
      <c r="AL639" s="286" t="n"/>
      <c r="AM639" s="286" t="n"/>
      <c r="AN639" s="282" t="n"/>
    </row>
    <row customHeight="1" ht="15.75" r="640" s="452" spans="1:41">
      <c r="A640" s="44" t="n"/>
      <c r="G640" s="282" t="n"/>
      <c r="J640" s="282" t="n"/>
      <c r="M640" s="282" t="n"/>
      <c r="P640" s="282" t="n"/>
      <c r="S640" s="282" t="n"/>
      <c r="V640" s="282" t="n"/>
      <c r="Y640" s="282" t="n"/>
      <c r="AB640" s="282" t="n"/>
      <c r="AC640" s="537" t="n"/>
      <c r="AD640" s="537" t="n"/>
      <c r="AE640" s="282" t="n"/>
      <c r="AF640" s="537" t="n"/>
      <c r="AG640" s="537" t="n"/>
      <c r="AI640" s="537" t="n"/>
      <c r="AJ640" s="537" t="n"/>
      <c r="AK640" s="282" t="n"/>
      <c r="AL640" s="286" t="n"/>
      <c r="AM640" s="286" t="n"/>
      <c r="AN640" s="282" t="n"/>
    </row>
    <row customHeight="1" ht="15.75" r="641" s="452" spans="1:41">
      <c r="A641" s="44" t="n"/>
      <c r="G641" s="282" t="n"/>
      <c r="J641" s="282" t="n"/>
      <c r="M641" s="282" t="n"/>
      <c r="P641" s="282" t="n"/>
      <c r="S641" s="282" t="n"/>
      <c r="V641" s="282" t="n"/>
      <c r="Y641" s="282" t="n"/>
      <c r="AB641" s="282" t="n"/>
      <c r="AC641" s="537" t="n"/>
      <c r="AD641" s="537" t="n"/>
      <c r="AE641" s="282" t="n"/>
      <c r="AF641" s="537" t="n"/>
      <c r="AG641" s="537" t="n"/>
      <c r="AI641" s="537" t="n"/>
      <c r="AJ641" s="537" t="n"/>
      <c r="AK641" s="282" t="n"/>
      <c r="AL641" s="286" t="n"/>
      <c r="AM641" s="286" t="n"/>
      <c r="AN641" s="282" t="n"/>
    </row>
    <row customHeight="1" ht="15.75" r="642" s="452" spans="1:41">
      <c r="A642" s="44" t="n"/>
      <c r="G642" s="282" t="n"/>
      <c r="J642" s="282" t="n"/>
      <c r="M642" s="282" t="n"/>
      <c r="P642" s="282" t="n"/>
      <c r="S642" s="282" t="n"/>
      <c r="V642" s="282" t="n"/>
      <c r="Y642" s="282" t="n"/>
      <c r="AB642" s="282" t="n"/>
      <c r="AC642" s="537" t="n"/>
      <c r="AD642" s="537" t="n"/>
      <c r="AE642" s="282" t="n"/>
      <c r="AF642" s="537" t="n"/>
      <c r="AG642" s="537" t="n"/>
      <c r="AI642" s="537" t="n"/>
      <c r="AJ642" s="537" t="n"/>
      <c r="AK642" s="282" t="n"/>
      <c r="AL642" s="286" t="n"/>
      <c r="AM642" s="286" t="n"/>
      <c r="AN642" s="282" t="n"/>
    </row>
    <row customHeight="1" ht="15.75" r="643" s="452" spans="1:41">
      <c r="A643" s="44" t="n"/>
      <c r="G643" s="282" t="n"/>
      <c r="J643" s="282" t="n"/>
      <c r="M643" s="282" t="n"/>
      <c r="P643" s="282" t="n"/>
      <c r="S643" s="282" t="n"/>
      <c r="V643" s="282" t="n"/>
      <c r="Y643" s="282" t="n"/>
      <c r="AB643" s="282" t="n"/>
      <c r="AC643" s="537" t="n"/>
      <c r="AD643" s="537" t="n"/>
      <c r="AE643" s="282" t="n"/>
      <c r="AF643" s="537" t="n"/>
      <c r="AG643" s="537" t="n"/>
      <c r="AI643" s="537" t="n"/>
      <c r="AJ643" s="537" t="n"/>
      <c r="AK643" s="282" t="n"/>
      <c r="AL643" s="286" t="n"/>
      <c r="AM643" s="286" t="n"/>
      <c r="AN643" s="282" t="n"/>
    </row>
    <row customHeight="1" ht="15.75" r="644" s="452" spans="1:41">
      <c r="A644" s="44" t="n"/>
      <c r="G644" s="282" t="n"/>
      <c r="J644" s="282" t="n"/>
      <c r="M644" s="282" t="n"/>
      <c r="P644" s="282" t="n"/>
      <c r="S644" s="282" t="n"/>
      <c r="V644" s="282" t="n"/>
      <c r="Y644" s="282" t="n"/>
      <c r="AB644" s="282" t="n"/>
      <c r="AC644" s="537" t="n"/>
      <c r="AD644" s="537" t="n"/>
      <c r="AE644" s="282" t="n"/>
      <c r="AF644" s="537" t="n"/>
      <c r="AG644" s="537" t="n"/>
      <c r="AI644" s="537" t="n"/>
      <c r="AJ644" s="537" t="n"/>
      <c r="AK644" s="282" t="n"/>
      <c r="AL644" s="286" t="n"/>
      <c r="AM644" s="286" t="n"/>
      <c r="AN644" s="282" t="n"/>
    </row>
    <row customHeight="1" ht="15.75" r="645" s="452" spans="1:41">
      <c r="A645" s="44" t="n"/>
      <c r="G645" s="282" t="n"/>
      <c r="J645" s="282" t="n"/>
      <c r="M645" s="282" t="n"/>
      <c r="P645" s="282" t="n"/>
      <c r="S645" s="282" t="n"/>
      <c r="V645" s="282" t="n"/>
      <c r="Y645" s="282" t="n"/>
      <c r="AB645" s="282" t="n"/>
      <c r="AC645" s="537" t="n"/>
      <c r="AD645" s="537" t="n"/>
      <c r="AE645" s="282" t="n"/>
      <c r="AF645" s="537" t="n"/>
      <c r="AG645" s="537" t="n"/>
      <c r="AI645" s="537" t="n"/>
      <c r="AJ645" s="537" t="n"/>
      <c r="AK645" s="282" t="n"/>
      <c r="AL645" s="286" t="n"/>
      <c r="AM645" s="286" t="n"/>
      <c r="AN645" s="282" t="n"/>
    </row>
    <row customHeight="1" ht="15.75" r="646" s="452" spans="1:41">
      <c r="A646" s="44" t="n"/>
      <c r="G646" s="282" t="n"/>
      <c r="J646" s="282" t="n"/>
      <c r="M646" s="282" t="n"/>
      <c r="P646" s="282" t="n"/>
      <c r="S646" s="282" t="n"/>
      <c r="V646" s="282" t="n"/>
      <c r="Y646" s="282" t="n"/>
      <c r="AB646" s="282" t="n"/>
      <c r="AC646" s="537" t="n"/>
      <c r="AD646" s="537" t="n"/>
      <c r="AE646" s="282" t="n"/>
      <c r="AF646" s="537" t="n"/>
      <c r="AG646" s="537" t="n"/>
      <c r="AI646" s="537" t="n"/>
      <c r="AJ646" s="537" t="n"/>
      <c r="AK646" s="282" t="n"/>
      <c r="AL646" s="286" t="n"/>
      <c r="AM646" s="286" t="n"/>
      <c r="AN646" s="282" t="n"/>
    </row>
    <row customHeight="1" ht="15.75" r="647" s="452" spans="1:41">
      <c r="A647" s="44" t="n"/>
      <c r="G647" s="282" t="n"/>
      <c r="J647" s="282" t="n"/>
      <c r="M647" s="282" t="n"/>
      <c r="P647" s="282" t="n"/>
      <c r="S647" s="282" t="n"/>
      <c r="V647" s="282" t="n"/>
      <c r="Y647" s="282" t="n"/>
      <c r="AB647" s="282" t="n"/>
      <c r="AC647" s="537" t="n"/>
      <c r="AD647" s="537" t="n"/>
      <c r="AE647" s="282" t="n"/>
      <c r="AF647" s="537" t="n"/>
      <c r="AG647" s="537" t="n"/>
      <c r="AI647" s="537" t="n"/>
      <c r="AJ647" s="537" t="n"/>
      <c r="AK647" s="282" t="n"/>
      <c r="AL647" s="286" t="n"/>
      <c r="AM647" s="286" t="n"/>
      <c r="AN647" s="282" t="n"/>
    </row>
    <row customHeight="1" ht="15.75" r="648" s="452" spans="1:41">
      <c r="A648" s="44" t="n"/>
      <c r="G648" s="282" t="n"/>
      <c r="J648" s="282" t="n"/>
      <c r="M648" s="282" t="n"/>
      <c r="P648" s="282" t="n"/>
      <c r="S648" s="282" t="n"/>
      <c r="V648" s="282" t="n"/>
      <c r="Y648" s="282" t="n"/>
      <c r="AB648" s="282" t="n"/>
      <c r="AC648" s="537" t="n"/>
      <c r="AD648" s="537" t="n"/>
      <c r="AE648" s="282" t="n"/>
      <c r="AF648" s="537" t="n"/>
      <c r="AG648" s="537" t="n"/>
      <c r="AI648" s="537" t="n"/>
      <c r="AJ648" s="537" t="n"/>
      <c r="AK648" s="282" t="n"/>
      <c r="AL648" s="286" t="n"/>
      <c r="AM648" s="286" t="n"/>
      <c r="AN648" s="282" t="n"/>
    </row>
    <row customHeight="1" ht="15.75" r="649" s="452" spans="1:41">
      <c r="A649" s="44" t="n"/>
      <c r="G649" s="282" t="n"/>
      <c r="J649" s="282" t="n"/>
      <c r="M649" s="282" t="n"/>
      <c r="P649" s="282" t="n"/>
      <c r="S649" s="282" t="n"/>
      <c r="V649" s="282" t="n"/>
      <c r="Y649" s="282" t="n"/>
      <c r="AB649" s="282" t="n"/>
      <c r="AC649" s="537" t="n"/>
      <c r="AD649" s="537" t="n"/>
      <c r="AE649" s="282" t="n"/>
      <c r="AF649" s="537" t="n"/>
      <c r="AG649" s="537" t="n"/>
      <c r="AI649" s="537" t="n"/>
      <c r="AJ649" s="537" t="n"/>
      <c r="AK649" s="282" t="n"/>
      <c r="AL649" s="286" t="n"/>
      <c r="AM649" s="286" t="n"/>
      <c r="AN649" s="282" t="n"/>
    </row>
    <row customHeight="1" ht="15.75" r="650" s="452" spans="1:41">
      <c r="A650" s="44" t="n"/>
      <c r="G650" s="282" t="n"/>
      <c r="J650" s="282" t="n"/>
      <c r="M650" s="282" t="n"/>
      <c r="P650" s="282" t="n"/>
      <c r="S650" s="282" t="n"/>
      <c r="V650" s="282" t="n"/>
      <c r="Y650" s="282" t="n"/>
      <c r="AB650" s="282" t="n"/>
      <c r="AC650" s="537" t="n"/>
      <c r="AD650" s="537" t="n"/>
      <c r="AE650" s="282" t="n"/>
      <c r="AF650" s="537" t="n"/>
      <c r="AG650" s="537" t="n"/>
      <c r="AI650" s="537" t="n"/>
      <c r="AJ650" s="537" t="n"/>
      <c r="AK650" s="282" t="n"/>
      <c r="AL650" s="286" t="n"/>
      <c r="AM650" s="286" t="n"/>
      <c r="AN650" s="282" t="n"/>
    </row>
    <row customHeight="1" ht="15.75" r="651" s="452" spans="1:41">
      <c r="A651" s="44" t="n"/>
      <c r="G651" s="282" t="n"/>
      <c r="J651" s="282" t="n"/>
      <c r="M651" s="282" t="n"/>
      <c r="P651" s="282" t="n"/>
      <c r="S651" s="282" t="n"/>
      <c r="V651" s="282" t="n"/>
      <c r="Y651" s="282" t="n"/>
      <c r="AB651" s="282" t="n"/>
      <c r="AC651" s="537" t="n"/>
      <c r="AD651" s="537" t="n"/>
      <c r="AE651" s="282" t="n"/>
      <c r="AF651" s="537" t="n"/>
      <c r="AG651" s="537" t="n"/>
      <c r="AI651" s="537" t="n"/>
      <c r="AJ651" s="537" t="n"/>
      <c r="AK651" s="282" t="n"/>
      <c r="AL651" s="286" t="n"/>
      <c r="AM651" s="286" t="n"/>
      <c r="AN651" s="282" t="n"/>
    </row>
    <row customHeight="1" ht="15.75" r="652" s="452" spans="1:41">
      <c r="A652" s="44" t="n"/>
      <c r="G652" s="282" t="n"/>
      <c r="J652" s="282" t="n"/>
      <c r="M652" s="282" t="n"/>
      <c r="P652" s="282" t="n"/>
      <c r="S652" s="282" t="n"/>
      <c r="V652" s="282" t="n"/>
      <c r="Y652" s="282" t="n"/>
      <c r="AB652" s="282" t="n"/>
      <c r="AC652" s="537" t="n"/>
      <c r="AD652" s="537" t="n"/>
      <c r="AE652" s="282" t="n"/>
      <c r="AF652" s="537" t="n"/>
      <c r="AG652" s="537" t="n"/>
      <c r="AI652" s="537" t="n"/>
      <c r="AJ652" s="537" t="n"/>
      <c r="AK652" s="282" t="n"/>
      <c r="AL652" s="286" t="n"/>
      <c r="AM652" s="286" t="n"/>
      <c r="AN652" s="282" t="n"/>
    </row>
    <row customHeight="1" ht="15.75" r="653" s="452" spans="1:41">
      <c r="A653" s="44" t="n"/>
      <c r="G653" s="282" t="n"/>
      <c r="J653" s="282" t="n"/>
      <c r="M653" s="282" t="n"/>
      <c r="P653" s="282" t="n"/>
      <c r="S653" s="282" t="n"/>
      <c r="V653" s="282" t="n"/>
      <c r="Y653" s="282" t="n"/>
      <c r="AB653" s="282" t="n"/>
      <c r="AC653" s="537" t="n"/>
      <c r="AD653" s="537" t="n"/>
      <c r="AE653" s="282" t="n"/>
      <c r="AF653" s="537" t="n"/>
      <c r="AG653" s="537" t="n"/>
      <c r="AI653" s="537" t="n"/>
      <c r="AJ653" s="537" t="n"/>
      <c r="AK653" s="282" t="n"/>
      <c r="AL653" s="286" t="n"/>
      <c r="AM653" s="286" t="n"/>
      <c r="AN653" s="282" t="n"/>
    </row>
    <row customHeight="1" ht="15.75" r="654" s="452" spans="1:41">
      <c r="A654" s="44" t="n"/>
      <c r="G654" s="282" t="n"/>
      <c r="J654" s="282" t="n"/>
      <c r="M654" s="282" t="n"/>
      <c r="P654" s="282" t="n"/>
      <c r="S654" s="282" t="n"/>
      <c r="V654" s="282" t="n"/>
      <c r="Y654" s="282" t="n"/>
      <c r="AB654" s="282" t="n"/>
      <c r="AC654" s="537" t="n"/>
      <c r="AD654" s="537" t="n"/>
      <c r="AE654" s="282" t="n"/>
      <c r="AF654" s="537" t="n"/>
      <c r="AG654" s="537" t="n"/>
      <c r="AI654" s="537" t="n"/>
      <c r="AJ654" s="537" t="n"/>
      <c r="AK654" s="282" t="n"/>
      <c r="AL654" s="286" t="n"/>
      <c r="AM654" s="286" t="n"/>
      <c r="AN654" s="282" t="n"/>
    </row>
    <row customHeight="1" ht="15.75" r="655" s="452" spans="1:41">
      <c r="A655" s="44" t="n"/>
      <c r="G655" s="282" t="n"/>
      <c r="J655" s="282" t="n"/>
      <c r="M655" s="282" t="n"/>
      <c r="P655" s="282" t="n"/>
      <c r="S655" s="282" t="n"/>
      <c r="V655" s="282" t="n"/>
      <c r="Y655" s="282" t="n"/>
      <c r="AB655" s="282" t="n"/>
      <c r="AC655" s="537" t="n"/>
      <c r="AD655" s="537" t="n"/>
      <c r="AE655" s="282" t="n"/>
      <c r="AF655" s="537" t="n"/>
      <c r="AG655" s="537" t="n"/>
      <c r="AI655" s="537" t="n"/>
      <c r="AJ655" s="537" t="n"/>
      <c r="AK655" s="282" t="n"/>
      <c r="AL655" s="286" t="n"/>
      <c r="AM655" s="286" t="n"/>
      <c r="AN655" s="282" t="n"/>
    </row>
    <row customHeight="1" ht="15.75" r="656" s="452" spans="1:41">
      <c r="A656" s="44" t="n"/>
      <c r="G656" s="282" t="n"/>
      <c r="J656" s="282" t="n"/>
      <c r="M656" s="282" t="n"/>
      <c r="P656" s="282" t="n"/>
      <c r="S656" s="282" t="n"/>
      <c r="V656" s="282" t="n"/>
      <c r="Y656" s="282" t="n"/>
      <c r="AB656" s="282" t="n"/>
      <c r="AC656" s="537" t="n"/>
      <c r="AD656" s="537" t="n"/>
      <c r="AE656" s="282" t="n"/>
      <c r="AF656" s="537" t="n"/>
      <c r="AG656" s="537" t="n"/>
      <c r="AI656" s="537" t="n"/>
      <c r="AJ656" s="537" t="n"/>
      <c r="AK656" s="282" t="n"/>
      <c r="AL656" s="286" t="n"/>
      <c r="AM656" s="286" t="n"/>
      <c r="AN656" s="282" t="n"/>
    </row>
    <row customHeight="1" ht="15.75" r="657" s="452" spans="1:41">
      <c r="A657" s="44" t="n"/>
      <c r="G657" s="282" t="n"/>
      <c r="J657" s="282" t="n"/>
      <c r="M657" s="282" t="n"/>
      <c r="P657" s="282" t="n"/>
      <c r="S657" s="282" t="n"/>
      <c r="V657" s="282" t="n"/>
      <c r="Y657" s="282" t="n"/>
      <c r="AB657" s="282" t="n"/>
      <c r="AC657" s="537" t="n"/>
      <c r="AD657" s="537" t="n"/>
      <c r="AE657" s="282" t="n"/>
      <c r="AF657" s="537" t="n"/>
      <c r="AG657" s="537" t="n"/>
      <c r="AI657" s="537" t="n"/>
      <c r="AJ657" s="537" t="n"/>
      <c r="AK657" s="282" t="n"/>
      <c r="AL657" s="286" t="n"/>
      <c r="AM657" s="286" t="n"/>
      <c r="AN657" s="282" t="n"/>
    </row>
    <row customHeight="1" ht="15.75" r="658" s="452" spans="1:41">
      <c r="A658" s="44" t="n"/>
      <c r="G658" s="282" t="n"/>
      <c r="J658" s="282" t="n"/>
      <c r="M658" s="282" t="n"/>
      <c r="P658" s="282" t="n"/>
      <c r="S658" s="282" t="n"/>
      <c r="V658" s="282" t="n"/>
      <c r="Y658" s="282" t="n"/>
      <c r="AB658" s="282" t="n"/>
      <c r="AC658" s="537" t="n"/>
      <c r="AD658" s="537" t="n"/>
      <c r="AE658" s="282" t="n"/>
      <c r="AF658" s="537" t="n"/>
      <c r="AG658" s="537" t="n"/>
      <c r="AI658" s="537" t="n"/>
      <c r="AJ658" s="537" t="n"/>
      <c r="AK658" s="282" t="n"/>
      <c r="AL658" s="286" t="n"/>
      <c r="AM658" s="286" t="n"/>
      <c r="AN658" s="282" t="n"/>
    </row>
    <row customHeight="1" ht="15.75" r="659" s="452" spans="1:41">
      <c r="A659" s="44" t="n"/>
      <c r="G659" s="282" t="n"/>
      <c r="J659" s="282" t="n"/>
      <c r="M659" s="282" t="n"/>
      <c r="P659" s="282" t="n"/>
      <c r="S659" s="282" t="n"/>
      <c r="V659" s="282" t="n"/>
      <c r="Y659" s="282" t="n"/>
      <c r="AB659" s="282" t="n"/>
      <c r="AC659" s="537" t="n"/>
      <c r="AD659" s="537" t="n"/>
      <c r="AE659" s="282" t="n"/>
      <c r="AF659" s="537" t="n"/>
      <c r="AG659" s="537" t="n"/>
      <c r="AI659" s="537" t="n"/>
      <c r="AJ659" s="537" t="n"/>
      <c r="AK659" s="282" t="n"/>
      <c r="AL659" s="286" t="n"/>
      <c r="AM659" s="286" t="n"/>
      <c r="AN659" s="282" t="n"/>
    </row>
    <row customHeight="1" ht="15.75" r="660" s="452" spans="1:41">
      <c r="A660" s="44" t="n"/>
      <c r="G660" s="282" t="n"/>
      <c r="J660" s="282" t="n"/>
      <c r="M660" s="282" t="n"/>
      <c r="P660" s="282" t="n"/>
      <c r="S660" s="282" t="n"/>
      <c r="V660" s="282" t="n"/>
      <c r="Y660" s="282" t="n"/>
      <c r="AB660" s="282" t="n"/>
      <c r="AC660" s="537" t="n"/>
      <c r="AD660" s="537" t="n"/>
      <c r="AE660" s="282" t="n"/>
      <c r="AF660" s="537" t="n"/>
      <c r="AG660" s="537" t="n"/>
      <c r="AI660" s="537" t="n"/>
      <c r="AJ660" s="537" t="n"/>
      <c r="AK660" s="282" t="n"/>
      <c r="AL660" s="286" t="n"/>
      <c r="AM660" s="286" t="n"/>
      <c r="AN660" s="282" t="n"/>
    </row>
    <row customHeight="1" ht="15.75" r="661" s="452" spans="1:41">
      <c r="A661" s="44" t="n"/>
      <c r="G661" s="282" t="n"/>
      <c r="J661" s="282" t="n"/>
      <c r="M661" s="282" t="n"/>
      <c r="P661" s="282" t="n"/>
      <c r="S661" s="282" t="n"/>
      <c r="V661" s="282" t="n"/>
      <c r="Y661" s="282" t="n"/>
      <c r="AB661" s="282" t="n"/>
      <c r="AC661" s="537" t="n"/>
      <c r="AD661" s="537" t="n"/>
      <c r="AE661" s="282" t="n"/>
      <c r="AF661" s="537" t="n"/>
      <c r="AG661" s="537" t="n"/>
      <c r="AI661" s="537" t="n"/>
      <c r="AJ661" s="537" t="n"/>
      <c r="AK661" s="282" t="n"/>
      <c r="AL661" s="286" t="n"/>
      <c r="AM661" s="286" t="n"/>
      <c r="AN661" s="282" t="n"/>
    </row>
    <row customHeight="1" ht="15.75" r="662" s="452" spans="1:41">
      <c r="A662" s="44" t="n"/>
      <c r="G662" s="282" t="n"/>
      <c r="J662" s="282" t="n"/>
      <c r="M662" s="282" t="n"/>
      <c r="P662" s="282" t="n"/>
      <c r="S662" s="282" t="n"/>
      <c r="V662" s="282" t="n"/>
      <c r="Y662" s="282" t="n"/>
      <c r="AB662" s="282" t="n"/>
      <c r="AC662" s="537" t="n"/>
      <c r="AD662" s="537" t="n"/>
      <c r="AE662" s="282" t="n"/>
      <c r="AF662" s="537" t="n"/>
      <c r="AG662" s="537" t="n"/>
      <c r="AI662" s="537" t="n"/>
      <c r="AJ662" s="537" t="n"/>
      <c r="AK662" s="282" t="n"/>
      <c r="AL662" s="286" t="n"/>
      <c r="AM662" s="286" t="n"/>
      <c r="AN662" s="282" t="n"/>
    </row>
    <row customHeight="1" ht="15.75" r="663" s="452" spans="1:41">
      <c r="A663" s="44" t="n"/>
      <c r="G663" s="282" t="n"/>
      <c r="J663" s="282" t="n"/>
      <c r="M663" s="282" t="n"/>
      <c r="P663" s="282" t="n"/>
      <c r="S663" s="282" t="n"/>
      <c r="V663" s="282" t="n"/>
      <c r="Y663" s="282" t="n"/>
      <c r="AB663" s="282" t="n"/>
      <c r="AC663" s="537" t="n"/>
      <c r="AD663" s="537" t="n"/>
      <c r="AE663" s="282" t="n"/>
      <c r="AF663" s="537" t="n"/>
      <c r="AG663" s="537" t="n"/>
      <c r="AI663" s="537" t="n"/>
      <c r="AJ663" s="537" t="n"/>
      <c r="AK663" s="282" t="n"/>
      <c r="AL663" s="286" t="n"/>
      <c r="AM663" s="286" t="n"/>
      <c r="AN663" s="282" t="n"/>
    </row>
    <row customHeight="1" ht="15.75" r="664" s="452" spans="1:41">
      <c r="A664" s="44" t="n"/>
      <c r="G664" s="282" t="n"/>
      <c r="J664" s="282" t="n"/>
      <c r="M664" s="282" t="n"/>
      <c r="P664" s="282" t="n"/>
      <c r="S664" s="282" t="n"/>
      <c r="V664" s="282" t="n"/>
      <c r="Y664" s="282" t="n"/>
      <c r="AB664" s="282" t="n"/>
      <c r="AC664" s="537" t="n"/>
      <c r="AD664" s="537" t="n"/>
      <c r="AE664" s="282" t="n"/>
      <c r="AF664" s="537" t="n"/>
      <c r="AG664" s="537" t="n"/>
      <c r="AI664" s="537" t="n"/>
      <c r="AJ664" s="537" t="n"/>
      <c r="AK664" s="282" t="n"/>
      <c r="AL664" s="286" t="n"/>
      <c r="AM664" s="286" t="n"/>
      <c r="AN664" s="282" t="n"/>
    </row>
    <row customHeight="1" ht="15.75" r="665" s="452" spans="1:41">
      <c r="A665" s="44" t="n"/>
      <c r="G665" s="282" t="n"/>
      <c r="J665" s="282" t="n"/>
      <c r="M665" s="282" t="n"/>
      <c r="P665" s="282" t="n"/>
      <c r="S665" s="282" t="n"/>
      <c r="V665" s="282" t="n"/>
      <c r="Y665" s="282" t="n"/>
      <c r="AB665" s="282" t="n"/>
      <c r="AC665" s="537" t="n"/>
      <c r="AD665" s="537" t="n"/>
      <c r="AE665" s="282" t="n"/>
      <c r="AF665" s="537" t="n"/>
      <c r="AG665" s="537" t="n"/>
      <c r="AI665" s="537" t="n"/>
      <c r="AJ665" s="537" t="n"/>
      <c r="AK665" s="282" t="n"/>
      <c r="AL665" s="286" t="n"/>
      <c r="AM665" s="286" t="n"/>
      <c r="AN665" s="282" t="n"/>
    </row>
    <row customHeight="1" ht="15.75" r="666" s="452" spans="1:41">
      <c r="A666" s="44" t="n"/>
      <c r="G666" s="282" t="n"/>
      <c r="J666" s="282" t="n"/>
      <c r="M666" s="282" t="n"/>
      <c r="P666" s="282" t="n"/>
      <c r="S666" s="282" t="n"/>
      <c r="V666" s="282" t="n"/>
      <c r="Y666" s="282" t="n"/>
      <c r="AB666" s="282" t="n"/>
      <c r="AC666" s="537" t="n"/>
      <c r="AD666" s="537" t="n"/>
      <c r="AE666" s="282" t="n"/>
      <c r="AF666" s="537" t="n"/>
      <c r="AG666" s="537" t="n"/>
      <c r="AI666" s="537" t="n"/>
      <c r="AJ666" s="537" t="n"/>
      <c r="AK666" s="282" t="n"/>
      <c r="AL666" s="286" t="n"/>
      <c r="AM666" s="286" t="n"/>
      <c r="AN666" s="282" t="n"/>
    </row>
    <row customHeight="1" ht="15.75" r="667" s="452" spans="1:41">
      <c r="A667" s="44" t="n"/>
      <c r="G667" s="282" t="n"/>
      <c r="J667" s="282" t="n"/>
      <c r="M667" s="282" t="n"/>
      <c r="P667" s="282" t="n"/>
      <c r="S667" s="282" t="n"/>
      <c r="V667" s="282" t="n"/>
      <c r="Y667" s="282" t="n"/>
      <c r="AB667" s="282" t="n"/>
      <c r="AC667" s="537" t="n"/>
      <c r="AD667" s="537" t="n"/>
      <c r="AE667" s="282" t="n"/>
      <c r="AF667" s="537" t="n"/>
      <c r="AG667" s="537" t="n"/>
      <c r="AI667" s="537" t="n"/>
      <c r="AJ667" s="537" t="n"/>
      <c r="AK667" s="282" t="n"/>
      <c r="AL667" s="286" t="n"/>
      <c r="AM667" s="286" t="n"/>
      <c r="AN667" s="282" t="n"/>
    </row>
    <row customHeight="1" ht="15.75" r="668" s="452" spans="1:41">
      <c r="A668" s="44" t="n"/>
      <c r="G668" s="282" t="n"/>
      <c r="J668" s="282" t="n"/>
      <c r="M668" s="282" t="n"/>
      <c r="P668" s="282" t="n"/>
      <c r="S668" s="282" t="n"/>
      <c r="V668" s="282" t="n"/>
      <c r="Y668" s="282" t="n"/>
      <c r="AB668" s="282" t="n"/>
      <c r="AC668" s="537" t="n"/>
      <c r="AD668" s="537" t="n"/>
      <c r="AE668" s="282" t="n"/>
      <c r="AF668" s="537" t="n"/>
      <c r="AG668" s="537" t="n"/>
      <c r="AI668" s="537" t="n"/>
      <c r="AJ668" s="537" t="n"/>
      <c r="AK668" s="282" t="n"/>
      <c r="AL668" s="286" t="n"/>
      <c r="AM668" s="286" t="n"/>
      <c r="AN668" s="282" t="n"/>
    </row>
    <row customHeight="1" ht="15.75" r="669" s="452" spans="1:41">
      <c r="A669" s="44" t="n"/>
      <c r="G669" s="282" t="n"/>
      <c r="J669" s="282" t="n"/>
      <c r="M669" s="282" t="n"/>
      <c r="P669" s="282" t="n"/>
      <c r="S669" s="282" t="n"/>
      <c r="V669" s="282" t="n"/>
      <c r="Y669" s="282" t="n"/>
      <c r="AB669" s="282" t="n"/>
      <c r="AC669" s="537" t="n"/>
      <c r="AD669" s="537" t="n"/>
      <c r="AE669" s="282" t="n"/>
      <c r="AF669" s="537" t="n"/>
      <c r="AG669" s="537" t="n"/>
      <c r="AI669" s="537" t="n"/>
      <c r="AJ669" s="537" t="n"/>
      <c r="AK669" s="282" t="n"/>
      <c r="AL669" s="286" t="n"/>
      <c r="AM669" s="286" t="n"/>
      <c r="AN669" s="282" t="n"/>
    </row>
    <row customHeight="1" ht="15.75" r="670" s="452" spans="1:41">
      <c r="A670" s="44" t="n"/>
      <c r="G670" s="282" t="n"/>
      <c r="J670" s="282" t="n"/>
      <c r="M670" s="282" t="n"/>
      <c r="P670" s="282" t="n"/>
      <c r="S670" s="282" t="n"/>
      <c r="V670" s="282" t="n"/>
      <c r="Y670" s="282" t="n"/>
      <c r="AB670" s="282" t="n"/>
      <c r="AC670" s="537" t="n"/>
      <c r="AD670" s="537" t="n"/>
      <c r="AE670" s="282" t="n"/>
      <c r="AF670" s="537" t="n"/>
      <c r="AG670" s="537" t="n"/>
      <c r="AI670" s="537" t="n"/>
      <c r="AJ670" s="537" t="n"/>
      <c r="AK670" s="282" t="n"/>
      <c r="AL670" s="286" t="n"/>
      <c r="AM670" s="286" t="n"/>
      <c r="AN670" s="282" t="n"/>
    </row>
    <row customHeight="1" ht="15.75" r="671" s="452" spans="1:41">
      <c r="A671" s="44" t="n"/>
      <c r="G671" s="282" t="n"/>
      <c r="J671" s="282" t="n"/>
      <c r="M671" s="282" t="n"/>
      <c r="P671" s="282" t="n"/>
      <c r="S671" s="282" t="n"/>
      <c r="V671" s="282" t="n"/>
      <c r="Y671" s="282" t="n"/>
      <c r="AB671" s="282" t="n"/>
      <c r="AC671" s="537" t="n"/>
      <c r="AD671" s="537" t="n"/>
      <c r="AE671" s="282" t="n"/>
      <c r="AF671" s="537" t="n"/>
      <c r="AG671" s="537" t="n"/>
      <c r="AI671" s="537" t="n"/>
      <c r="AJ671" s="537" t="n"/>
      <c r="AK671" s="282" t="n"/>
      <c r="AL671" s="286" t="n"/>
      <c r="AM671" s="286" t="n"/>
      <c r="AN671" s="282" t="n"/>
    </row>
    <row customHeight="1" ht="15.75" r="672" s="452" spans="1:41">
      <c r="A672" s="44" t="n"/>
      <c r="G672" s="282" t="n"/>
      <c r="J672" s="282" t="n"/>
      <c r="M672" s="282" t="n"/>
      <c r="P672" s="282" t="n"/>
      <c r="S672" s="282" t="n"/>
      <c r="V672" s="282" t="n"/>
      <c r="Y672" s="282" t="n"/>
      <c r="AB672" s="282" t="n"/>
      <c r="AC672" s="537" t="n"/>
      <c r="AD672" s="537" t="n"/>
      <c r="AE672" s="282" t="n"/>
      <c r="AF672" s="537" t="n"/>
      <c r="AG672" s="537" t="n"/>
      <c r="AI672" s="537" t="n"/>
      <c r="AJ672" s="537" t="n"/>
      <c r="AK672" s="282" t="n"/>
      <c r="AL672" s="286" t="n"/>
      <c r="AM672" s="286" t="n"/>
      <c r="AN672" s="282" t="n"/>
    </row>
    <row customHeight="1" ht="15.75" r="673" s="452" spans="1:41">
      <c r="A673" s="44" t="n"/>
      <c r="G673" s="282" t="n"/>
      <c r="J673" s="282" t="n"/>
      <c r="M673" s="282" t="n"/>
      <c r="P673" s="282" t="n"/>
      <c r="S673" s="282" t="n"/>
      <c r="V673" s="282" t="n"/>
      <c r="Y673" s="282" t="n"/>
      <c r="AB673" s="282" t="n"/>
      <c r="AC673" s="537" t="n"/>
      <c r="AD673" s="537" t="n"/>
      <c r="AE673" s="282" t="n"/>
      <c r="AF673" s="537" t="n"/>
      <c r="AG673" s="537" t="n"/>
      <c r="AI673" s="537" t="n"/>
      <c r="AJ673" s="537" t="n"/>
      <c r="AK673" s="282" t="n"/>
      <c r="AL673" s="286" t="n"/>
      <c r="AM673" s="286" t="n"/>
      <c r="AN673" s="282" t="n"/>
    </row>
    <row customHeight="1" ht="15.75" r="674" s="452" spans="1:41">
      <c r="A674" s="44" t="n"/>
      <c r="G674" s="282" t="n"/>
      <c r="J674" s="282" t="n"/>
      <c r="M674" s="282" t="n"/>
      <c r="P674" s="282" t="n"/>
      <c r="S674" s="282" t="n"/>
      <c r="V674" s="282" t="n"/>
      <c r="Y674" s="282" t="n"/>
      <c r="AB674" s="282" t="n"/>
      <c r="AC674" s="537" t="n"/>
      <c r="AD674" s="537" t="n"/>
      <c r="AE674" s="282" t="n"/>
      <c r="AF674" s="537" t="n"/>
      <c r="AG674" s="537" t="n"/>
      <c r="AI674" s="537" t="n"/>
      <c r="AJ674" s="537" t="n"/>
      <c r="AK674" s="282" t="n"/>
      <c r="AL674" s="286" t="n"/>
      <c r="AM674" s="286" t="n"/>
      <c r="AN674" s="282" t="n"/>
    </row>
    <row customHeight="1" ht="15.75" r="675" s="452" spans="1:41">
      <c r="A675" s="44" t="n"/>
      <c r="G675" s="282" t="n"/>
      <c r="J675" s="282" t="n"/>
      <c r="M675" s="282" t="n"/>
      <c r="P675" s="282" t="n"/>
      <c r="S675" s="282" t="n"/>
      <c r="V675" s="282" t="n"/>
      <c r="Y675" s="282" t="n"/>
      <c r="AB675" s="282" t="n"/>
      <c r="AC675" s="537" t="n"/>
      <c r="AD675" s="537" t="n"/>
      <c r="AE675" s="282" t="n"/>
      <c r="AF675" s="537" t="n"/>
      <c r="AG675" s="537" t="n"/>
      <c r="AI675" s="537" t="n"/>
      <c r="AJ675" s="537" t="n"/>
      <c r="AK675" s="282" t="n"/>
      <c r="AL675" s="286" t="n"/>
      <c r="AM675" s="286" t="n"/>
      <c r="AN675" s="282" t="n"/>
    </row>
    <row customHeight="1" ht="15.75" r="676" s="452" spans="1:41">
      <c r="A676" s="44" t="n"/>
      <c r="G676" s="282" t="n"/>
      <c r="J676" s="282" t="n"/>
      <c r="M676" s="282" t="n"/>
      <c r="P676" s="282" t="n"/>
      <c r="S676" s="282" t="n"/>
      <c r="V676" s="282" t="n"/>
      <c r="Y676" s="282" t="n"/>
      <c r="AB676" s="282" t="n"/>
      <c r="AC676" s="537" t="n"/>
      <c r="AD676" s="537" t="n"/>
      <c r="AE676" s="282" t="n"/>
      <c r="AF676" s="537" t="n"/>
      <c r="AG676" s="537" t="n"/>
      <c r="AI676" s="537" t="n"/>
      <c r="AJ676" s="537" t="n"/>
      <c r="AK676" s="282" t="n"/>
      <c r="AL676" s="286" t="n"/>
      <c r="AM676" s="286" t="n"/>
      <c r="AN676" s="282" t="n"/>
    </row>
    <row customHeight="1" ht="15.75" r="677" s="452" spans="1:41">
      <c r="A677" s="44" t="n"/>
      <c r="G677" s="282" t="n"/>
      <c r="J677" s="282" t="n"/>
      <c r="M677" s="282" t="n"/>
      <c r="P677" s="282" t="n"/>
      <c r="S677" s="282" t="n"/>
      <c r="V677" s="282" t="n"/>
      <c r="Y677" s="282" t="n"/>
      <c r="AB677" s="282" t="n"/>
      <c r="AC677" s="537" t="n"/>
      <c r="AD677" s="537" t="n"/>
      <c r="AE677" s="282" t="n"/>
      <c r="AF677" s="537" t="n"/>
      <c r="AG677" s="537" t="n"/>
      <c r="AI677" s="537" t="n"/>
      <c r="AJ677" s="537" t="n"/>
      <c r="AK677" s="282" t="n"/>
      <c r="AL677" s="286" t="n"/>
      <c r="AM677" s="286" t="n"/>
      <c r="AN677" s="282" t="n"/>
    </row>
    <row customHeight="1" ht="15.75" r="678" s="452" spans="1:41">
      <c r="A678" s="44" t="n"/>
      <c r="G678" s="282" t="n"/>
      <c r="J678" s="282" t="n"/>
      <c r="M678" s="282" t="n"/>
      <c r="P678" s="282" t="n"/>
      <c r="S678" s="282" t="n"/>
      <c r="V678" s="282" t="n"/>
      <c r="Y678" s="282" t="n"/>
      <c r="AB678" s="282" t="n"/>
      <c r="AC678" s="537" t="n"/>
      <c r="AD678" s="537" t="n"/>
      <c r="AE678" s="282" t="n"/>
      <c r="AF678" s="537" t="n"/>
      <c r="AG678" s="537" t="n"/>
      <c r="AI678" s="537" t="n"/>
      <c r="AJ678" s="537" t="n"/>
      <c r="AK678" s="282" t="n"/>
      <c r="AL678" s="286" t="n"/>
      <c r="AM678" s="286" t="n"/>
      <c r="AN678" s="282" t="n"/>
    </row>
    <row customHeight="1" ht="15.75" r="679" s="452" spans="1:41">
      <c r="A679" s="44" t="n"/>
      <c r="G679" s="282" t="n"/>
      <c r="J679" s="282" t="n"/>
      <c r="M679" s="282" t="n"/>
      <c r="P679" s="282" t="n"/>
      <c r="S679" s="282" t="n"/>
      <c r="V679" s="282" t="n"/>
      <c r="Y679" s="282" t="n"/>
      <c r="AB679" s="282" t="n"/>
      <c r="AC679" s="537" t="n"/>
      <c r="AD679" s="537" t="n"/>
      <c r="AE679" s="282" t="n"/>
      <c r="AF679" s="537" t="n"/>
      <c r="AG679" s="537" t="n"/>
      <c r="AI679" s="537" t="n"/>
      <c r="AJ679" s="537" t="n"/>
      <c r="AK679" s="282" t="n"/>
      <c r="AL679" s="286" t="n"/>
      <c r="AM679" s="286" t="n"/>
      <c r="AN679" s="282" t="n"/>
    </row>
    <row customHeight="1" ht="15.75" r="680" s="452" spans="1:41">
      <c r="A680" s="44" t="n"/>
      <c r="G680" s="282" t="n"/>
      <c r="J680" s="282" t="n"/>
      <c r="M680" s="282" t="n"/>
      <c r="P680" s="282" t="n"/>
      <c r="S680" s="282" t="n"/>
      <c r="V680" s="282" t="n"/>
      <c r="Y680" s="282" t="n"/>
      <c r="AB680" s="282" t="n"/>
      <c r="AC680" s="537" t="n"/>
      <c r="AD680" s="537" t="n"/>
      <c r="AE680" s="282" t="n"/>
      <c r="AF680" s="537" t="n"/>
      <c r="AG680" s="537" t="n"/>
      <c r="AI680" s="537" t="n"/>
      <c r="AJ680" s="537" t="n"/>
      <c r="AK680" s="282" t="n"/>
      <c r="AL680" s="286" t="n"/>
      <c r="AM680" s="286" t="n"/>
      <c r="AN680" s="282" t="n"/>
    </row>
    <row customHeight="1" ht="15.75" r="681" s="452" spans="1:41">
      <c r="A681" s="44" t="n"/>
      <c r="G681" s="282" t="n"/>
      <c r="J681" s="282" t="n"/>
      <c r="M681" s="282" t="n"/>
      <c r="P681" s="282" t="n"/>
      <c r="S681" s="282" t="n"/>
      <c r="V681" s="282" t="n"/>
      <c r="Y681" s="282" t="n"/>
      <c r="AB681" s="282" t="n"/>
      <c r="AC681" s="537" t="n"/>
      <c r="AD681" s="537" t="n"/>
      <c r="AE681" s="282" t="n"/>
      <c r="AF681" s="537" t="n"/>
      <c r="AG681" s="537" t="n"/>
      <c r="AI681" s="537" t="n"/>
      <c r="AJ681" s="537" t="n"/>
      <c r="AK681" s="282" t="n"/>
      <c r="AL681" s="286" t="n"/>
      <c r="AM681" s="286" t="n"/>
      <c r="AN681" s="282" t="n"/>
    </row>
    <row customHeight="1" ht="15.75" r="682" s="452" spans="1:41">
      <c r="A682" s="44" t="n"/>
      <c r="G682" s="282" t="n"/>
      <c r="J682" s="282" t="n"/>
      <c r="M682" s="282" t="n"/>
      <c r="P682" s="282" t="n"/>
      <c r="S682" s="282" t="n"/>
      <c r="V682" s="282" t="n"/>
      <c r="Y682" s="282" t="n"/>
      <c r="AB682" s="282" t="n"/>
      <c r="AC682" s="537" t="n"/>
      <c r="AD682" s="537" t="n"/>
      <c r="AE682" s="282" t="n"/>
      <c r="AF682" s="537" t="n"/>
      <c r="AG682" s="537" t="n"/>
      <c r="AI682" s="537" t="n"/>
      <c r="AJ682" s="537" t="n"/>
      <c r="AK682" s="282" t="n"/>
      <c r="AL682" s="286" t="n"/>
      <c r="AM682" s="286" t="n"/>
      <c r="AN682" s="282" t="n"/>
    </row>
    <row customHeight="1" ht="15.75" r="683" s="452" spans="1:41">
      <c r="A683" s="44" t="n"/>
      <c r="G683" s="282" t="n"/>
      <c r="J683" s="282" t="n"/>
      <c r="M683" s="282" t="n"/>
      <c r="P683" s="282" t="n"/>
      <c r="S683" s="282" t="n"/>
      <c r="V683" s="282" t="n"/>
      <c r="Y683" s="282" t="n"/>
      <c r="AB683" s="282" t="n"/>
      <c r="AC683" s="537" t="n"/>
      <c r="AD683" s="537" t="n"/>
      <c r="AE683" s="282" t="n"/>
      <c r="AF683" s="537" t="n"/>
      <c r="AG683" s="537" t="n"/>
      <c r="AI683" s="537" t="n"/>
      <c r="AJ683" s="537" t="n"/>
      <c r="AK683" s="282" t="n"/>
      <c r="AL683" s="286" t="n"/>
      <c r="AM683" s="286" t="n"/>
      <c r="AN683" s="282" t="n"/>
    </row>
    <row customHeight="1" ht="15.75" r="684" s="452" spans="1:41">
      <c r="A684" s="44" t="n"/>
      <c r="G684" s="282" t="n"/>
      <c r="J684" s="282" t="n"/>
      <c r="M684" s="282" t="n"/>
      <c r="P684" s="282" t="n"/>
      <c r="S684" s="282" t="n"/>
      <c r="V684" s="282" t="n"/>
      <c r="Y684" s="282" t="n"/>
      <c r="AB684" s="282" t="n"/>
      <c r="AC684" s="537" t="n"/>
      <c r="AD684" s="537" t="n"/>
      <c r="AE684" s="282" t="n"/>
      <c r="AF684" s="537" t="n"/>
      <c r="AG684" s="537" t="n"/>
      <c r="AI684" s="537" t="n"/>
      <c r="AJ684" s="537" t="n"/>
      <c r="AK684" s="282" t="n"/>
      <c r="AL684" s="286" t="n"/>
      <c r="AM684" s="286" t="n"/>
      <c r="AN684" s="282" t="n"/>
    </row>
    <row customHeight="1" ht="15.75" r="685" s="452" spans="1:41">
      <c r="A685" s="44" t="n"/>
      <c r="G685" s="282" t="n"/>
      <c r="J685" s="282" t="n"/>
      <c r="M685" s="282" t="n"/>
      <c r="P685" s="282" t="n"/>
      <c r="S685" s="282" t="n"/>
      <c r="V685" s="282" t="n"/>
      <c r="Y685" s="282" t="n"/>
      <c r="AB685" s="282" t="n"/>
      <c r="AC685" s="537" t="n"/>
      <c r="AD685" s="537" t="n"/>
      <c r="AE685" s="282" t="n"/>
      <c r="AF685" s="537" t="n"/>
      <c r="AG685" s="537" t="n"/>
      <c r="AI685" s="537" t="n"/>
      <c r="AJ685" s="537" t="n"/>
      <c r="AK685" s="282" t="n"/>
      <c r="AL685" s="286" t="n"/>
      <c r="AM685" s="286" t="n"/>
      <c r="AN685" s="282" t="n"/>
    </row>
    <row customHeight="1" ht="15.75" r="686" s="452" spans="1:41">
      <c r="A686" s="44" t="n"/>
      <c r="G686" s="282" t="n"/>
      <c r="J686" s="282" t="n"/>
      <c r="M686" s="282" t="n"/>
      <c r="P686" s="282" t="n"/>
      <c r="S686" s="282" t="n"/>
      <c r="V686" s="282" t="n"/>
      <c r="Y686" s="282" t="n"/>
      <c r="AB686" s="282" t="n"/>
      <c r="AC686" s="537" t="n"/>
      <c r="AD686" s="537" t="n"/>
      <c r="AE686" s="282" t="n"/>
      <c r="AF686" s="537" t="n"/>
      <c r="AG686" s="537" t="n"/>
      <c r="AI686" s="537" t="n"/>
      <c r="AJ686" s="537" t="n"/>
      <c r="AK686" s="282" t="n"/>
      <c r="AL686" s="286" t="n"/>
      <c r="AM686" s="286" t="n"/>
      <c r="AN686" s="282" t="n"/>
    </row>
    <row customHeight="1" ht="15.75" r="687" s="452" spans="1:41">
      <c r="A687" s="44" t="n"/>
      <c r="G687" s="282" t="n"/>
      <c r="J687" s="282" t="n"/>
      <c r="M687" s="282" t="n"/>
      <c r="P687" s="282" t="n"/>
      <c r="S687" s="282" t="n"/>
      <c r="V687" s="282" t="n"/>
      <c r="Y687" s="282" t="n"/>
      <c r="AB687" s="282" t="n"/>
      <c r="AC687" s="537" t="n"/>
      <c r="AD687" s="537" t="n"/>
      <c r="AE687" s="282" t="n"/>
      <c r="AF687" s="537" t="n"/>
      <c r="AG687" s="537" t="n"/>
      <c r="AI687" s="537" t="n"/>
      <c r="AJ687" s="537" t="n"/>
      <c r="AK687" s="282" t="n"/>
      <c r="AL687" s="286" t="n"/>
      <c r="AM687" s="286" t="n"/>
      <c r="AN687" s="282" t="n"/>
    </row>
    <row customHeight="1" ht="15.75" r="688" s="452" spans="1:41">
      <c r="A688" s="44" t="n"/>
      <c r="G688" s="282" t="n"/>
      <c r="J688" s="282" t="n"/>
      <c r="M688" s="282" t="n"/>
      <c r="P688" s="282" t="n"/>
      <c r="S688" s="282" t="n"/>
      <c r="V688" s="282" t="n"/>
      <c r="Y688" s="282" t="n"/>
      <c r="AB688" s="282" t="n"/>
      <c r="AC688" s="537" t="n"/>
      <c r="AD688" s="537" t="n"/>
      <c r="AE688" s="282" t="n"/>
      <c r="AF688" s="537" t="n"/>
      <c r="AG688" s="537" t="n"/>
      <c r="AI688" s="537" t="n"/>
      <c r="AJ688" s="537" t="n"/>
      <c r="AK688" s="282" t="n"/>
      <c r="AL688" s="286" t="n"/>
      <c r="AM688" s="286" t="n"/>
      <c r="AN688" s="282" t="n"/>
    </row>
    <row customHeight="1" ht="15.75" r="689" s="452" spans="1:41">
      <c r="A689" s="44" t="n"/>
      <c r="G689" s="282" t="n"/>
      <c r="J689" s="282" t="n"/>
      <c r="M689" s="282" t="n"/>
      <c r="P689" s="282" t="n"/>
      <c r="S689" s="282" t="n"/>
      <c r="V689" s="282" t="n"/>
      <c r="Y689" s="282" t="n"/>
      <c r="AB689" s="282" t="n"/>
      <c r="AC689" s="537" t="n"/>
      <c r="AD689" s="537" t="n"/>
      <c r="AE689" s="282" t="n"/>
      <c r="AF689" s="537" t="n"/>
      <c r="AG689" s="537" t="n"/>
      <c r="AI689" s="537" t="n"/>
      <c r="AJ689" s="537" t="n"/>
      <c r="AK689" s="282" t="n"/>
      <c r="AL689" s="286" t="n"/>
      <c r="AM689" s="286" t="n"/>
      <c r="AN689" s="282" t="n"/>
    </row>
    <row customHeight="1" ht="15.75" r="690" s="452" spans="1:41">
      <c r="A690" s="44" t="n"/>
      <c r="G690" s="282" t="n"/>
      <c r="J690" s="282" t="n"/>
      <c r="M690" s="282" t="n"/>
      <c r="P690" s="282" t="n"/>
      <c r="S690" s="282" t="n"/>
      <c r="V690" s="282" t="n"/>
      <c r="Y690" s="282" t="n"/>
      <c r="AB690" s="282" t="n"/>
      <c r="AC690" s="537" t="n"/>
      <c r="AD690" s="537" t="n"/>
      <c r="AE690" s="282" t="n"/>
      <c r="AF690" s="537" t="n"/>
      <c r="AG690" s="537" t="n"/>
      <c r="AI690" s="537" t="n"/>
      <c r="AJ690" s="537" t="n"/>
      <c r="AK690" s="282" t="n"/>
      <c r="AL690" s="286" t="n"/>
      <c r="AM690" s="286" t="n"/>
      <c r="AN690" s="282" t="n"/>
    </row>
    <row customHeight="1" ht="15.75" r="691" s="452" spans="1:41">
      <c r="A691" s="44" t="n"/>
      <c r="G691" s="282" t="n"/>
      <c r="J691" s="282" t="n"/>
      <c r="M691" s="282" t="n"/>
      <c r="P691" s="282" t="n"/>
      <c r="S691" s="282" t="n"/>
      <c r="V691" s="282" t="n"/>
      <c r="Y691" s="282" t="n"/>
      <c r="AB691" s="282" t="n"/>
      <c r="AC691" s="537" t="n"/>
      <c r="AD691" s="537" t="n"/>
      <c r="AE691" s="282" t="n"/>
      <c r="AF691" s="537" t="n"/>
      <c r="AG691" s="537" t="n"/>
      <c r="AI691" s="537" t="n"/>
      <c r="AJ691" s="537" t="n"/>
      <c r="AK691" s="282" t="n"/>
      <c r="AL691" s="286" t="n"/>
      <c r="AM691" s="286" t="n"/>
      <c r="AN691" s="282" t="n"/>
    </row>
    <row customHeight="1" ht="15.75" r="692" s="452" spans="1:41">
      <c r="A692" s="44" t="n"/>
      <c r="G692" s="282" t="n"/>
      <c r="J692" s="282" t="n"/>
      <c r="M692" s="282" t="n"/>
      <c r="P692" s="282" t="n"/>
      <c r="S692" s="282" t="n"/>
      <c r="V692" s="282" t="n"/>
      <c r="Y692" s="282" t="n"/>
      <c r="AB692" s="282" t="n"/>
      <c r="AC692" s="537" t="n"/>
      <c r="AD692" s="537" t="n"/>
      <c r="AE692" s="282" t="n"/>
      <c r="AF692" s="537" t="n"/>
      <c r="AG692" s="537" t="n"/>
      <c r="AI692" s="537" t="n"/>
      <c r="AJ692" s="537" t="n"/>
      <c r="AK692" s="282" t="n"/>
      <c r="AL692" s="286" t="n"/>
      <c r="AM692" s="286" t="n"/>
      <c r="AN692" s="282" t="n"/>
    </row>
    <row customHeight="1" ht="15.75" r="693" s="452" spans="1:41">
      <c r="A693" s="44" t="n"/>
      <c r="G693" s="282" t="n"/>
      <c r="J693" s="282" t="n"/>
      <c r="M693" s="282" t="n"/>
      <c r="P693" s="282" t="n"/>
      <c r="S693" s="282" t="n"/>
      <c r="V693" s="282" t="n"/>
      <c r="Y693" s="282" t="n"/>
      <c r="AB693" s="282" t="n"/>
      <c r="AC693" s="537" t="n"/>
      <c r="AD693" s="537" t="n"/>
      <c r="AE693" s="282" t="n"/>
      <c r="AF693" s="537" t="n"/>
      <c r="AG693" s="537" t="n"/>
      <c r="AI693" s="537" t="n"/>
      <c r="AJ693" s="537" t="n"/>
      <c r="AK693" s="282" t="n"/>
      <c r="AL693" s="286" t="n"/>
      <c r="AM693" s="286" t="n"/>
      <c r="AN693" s="282" t="n"/>
    </row>
    <row customHeight="1" ht="15.75" r="694" s="452" spans="1:41">
      <c r="A694" s="44" t="n"/>
      <c r="G694" s="282" t="n"/>
      <c r="J694" s="282" t="n"/>
      <c r="M694" s="282" t="n"/>
      <c r="P694" s="282" t="n"/>
      <c r="S694" s="282" t="n"/>
      <c r="V694" s="282" t="n"/>
      <c r="Y694" s="282" t="n"/>
      <c r="AB694" s="282" t="n"/>
      <c r="AC694" s="537" t="n"/>
      <c r="AD694" s="537" t="n"/>
      <c r="AE694" s="282" t="n"/>
      <c r="AF694" s="537" t="n"/>
      <c r="AG694" s="537" t="n"/>
      <c r="AI694" s="537" t="n"/>
      <c r="AJ694" s="537" t="n"/>
      <c r="AK694" s="282" t="n"/>
      <c r="AL694" s="286" t="n"/>
      <c r="AM694" s="286" t="n"/>
      <c r="AN694" s="282" t="n"/>
    </row>
    <row customHeight="1" ht="15.75" r="695" s="452" spans="1:41">
      <c r="A695" s="44" t="n"/>
      <c r="G695" s="282" t="n"/>
      <c r="J695" s="282" t="n"/>
      <c r="M695" s="282" t="n"/>
      <c r="P695" s="282" t="n"/>
      <c r="S695" s="282" t="n"/>
      <c r="V695" s="282" t="n"/>
      <c r="Y695" s="282" t="n"/>
      <c r="AB695" s="282" t="n"/>
      <c r="AC695" s="537" t="n"/>
      <c r="AD695" s="537" t="n"/>
      <c r="AE695" s="282" t="n"/>
      <c r="AF695" s="537" t="n"/>
      <c r="AG695" s="537" t="n"/>
      <c r="AI695" s="537" t="n"/>
      <c r="AJ695" s="537" t="n"/>
      <c r="AK695" s="282" t="n"/>
      <c r="AL695" s="286" t="n"/>
      <c r="AM695" s="286" t="n"/>
      <c r="AN695" s="282" t="n"/>
    </row>
    <row customHeight="1" ht="15.75" r="696" s="452" spans="1:41">
      <c r="A696" s="44" t="n"/>
      <c r="G696" s="282" t="n"/>
      <c r="J696" s="282" t="n"/>
      <c r="M696" s="282" t="n"/>
      <c r="P696" s="282" t="n"/>
      <c r="S696" s="282" t="n"/>
      <c r="V696" s="282" t="n"/>
      <c r="Y696" s="282" t="n"/>
      <c r="AB696" s="282" t="n"/>
      <c r="AC696" s="537" t="n"/>
      <c r="AD696" s="537" t="n"/>
      <c r="AE696" s="282" t="n"/>
      <c r="AF696" s="537" t="n"/>
      <c r="AG696" s="537" t="n"/>
      <c r="AI696" s="537" t="n"/>
      <c r="AJ696" s="537" t="n"/>
      <c r="AK696" s="282" t="n"/>
      <c r="AL696" s="286" t="n"/>
      <c r="AM696" s="286" t="n"/>
      <c r="AN696" s="282" t="n"/>
    </row>
    <row customHeight="1" ht="15.75" r="697" s="452" spans="1:41">
      <c r="A697" s="44" t="n"/>
      <c r="G697" s="282" t="n"/>
      <c r="J697" s="282" t="n"/>
      <c r="M697" s="282" t="n"/>
      <c r="P697" s="282" t="n"/>
      <c r="S697" s="282" t="n"/>
      <c r="V697" s="282" t="n"/>
      <c r="Y697" s="282" t="n"/>
      <c r="AB697" s="282" t="n"/>
      <c r="AC697" s="537" t="n"/>
      <c r="AD697" s="537" t="n"/>
      <c r="AE697" s="282" t="n"/>
      <c r="AF697" s="537" t="n"/>
      <c r="AG697" s="537" t="n"/>
      <c r="AI697" s="537" t="n"/>
      <c r="AJ697" s="537" t="n"/>
      <c r="AK697" s="282" t="n"/>
      <c r="AL697" s="286" t="n"/>
      <c r="AM697" s="286" t="n"/>
      <c r="AN697" s="282" t="n"/>
    </row>
    <row customHeight="1" ht="15.75" r="698" s="452" spans="1:41">
      <c r="A698" s="44" t="n"/>
      <c r="G698" s="282" t="n"/>
      <c r="J698" s="282" t="n"/>
      <c r="M698" s="282" t="n"/>
      <c r="P698" s="282" t="n"/>
      <c r="S698" s="282" t="n"/>
      <c r="V698" s="282" t="n"/>
      <c r="Y698" s="282" t="n"/>
      <c r="AB698" s="282" t="n"/>
      <c r="AC698" s="537" t="n"/>
      <c r="AD698" s="537" t="n"/>
      <c r="AE698" s="282" t="n"/>
      <c r="AF698" s="537" t="n"/>
      <c r="AG698" s="537" t="n"/>
      <c r="AI698" s="537" t="n"/>
      <c r="AJ698" s="537" t="n"/>
      <c r="AK698" s="282" t="n"/>
      <c r="AL698" s="286" t="n"/>
      <c r="AM698" s="286" t="n"/>
      <c r="AN698" s="282" t="n"/>
    </row>
    <row customHeight="1" ht="15.75" r="699" s="452" spans="1:41">
      <c r="A699" s="44" t="n"/>
      <c r="G699" s="282" t="n"/>
      <c r="J699" s="282" t="n"/>
      <c r="M699" s="282" t="n"/>
      <c r="P699" s="282" t="n"/>
      <c r="S699" s="282" t="n"/>
      <c r="V699" s="282" t="n"/>
      <c r="Y699" s="282" t="n"/>
      <c r="AB699" s="282" t="n"/>
      <c r="AC699" s="537" t="n"/>
      <c r="AD699" s="537" t="n"/>
      <c r="AE699" s="282" t="n"/>
      <c r="AF699" s="537" t="n"/>
      <c r="AG699" s="537" t="n"/>
      <c r="AI699" s="537" t="n"/>
      <c r="AJ699" s="537" t="n"/>
      <c r="AK699" s="282" t="n"/>
      <c r="AL699" s="286" t="n"/>
      <c r="AM699" s="286" t="n"/>
      <c r="AN699" s="282" t="n"/>
    </row>
    <row customHeight="1" ht="15.75" r="700" s="452" spans="1:41">
      <c r="A700" s="44" t="n"/>
      <c r="G700" s="282" t="n"/>
      <c r="J700" s="282" t="n"/>
      <c r="M700" s="282" t="n"/>
      <c r="P700" s="282" t="n"/>
      <c r="S700" s="282" t="n"/>
      <c r="V700" s="282" t="n"/>
      <c r="Y700" s="282" t="n"/>
      <c r="AB700" s="282" t="n"/>
      <c r="AC700" s="537" t="n"/>
      <c r="AD700" s="537" t="n"/>
      <c r="AE700" s="282" t="n"/>
      <c r="AF700" s="537" t="n"/>
      <c r="AG700" s="537" t="n"/>
      <c r="AI700" s="537" t="n"/>
      <c r="AJ700" s="537" t="n"/>
      <c r="AK700" s="282" t="n"/>
      <c r="AL700" s="286" t="n"/>
      <c r="AM700" s="286" t="n"/>
      <c r="AN700" s="282" t="n"/>
    </row>
    <row customHeight="1" ht="15.75" r="701" s="452" spans="1:41">
      <c r="A701" s="44" t="n"/>
      <c r="G701" s="282" t="n"/>
      <c r="J701" s="282" t="n"/>
      <c r="M701" s="282" t="n"/>
      <c r="P701" s="282" t="n"/>
      <c r="S701" s="282" t="n"/>
      <c r="V701" s="282" t="n"/>
      <c r="Y701" s="282" t="n"/>
      <c r="AB701" s="282" t="n"/>
      <c r="AC701" s="537" t="n"/>
      <c r="AD701" s="537" t="n"/>
      <c r="AE701" s="282" t="n"/>
      <c r="AF701" s="537" t="n"/>
      <c r="AG701" s="537" t="n"/>
      <c r="AI701" s="537" t="n"/>
      <c r="AJ701" s="537" t="n"/>
      <c r="AK701" s="282" t="n"/>
      <c r="AL701" s="286" t="n"/>
      <c r="AM701" s="286" t="n"/>
      <c r="AN701" s="282" t="n"/>
    </row>
    <row customHeight="1" ht="15.75" r="702" s="452" spans="1:41">
      <c r="A702" s="44" t="n"/>
      <c r="G702" s="282" t="n"/>
      <c r="J702" s="282" t="n"/>
      <c r="M702" s="282" t="n"/>
      <c r="P702" s="282" t="n"/>
      <c r="S702" s="282" t="n"/>
      <c r="V702" s="282" t="n"/>
      <c r="Y702" s="282" t="n"/>
      <c r="AB702" s="282" t="n"/>
      <c r="AC702" s="537" t="n"/>
      <c r="AD702" s="537" t="n"/>
      <c r="AE702" s="282" t="n"/>
      <c r="AF702" s="537" t="n"/>
      <c r="AG702" s="537" t="n"/>
      <c r="AI702" s="537" t="n"/>
      <c r="AJ702" s="537" t="n"/>
      <c r="AK702" s="282" t="n"/>
      <c r="AL702" s="286" t="n"/>
      <c r="AM702" s="286" t="n"/>
      <c r="AN702" s="282" t="n"/>
    </row>
    <row customHeight="1" ht="15.75" r="703" s="452" spans="1:41">
      <c r="A703" s="44" t="n"/>
      <c r="G703" s="282" t="n"/>
      <c r="J703" s="282" t="n"/>
      <c r="M703" s="282" t="n"/>
      <c r="P703" s="282" t="n"/>
      <c r="S703" s="282" t="n"/>
      <c r="V703" s="282" t="n"/>
      <c r="Y703" s="282" t="n"/>
      <c r="AB703" s="282" t="n"/>
      <c r="AC703" s="537" t="n"/>
      <c r="AD703" s="537" t="n"/>
      <c r="AE703" s="282" t="n"/>
      <c r="AF703" s="537" t="n"/>
      <c r="AG703" s="537" t="n"/>
      <c r="AI703" s="537" t="n"/>
      <c r="AJ703" s="537" t="n"/>
      <c r="AK703" s="282" t="n"/>
      <c r="AL703" s="286" t="n"/>
      <c r="AM703" s="286" t="n"/>
      <c r="AN703" s="282" t="n"/>
    </row>
    <row customHeight="1" ht="15.75" r="704" s="452" spans="1:41">
      <c r="A704" s="44" t="n"/>
      <c r="G704" s="282" t="n"/>
      <c r="J704" s="282" t="n"/>
      <c r="M704" s="282" t="n"/>
      <c r="P704" s="282" t="n"/>
      <c r="S704" s="282" t="n"/>
      <c r="V704" s="282" t="n"/>
      <c r="Y704" s="282" t="n"/>
      <c r="AB704" s="282" t="n"/>
      <c r="AC704" s="537" t="n"/>
      <c r="AD704" s="537" t="n"/>
      <c r="AE704" s="282" t="n"/>
      <c r="AF704" s="537" t="n"/>
      <c r="AG704" s="537" t="n"/>
      <c r="AI704" s="537" t="n"/>
      <c r="AJ704" s="537" t="n"/>
      <c r="AK704" s="282" t="n"/>
      <c r="AL704" s="286" t="n"/>
      <c r="AM704" s="286" t="n"/>
      <c r="AN704" s="282" t="n"/>
    </row>
    <row customHeight="1" ht="15.75" r="705" s="452" spans="1:41">
      <c r="A705" s="44" t="n"/>
      <c r="G705" s="282" t="n"/>
      <c r="J705" s="282" t="n"/>
      <c r="M705" s="282" t="n"/>
      <c r="P705" s="282" t="n"/>
      <c r="S705" s="282" t="n"/>
      <c r="V705" s="282" t="n"/>
      <c r="Y705" s="282" t="n"/>
      <c r="AB705" s="282" t="n"/>
      <c r="AC705" s="537" t="n"/>
      <c r="AD705" s="537" t="n"/>
      <c r="AE705" s="282" t="n"/>
      <c r="AF705" s="537" t="n"/>
      <c r="AG705" s="537" t="n"/>
      <c r="AI705" s="537" t="n"/>
      <c r="AJ705" s="537" t="n"/>
      <c r="AK705" s="282" t="n"/>
      <c r="AL705" s="286" t="n"/>
      <c r="AM705" s="286" t="n"/>
      <c r="AN705" s="282" t="n"/>
    </row>
    <row customHeight="1" ht="15.75" r="706" s="452" spans="1:41">
      <c r="A706" s="44" t="n"/>
      <c r="G706" s="282" t="n"/>
      <c r="J706" s="282" t="n"/>
      <c r="M706" s="282" t="n"/>
      <c r="P706" s="282" t="n"/>
      <c r="S706" s="282" t="n"/>
      <c r="V706" s="282" t="n"/>
      <c r="Y706" s="282" t="n"/>
      <c r="AB706" s="282" t="n"/>
      <c r="AC706" s="537" t="n"/>
      <c r="AD706" s="537" t="n"/>
      <c r="AE706" s="282" t="n"/>
      <c r="AF706" s="537" t="n"/>
      <c r="AG706" s="537" t="n"/>
      <c r="AI706" s="537" t="n"/>
      <c r="AJ706" s="537" t="n"/>
      <c r="AK706" s="282" t="n"/>
      <c r="AL706" s="286" t="n"/>
      <c r="AM706" s="286" t="n"/>
      <c r="AN706" s="282" t="n"/>
    </row>
    <row customHeight="1" ht="15.75" r="707" s="452" spans="1:41">
      <c r="A707" s="44" t="n"/>
      <c r="G707" s="282" t="n"/>
      <c r="J707" s="282" t="n"/>
      <c r="M707" s="282" t="n"/>
      <c r="P707" s="282" t="n"/>
      <c r="S707" s="282" t="n"/>
      <c r="V707" s="282" t="n"/>
      <c r="Y707" s="282" t="n"/>
      <c r="AB707" s="282" t="n"/>
      <c r="AC707" s="537" t="n"/>
      <c r="AD707" s="537" t="n"/>
      <c r="AE707" s="282" t="n"/>
      <c r="AF707" s="537" t="n"/>
      <c r="AG707" s="537" t="n"/>
      <c r="AI707" s="537" t="n"/>
      <c r="AJ707" s="537" t="n"/>
      <c r="AK707" s="282" t="n"/>
      <c r="AL707" s="286" t="n"/>
      <c r="AM707" s="286" t="n"/>
      <c r="AN707" s="282" t="n"/>
    </row>
    <row customHeight="1" ht="15.75" r="708" s="452" spans="1:41">
      <c r="A708" s="44" t="n"/>
      <c r="G708" s="282" t="n"/>
      <c r="J708" s="282" t="n"/>
      <c r="M708" s="282" t="n"/>
      <c r="P708" s="282" t="n"/>
      <c r="S708" s="282" t="n"/>
      <c r="V708" s="282" t="n"/>
      <c r="Y708" s="282" t="n"/>
      <c r="AB708" s="282" t="n"/>
      <c r="AC708" s="537" t="n"/>
      <c r="AD708" s="537" t="n"/>
      <c r="AE708" s="282" t="n"/>
      <c r="AF708" s="537" t="n"/>
      <c r="AG708" s="537" t="n"/>
      <c r="AI708" s="537" t="n"/>
      <c r="AJ708" s="537" t="n"/>
      <c r="AK708" s="282" t="n"/>
      <c r="AL708" s="286" t="n"/>
      <c r="AM708" s="286" t="n"/>
      <c r="AN708" s="282" t="n"/>
    </row>
    <row customHeight="1" ht="15.75" r="709" s="452" spans="1:41">
      <c r="A709" s="44" t="n"/>
      <c r="G709" s="282" t="n"/>
      <c r="J709" s="282" t="n"/>
      <c r="M709" s="282" t="n"/>
      <c r="P709" s="282" t="n"/>
      <c r="S709" s="282" t="n"/>
      <c r="V709" s="282" t="n"/>
      <c r="Y709" s="282" t="n"/>
      <c r="AB709" s="282" t="n"/>
      <c r="AC709" s="537" t="n"/>
      <c r="AD709" s="537" t="n"/>
      <c r="AE709" s="282" t="n"/>
      <c r="AF709" s="537" t="n"/>
      <c r="AG709" s="537" t="n"/>
      <c r="AI709" s="537" t="n"/>
      <c r="AJ709" s="537" t="n"/>
      <c r="AK709" s="282" t="n"/>
      <c r="AL709" s="286" t="n"/>
      <c r="AM709" s="286" t="n"/>
      <c r="AN709" s="282" t="n"/>
    </row>
    <row customHeight="1" ht="15.75" r="710" s="452" spans="1:41">
      <c r="A710" s="44" t="n"/>
      <c r="G710" s="282" t="n"/>
      <c r="J710" s="282" t="n"/>
      <c r="M710" s="282" t="n"/>
      <c r="P710" s="282" t="n"/>
      <c r="S710" s="282" t="n"/>
      <c r="V710" s="282" t="n"/>
      <c r="Y710" s="282" t="n"/>
      <c r="AB710" s="282" t="n"/>
      <c r="AC710" s="537" t="n"/>
      <c r="AD710" s="537" t="n"/>
      <c r="AE710" s="282" t="n"/>
      <c r="AF710" s="537" t="n"/>
      <c r="AG710" s="537" t="n"/>
      <c r="AI710" s="537" t="n"/>
      <c r="AJ710" s="537" t="n"/>
      <c r="AK710" s="282" t="n"/>
      <c r="AL710" s="286" t="n"/>
      <c r="AM710" s="286" t="n"/>
      <c r="AN710" s="282" t="n"/>
    </row>
    <row customHeight="1" ht="15.75" r="711" s="452" spans="1:41">
      <c r="A711" s="44" t="n"/>
      <c r="G711" s="282" t="n"/>
      <c r="J711" s="282" t="n"/>
      <c r="M711" s="282" t="n"/>
      <c r="P711" s="282" t="n"/>
      <c r="S711" s="282" t="n"/>
      <c r="V711" s="282" t="n"/>
      <c r="Y711" s="282" t="n"/>
      <c r="AB711" s="282" t="n"/>
      <c r="AC711" s="537" t="n"/>
      <c r="AD711" s="537" t="n"/>
      <c r="AE711" s="282" t="n"/>
      <c r="AF711" s="537" t="n"/>
      <c r="AG711" s="537" t="n"/>
      <c r="AI711" s="537" t="n"/>
      <c r="AJ711" s="537" t="n"/>
      <c r="AK711" s="282" t="n"/>
      <c r="AL711" s="286" t="n"/>
      <c r="AM711" s="286" t="n"/>
      <c r="AN711" s="282" t="n"/>
    </row>
    <row customHeight="1" ht="15.75" r="712" s="452" spans="1:41">
      <c r="A712" s="44" t="n"/>
      <c r="G712" s="282" t="n"/>
      <c r="J712" s="282" t="n"/>
      <c r="M712" s="282" t="n"/>
      <c r="P712" s="282" t="n"/>
      <c r="S712" s="282" t="n"/>
      <c r="V712" s="282" t="n"/>
      <c r="Y712" s="282" t="n"/>
      <c r="AB712" s="282" t="n"/>
      <c r="AC712" s="537" t="n"/>
      <c r="AD712" s="537" t="n"/>
      <c r="AE712" s="282" t="n"/>
      <c r="AF712" s="537" t="n"/>
      <c r="AG712" s="537" t="n"/>
      <c r="AI712" s="537" t="n"/>
      <c r="AJ712" s="537" t="n"/>
      <c r="AK712" s="282" t="n"/>
      <c r="AL712" s="286" t="n"/>
      <c r="AM712" s="286" t="n"/>
      <c r="AN712" s="282" t="n"/>
    </row>
    <row customHeight="1" ht="15.75" r="713" s="452" spans="1:41">
      <c r="A713" s="44" t="n"/>
      <c r="G713" s="282" t="n"/>
      <c r="J713" s="282" t="n"/>
      <c r="M713" s="282" t="n"/>
      <c r="P713" s="282" t="n"/>
      <c r="S713" s="282" t="n"/>
      <c r="V713" s="282" t="n"/>
      <c r="Y713" s="282" t="n"/>
      <c r="AB713" s="282" t="n"/>
      <c r="AC713" s="537" t="n"/>
      <c r="AD713" s="537" t="n"/>
      <c r="AE713" s="282" t="n"/>
      <c r="AF713" s="537" t="n"/>
      <c r="AG713" s="537" t="n"/>
      <c r="AI713" s="537" t="n"/>
      <c r="AJ713" s="537" t="n"/>
      <c r="AK713" s="282" t="n"/>
      <c r="AL713" s="286" t="n"/>
      <c r="AM713" s="286" t="n"/>
      <c r="AN713" s="282" t="n"/>
    </row>
    <row customHeight="1" ht="15.75" r="714" s="452" spans="1:41">
      <c r="A714" s="44" t="n"/>
      <c r="G714" s="282" t="n"/>
      <c r="J714" s="282" t="n"/>
      <c r="M714" s="282" t="n"/>
      <c r="P714" s="282" t="n"/>
      <c r="S714" s="282" t="n"/>
      <c r="V714" s="282" t="n"/>
      <c r="Y714" s="282" t="n"/>
      <c r="AB714" s="282" t="n"/>
      <c r="AC714" s="537" t="n"/>
      <c r="AD714" s="537" t="n"/>
      <c r="AE714" s="282" t="n"/>
      <c r="AF714" s="537" t="n"/>
      <c r="AG714" s="537" t="n"/>
      <c r="AI714" s="537" t="n"/>
      <c r="AJ714" s="537" t="n"/>
      <c r="AK714" s="282" t="n"/>
      <c r="AL714" s="286" t="n"/>
      <c r="AM714" s="286" t="n"/>
      <c r="AN714" s="282" t="n"/>
    </row>
    <row customHeight="1" ht="15.75" r="715" s="452" spans="1:41">
      <c r="A715" s="44" t="n"/>
      <c r="G715" s="282" t="n"/>
      <c r="J715" s="282" t="n"/>
      <c r="M715" s="282" t="n"/>
      <c r="P715" s="282" t="n"/>
      <c r="S715" s="282" t="n"/>
      <c r="V715" s="282" t="n"/>
      <c r="Y715" s="282" t="n"/>
      <c r="AB715" s="282" t="n"/>
      <c r="AC715" s="537" t="n"/>
      <c r="AD715" s="537" t="n"/>
      <c r="AE715" s="282" t="n"/>
      <c r="AF715" s="537" t="n"/>
      <c r="AG715" s="537" t="n"/>
      <c r="AI715" s="537" t="n"/>
      <c r="AJ715" s="537" t="n"/>
      <c r="AK715" s="282" t="n"/>
      <c r="AL715" s="286" t="n"/>
      <c r="AM715" s="286" t="n"/>
      <c r="AN715" s="282" t="n"/>
    </row>
    <row customHeight="1" ht="15.75" r="716" s="452" spans="1:41">
      <c r="A716" s="44" t="n"/>
      <c r="G716" s="282" t="n"/>
      <c r="J716" s="282" t="n"/>
      <c r="M716" s="282" t="n"/>
      <c r="P716" s="282" t="n"/>
      <c r="S716" s="282" t="n"/>
      <c r="V716" s="282" t="n"/>
      <c r="Y716" s="282" t="n"/>
      <c r="AB716" s="282" t="n"/>
      <c r="AC716" s="537" t="n"/>
      <c r="AD716" s="537" t="n"/>
      <c r="AE716" s="282" t="n"/>
      <c r="AF716" s="537" t="n"/>
      <c r="AG716" s="537" t="n"/>
      <c r="AI716" s="537" t="n"/>
      <c r="AJ716" s="537" t="n"/>
      <c r="AK716" s="282" t="n"/>
      <c r="AL716" s="286" t="n"/>
      <c r="AM716" s="286" t="n"/>
      <c r="AN716" s="282" t="n"/>
    </row>
    <row customHeight="1" ht="15.75" r="717" s="452" spans="1:41">
      <c r="A717" s="44" t="n"/>
      <c r="G717" s="282" t="n"/>
      <c r="J717" s="282" t="n"/>
      <c r="M717" s="282" t="n"/>
      <c r="P717" s="282" t="n"/>
      <c r="S717" s="282" t="n"/>
      <c r="V717" s="282" t="n"/>
      <c r="Y717" s="282" t="n"/>
      <c r="AB717" s="282" t="n"/>
      <c r="AC717" s="537" t="n"/>
      <c r="AD717" s="537" t="n"/>
      <c r="AE717" s="282" t="n"/>
      <c r="AF717" s="537" t="n"/>
      <c r="AG717" s="537" t="n"/>
      <c r="AI717" s="537" t="n"/>
      <c r="AJ717" s="537" t="n"/>
      <c r="AK717" s="282" t="n"/>
      <c r="AL717" s="286" t="n"/>
      <c r="AM717" s="286" t="n"/>
      <c r="AN717" s="282" t="n"/>
    </row>
    <row customHeight="1" ht="15.75" r="718" s="452" spans="1:41">
      <c r="A718" s="44" t="n"/>
      <c r="G718" s="282" t="n"/>
      <c r="J718" s="282" t="n"/>
      <c r="M718" s="282" t="n"/>
      <c r="P718" s="282" t="n"/>
      <c r="S718" s="282" t="n"/>
      <c r="V718" s="282" t="n"/>
      <c r="Y718" s="282" t="n"/>
      <c r="AB718" s="282" t="n"/>
      <c r="AC718" s="537" t="n"/>
      <c r="AD718" s="537" t="n"/>
      <c r="AE718" s="282" t="n"/>
      <c r="AF718" s="537" t="n"/>
      <c r="AG718" s="537" t="n"/>
      <c r="AI718" s="537" t="n"/>
      <c r="AJ718" s="537" t="n"/>
      <c r="AK718" s="282" t="n"/>
      <c r="AL718" s="286" t="n"/>
      <c r="AM718" s="286" t="n"/>
      <c r="AN718" s="282" t="n"/>
    </row>
    <row customHeight="1" ht="15.75" r="719" s="452" spans="1:41">
      <c r="A719" s="44" t="n"/>
      <c r="G719" s="282" t="n"/>
      <c r="J719" s="282" t="n"/>
      <c r="M719" s="282" t="n"/>
      <c r="P719" s="282" t="n"/>
      <c r="S719" s="282" t="n"/>
      <c r="V719" s="282" t="n"/>
      <c r="Y719" s="282" t="n"/>
      <c r="AB719" s="282" t="n"/>
      <c r="AC719" s="537" t="n"/>
      <c r="AD719" s="537" t="n"/>
      <c r="AE719" s="282" t="n"/>
      <c r="AF719" s="537" t="n"/>
      <c r="AG719" s="537" t="n"/>
      <c r="AI719" s="537" t="n"/>
      <c r="AJ719" s="537" t="n"/>
      <c r="AK719" s="282" t="n"/>
      <c r="AL719" s="286" t="n"/>
      <c r="AM719" s="286" t="n"/>
      <c r="AN719" s="282" t="n"/>
    </row>
    <row customHeight="1" ht="15.75" r="720" s="452" spans="1:41">
      <c r="A720" s="44" t="n"/>
      <c r="G720" s="282" t="n"/>
      <c r="J720" s="282" t="n"/>
      <c r="M720" s="282" t="n"/>
      <c r="P720" s="282" t="n"/>
      <c r="S720" s="282" t="n"/>
      <c r="V720" s="282" t="n"/>
      <c r="Y720" s="282" t="n"/>
      <c r="AB720" s="282" t="n"/>
      <c r="AC720" s="537" t="n"/>
      <c r="AD720" s="537" t="n"/>
      <c r="AE720" s="282" t="n"/>
      <c r="AF720" s="537" t="n"/>
      <c r="AG720" s="537" t="n"/>
      <c r="AI720" s="537" t="n"/>
      <c r="AJ720" s="537" t="n"/>
      <c r="AK720" s="282" t="n"/>
      <c r="AL720" s="286" t="n"/>
      <c r="AM720" s="286" t="n"/>
      <c r="AN720" s="282" t="n"/>
    </row>
    <row customHeight="1" ht="15.75" r="721" s="452" spans="1:41">
      <c r="A721" s="44" t="n"/>
      <c r="G721" s="282" t="n"/>
      <c r="J721" s="282" t="n"/>
      <c r="M721" s="282" t="n"/>
      <c r="P721" s="282" t="n"/>
      <c r="S721" s="282" t="n"/>
      <c r="V721" s="282" t="n"/>
      <c r="Y721" s="282" t="n"/>
      <c r="AB721" s="282" t="n"/>
      <c r="AC721" s="537" t="n"/>
      <c r="AD721" s="537" t="n"/>
      <c r="AE721" s="282" t="n"/>
      <c r="AF721" s="537" t="n"/>
      <c r="AG721" s="537" t="n"/>
      <c r="AI721" s="537" t="n"/>
      <c r="AJ721" s="537" t="n"/>
      <c r="AK721" s="282" t="n"/>
      <c r="AL721" s="286" t="n"/>
      <c r="AM721" s="286" t="n"/>
      <c r="AN721" s="282" t="n"/>
    </row>
    <row customHeight="1" ht="15.75" r="722" s="452" spans="1:41">
      <c r="A722" s="44" t="n"/>
      <c r="G722" s="282" t="n"/>
      <c r="J722" s="282" t="n"/>
      <c r="M722" s="282" t="n"/>
      <c r="P722" s="282" t="n"/>
      <c r="S722" s="282" t="n"/>
      <c r="V722" s="282" t="n"/>
      <c r="Y722" s="282" t="n"/>
      <c r="AB722" s="282" t="n"/>
      <c r="AC722" s="537" t="n"/>
      <c r="AD722" s="537" t="n"/>
      <c r="AE722" s="282" t="n"/>
      <c r="AF722" s="537" t="n"/>
      <c r="AG722" s="537" t="n"/>
      <c r="AI722" s="537" t="n"/>
      <c r="AJ722" s="537" t="n"/>
      <c r="AK722" s="282" t="n"/>
      <c r="AL722" s="286" t="n"/>
      <c r="AM722" s="286" t="n"/>
      <c r="AN722" s="282" t="n"/>
    </row>
    <row customHeight="1" ht="15.75" r="723" s="452" spans="1:41">
      <c r="A723" s="44" t="n"/>
      <c r="G723" s="282" t="n"/>
      <c r="J723" s="282" t="n"/>
      <c r="M723" s="282" t="n"/>
      <c r="P723" s="282" t="n"/>
      <c r="S723" s="282" t="n"/>
      <c r="V723" s="282" t="n"/>
      <c r="Y723" s="282" t="n"/>
      <c r="AB723" s="282" t="n"/>
      <c r="AC723" s="537" t="n"/>
      <c r="AD723" s="537" t="n"/>
      <c r="AE723" s="282" t="n"/>
      <c r="AF723" s="537" t="n"/>
      <c r="AG723" s="537" t="n"/>
      <c r="AI723" s="537" t="n"/>
      <c r="AJ723" s="537" t="n"/>
      <c r="AK723" s="282" t="n"/>
      <c r="AL723" s="286" t="n"/>
      <c r="AM723" s="286" t="n"/>
      <c r="AN723" s="282" t="n"/>
    </row>
    <row customHeight="1" ht="15.75" r="724" s="452" spans="1:41">
      <c r="A724" s="44" t="n"/>
      <c r="G724" s="282" t="n"/>
      <c r="J724" s="282" t="n"/>
      <c r="M724" s="282" t="n"/>
      <c r="P724" s="282" t="n"/>
      <c r="S724" s="282" t="n"/>
      <c r="V724" s="282" t="n"/>
      <c r="Y724" s="282" t="n"/>
      <c r="AB724" s="282" t="n"/>
      <c r="AC724" s="537" t="n"/>
      <c r="AD724" s="537" t="n"/>
      <c r="AE724" s="282" t="n"/>
      <c r="AF724" s="537" t="n"/>
      <c r="AG724" s="537" t="n"/>
      <c r="AI724" s="537" t="n"/>
      <c r="AJ724" s="537" t="n"/>
      <c r="AK724" s="282" t="n"/>
      <c r="AL724" s="286" t="n"/>
      <c r="AM724" s="286" t="n"/>
      <c r="AN724" s="282" t="n"/>
    </row>
    <row customHeight="1" ht="15.75" r="725" s="452" spans="1:41">
      <c r="A725" s="44" t="n"/>
      <c r="G725" s="282" t="n"/>
      <c r="J725" s="282" t="n"/>
      <c r="M725" s="282" t="n"/>
      <c r="P725" s="282" t="n"/>
      <c r="S725" s="282" t="n"/>
      <c r="V725" s="282" t="n"/>
      <c r="Y725" s="282" t="n"/>
      <c r="AB725" s="282" t="n"/>
      <c r="AC725" s="537" t="n"/>
      <c r="AD725" s="537" t="n"/>
      <c r="AE725" s="282" t="n"/>
      <c r="AF725" s="537" t="n"/>
      <c r="AG725" s="537" t="n"/>
      <c r="AI725" s="537" t="n"/>
      <c r="AJ725" s="537" t="n"/>
      <c r="AK725" s="282" t="n"/>
      <c r="AL725" s="286" t="n"/>
      <c r="AM725" s="286" t="n"/>
      <c r="AN725" s="282" t="n"/>
    </row>
    <row customHeight="1" ht="15.75" r="726" s="452" spans="1:41">
      <c r="A726" s="44" t="n"/>
      <c r="G726" s="282" t="n"/>
      <c r="J726" s="282" t="n"/>
      <c r="M726" s="282" t="n"/>
      <c r="P726" s="282" t="n"/>
      <c r="S726" s="282" t="n"/>
      <c r="V726" s="282" t="n"/>
      <c r="Y726" s="282" t="n"/>
      <c r="AB726" s="282" t="n"/>
      <c r="AC726" s="537" t="n"/>
      <c r="AD726" s="537" t="n"/>
      <c r="AE726" s="282" t="n"/>
      <c r="AF726" s="537" t="n"/>
      <c r="AG726" s="537" t="n"/>
      <c r="AI726" s="537" t="n"/>
      <c r="AJ726" s="537" t="n"/>
      <c r="AK726" s="282" t="n"/>
      <c r="AL726" s="286" t="n"/>
      <c r="AM726" s="286" t="n"/>
      <c r="AN726" s="282" t="n"/>
    </row>
    <row customHeight="1" ht="15.75" r="727" s="452" spans="1:41">
      <c r="A727" s="44" t="n"/>
      <c r="G727" s="282" t="n"/>
      <c r="J727" s="282" t="n"/>
      <c r="M727" s="282" t="n"/>
      <c r="P727" s="282" t="n"/>
      <c r="S727" s="282" t="n"/>
      <c r="V727" s="282" t="n"/>
      <c r="Y727" s="282" t="n"/>
      <c r="AB727" s="282" t="n"/>
      <c r="AC727" s="537" t="n"/>
      <c r="AD727" s="537" t="n"/>
      <c r="AE727" s="282" t="n"/>
      <c r="AF727" s="537" t="n"/>
      <c r="AG727" s="537" t="n"/>
      <c r="AI727" s="537" t="n"/>
      <c r="AJ727" s="537" t="n"/>
      <c r="AK727" s="282" t="n"/>
      <c r="AL727" s="286" t="n"/>
      <c r="AM727" s="286" t="n"/>
      <c r="AN727" s="282" t="n"/>
    </row>
    <row customHeight="1" ht="15.75" r="728" s="452" spans="1:41">
      <c r="A728" s="44" t="n"/>
      <c r="G728" s="282" t="n"/>
      <c r="J728" s="282" t="n"/>
      <c r="M728" s="282" t="n"/>
      <c r="P728" s="282" t="n"/>
      <c r="S728" s="282" t="n"/>
      <c r="V728" s="282" t="n"/>
      <c r="Y728" s="282" t="n"/>
      <c r="AB728" s="282" t="n"/>
      <c r="AC728" s="537" t="n"/>
      <c r="AD728" s="537" t="n"/>
      <c r="AE728" s="282" t="n"/>
      <c r="AF728" s="537" t="n"/>
      <c r="AG728" s="537" t="n"/>
      <c r="AI728" s="537" t="n"/>
      <c r="AJ728" s="537" t="n"/>
      <c r="AK728" s="282" t="n"/>
      <c r="AL728" s="286" t="n"/>
      <c r="AM728" s="286" t="n"/>
      <c r="AN728" s="282" t="n"/>
    </row>
    <row customHeight="1" ht="15.75" r="729" s="452" spans="1:41">
      <c r="A729" s="44" t="n"/>
      <c r="G729" s="282" t="n"/>
      <c r="J729" s="282" t="n"/>
      <c r="M729" s="282" t="n"/>
      <c r="P729" s="282" t="n"/>
      <c r="S729" s="282" t="n"/>
      <c r="V729" s="282" t="n"/>
      <c r="Y729" s="282" t="n"/>
      <c r="AB729" s="282" t="n"/>
      <c r="AC729" s="537" t="n"/>
      <c r="AD729" s="537" t="n"/>
      <c r="AE729" s="282" t="n"/>
      <c r="AF729" s="537" t="n"/>
      <c r="AG729" s="537" t="n"/>
      <c r="AI729" s="537" t="n"/>
      <c r="AJ729" s="537" t="n"/>
      <c r="AK729" s="282" t="n"/>
      <c r="AL729" s="286" t="n"/>
      <c r="AM729" s="286" t="n"/>
      <c r="AN729" s="282" t="n"/>
    </row>
    <row customHeight="1" ht="15.75" r="730" s="452" spans="1:41">
      <c r="A730" s="44" t="n"/>
      <c r="G730" s="282" t="n"/>
      <c r="J730" s="282" t="n"/>
      <c r="M730" s="282" t="n"/>
      <c r="P730" s="282" t="n"/>
      <c r="S730" s="282" t="n"/>
      <c r="V730" s="282" t="n"/>
      <c r="Y730" s="282" t="n"/>
      <c r="AB730" s="282" t="n"/>
      <c r="AC730" s="537" t="n"/>
      <c r="AD730" s="537" t="n"/>
      <c r="AE730" s="282" t="n"/>
      <c r="AF730" s="537" t="n"/>
      <c r="AG730" s="537" t="n"/>
      <c r="AI730" s="537" t="n"/>
      <c r="AJ730" s="537" t="n"/>
      <c r="AK730" s="282" t="n"/>
      <c r="AL730" s="286" t="n"/>
      <c r="AM730" s="286" t="n"/>
      <c r="AN730" s="282" t="n"/>
    </row>
    <row customHeight="1" ht="15.75" r="731" s="452" spans="1:41">
      <c r="A731" s="44" t="n"/>
      <c r="G731" s="282" t="n"/>
      <c r="J731" s="282" t="n"/>
      <c r="M731" s="282" t="n"/>
      <c r="P731" s="282" t="n"/>
      <c r="S731" s="282" t="n"/>
      <c r="V731" s="282" t="n"/>
      <c r="Y731" s="282" t="n"/>
      <c r="AB731" s="282" t="n"/>
      <c r="AC731" s="537" t="n"/>
      <c r="AD731" s="537" t="n"/>
      <c r="AE731" s="282" t="n"/>
      <c r="AF731" s="537" t="n"/>
      <c r="AG731" s="537" t="n"/>
      <c r="AI731" s="537" t="n"/>
      <c r="AJ731" s="537" t="n"/>
      <c r="AK731" s="282" t="n"/>
      <c r="AL731" s="286" t="n"/>
      <c r="AM731" s="286" t="n"/>
      <c r="AN731" s="282" t="n"/>
    </row>
    <row customHeight="1" ht="15.75" r="732" s="452" spans="1:41">
      <c r="A732" s="44" t="n"/>
      <c r="G732" s="282" t="n"/>
      <c r="J732" s="282" t="n"/>
      <c r="M732" s="282" t="n"/>
      <c r="P732" s="282" t="n"/>
      <c r="S732" s="282" t="n"/>
      <c r="V732" s="282" t="n"/>
      <c r="Y732" s="282" t="n"/>
      <c r="AB732" s="282" t="n"/>
      <c r="AC732" s="537" t="n"/>
      <c r="AD732" s="537" t="n"/>
      <c r="AE732" s="282" t="n"/>
      <c r="AF732" s="537" t="n"/>
      <c r="AG732" s="537" t="n"/>
      <c r="AI732" s="537" t="n"/>
      <c r="AJ732" s="537" t="n"/>
      <c r="AK732" s="282" t="n"/>
      <c r="AL732" s="286" t="n"/>
      <c r="AM732" s="286" t="n"/>
      <c r="AN732" s="282" t="n"/>
    </row>
    <row customHeight="1" ht="15.75" r="733" s="452" spans="1:41">
      <c r="A733" s="44" t="n"/>
      <c r="G733" s="282" t="n"/>
      <c r="J733" s="282" t="n"/>
      <c r="M733" s="282" t="n"/>
      <c r="P733" s="282" t="n"/>
      <c r="S733" s="282" t="n"/>
      <c r="V733" s="282" t="n"/>
      <c r="Y733" s="282" t="n"/>
      <c r="AB733" s="282" t="n"/>
      <c r="AC733" s="537" t="n"/>
      <c r="AD733" s="537" t="n"/>
      <c r="AE733" s="282" t="n"/>
      <c r="AF733" s="537" t="n"/>
      <c r="AG733" s="537" t="n"/>
      <c r="AI733" s="537" t="n"/>
      <c r="AJ733" s="537" t="n"/>
      <c r="AK733" s="282" t="n"/>
      <c r="AL733" s="286" t="n"/>
      <c r="AM733" s="286" t="n"/>
      <c r="AN733" s="282" t="n"/>
    </row>
    <row customHeight="1" ht="15.75" r="734" s="452" spans="1:41">
      <c r="A734" s="44" t="n"/>
      <c r="G734" s="282" t="n"/>
      <c r="J734" s="282" t="n"/>
      <c r="M734" s="282" t="n"/>
      <c r="P734" s="282" t="n"/>
      <c r="S734" s="282" t="n"/>
      <c r="V734" s="282" t="n"/>
      <c r="Y734" s="282" t="n"/>
      <c r="AB734" s="282" t="n"/>
      <c r="AC734" s="537" t="n"/>
      <c r="AD734" s="537" t="n"/>
      <c r="AE734" s="282" t="n"/>
      <c r="AF734" s="537" t="n"/>
      <c r="AG734" s="537" t="n"/>
      <c r="AI734" s="537" t="n"/>
      <c r="AJ734" s="537" t="n"/>
      <c r="AK734" s="282" t="n"/>
      <c r="AL734" s="286" t="n"/>
      <c r="AM734" s="286" t="n"/>
      <c r="AN734" s="282" t="n"/>
    </row>
    <row customHeight="1" ht="15.75" r="735" s="452" spans="1:41">
      <c r="A735" s="44" t="n"/>
      <c r="G735" s="282" t="n"/>
      <c r="J735" s="282" t="n"/>
      <c r="M735" s="282" t="n"/>
      <c r="P735" s="282" t="n"/>
      <c r="S735" s="282" t="n"/>
      <c r="V735" s="282" t="n"/>
      <c r="Y735" s="282" t="n"/>
      <c r="AB735" s="282" t="n"/>
      <c r="AC735" s="537" t="n"/>
      <c r="AD735" s="537" t="n"/>
      <c r="AE735" s="282" t="n"/>
      <c r="AF735" s="537" t="n"/>
      <c r="AG735" s="537" t="n"/>
      <c r="AI735" s="537" t="n"/>
      <c r="AJ735" s="537" t="n"/>
      <c r="AK735" s="282" t="n"/>
      <c r="AL735" s="286" t="n"/>
      <c r="AM735" s="286" t="n"/>
      <c r="AN735" s="282" t="n"/>
    </row>
    <row customHeight="1" ht="15.75" r="736" s="452" spans="1:41">
      <c r="A736" s="44" t="n"/>
      <c r="G736" s="282" t="n"/>
      <c r="J736" s="282" t="n"/>
      <c r="M736" s="282" t="n"/>
      <c r="P736" s="282" t="n"/>
      <c r="S736" s="282" t="n"/>
      <c r="V736" s="282" t="n"/>
      <c r="Y736" s="282" t="n"/>
      <c r="AB736" s="282" t="n"/>
      <c r="AC736" s="537" t="n"/>
      <c r="AD736" s="537" t="n"/>
      <c r="AE736" s="282" t="n"/>
      <c r="AF736" s="537" t="n"/>
      <c r="AG736" s="537" t="n"/>
      <c r="AI736" s="537" t="n"/>
      <c r="AJ736" s="537" t="n"/>
      <c r="AK736" s="282" t="n"/>
      <c r="AL736" s="286" t="n"/>
      <c r="AM736" s="286" t="n"/>
      <c r="AN736" s="282" t="n"/>
    </row>
    <row customHeight="1" ht="15.75" r="737" s="452" spans="1:41">
      <c r="A737" s="44" t="n"/>
      <c r="G737" s="282" t="n"/>
      <c r="J737" s="282" t="n"/>
      <c r="M737" s="282" t="n"/>
      <c r="P737" s="282" t="n"/>
      <c r="S737" s="282" t="n"/>
      <c r="V737" s="282" t="n"/>
      <c r="Y737" s="282" t="n"/>
      <c r="AB737" s="282" t="n"/>
      <c r="AC737" s="537" t="n"/>
      <c r="AD737" s="537" t="n"/>
      <c r="AE737" s="282" t="n"/>
      <c r="AF737" s="537" t="n"/>
      <c r="AG737" s="537" t="n"/>
      <c r="AI737" s="537" t="n"/>
      <c r="AJ737" s="537" t="n"/>
      <c r="AK737" s="282" t="n"/>
      <c r="AL737" s="286" t="n"/>
      <c r="AM737" s="286" t="n"/>
      <c r="AN737" s="282" t="n"/>
    </row>
    <row customHeight="1" ht="15.75" r="738" s="452" spans="1:41">
      <c r="A738" s="44" t="n"/>
      <c r="G738" s="282" t="n"/>
      <c r="J738" s="282" t="n"/>
      <c r="M738" s="282" t="n"/>
      <c r="P738" s="282" t="n"/>
      <c r="S738" s="282" t="n"/>
      <c r="V738" s="282" t="n"/>
      <c r="Y738" s="282" t="n"/>
      <c r="AB738" s="282" t="n"/>
      <c r="AC738" s="537" t="n"/>
      <c r="AD738" s="537" t="n"/>
      <c r="AE738" s="282" t="n"/>
      <c r="AF738" s="537" t="n"/>
      <c r="AG738" s="537" t="n"/>
      <c r="AI738" s="537" t="n"/>
      <c r="AJ738" s="537" t="n"/>
      <c r="AK738" s="282" t="n"/>
      <c r="AL738" s="286" t="n"/>
      <c r="AM738" s="286" t="n"/>
      <c r="AN738" s="282" t="n"/>
    </row>
    <row customHeight="1" ht="15.75" r="739" s="452" spans="1:41">
      <c r="A739" s="44" t="n"/>
      <c r="G739" s="282" t="n"/>
      <c r="J739" s="282" t="n"/>
      <c r="M739" s="282" t="n"/>
      <c r="P739" s="282" t="n"/>
      <c r="S739" s="282" t="n"/>
      <c r="V739" s="282" t="n"/>
      <c r="Y739" s="282" t="n"/>
      <c r="AB739" s="282" t="n"/>
      <c r="AC739" s="537" t="n"/>
      <c r="AD739" s="537" t="n"/>
      <c r="AE739" s="282" t="n"/>
      <c r="AF739" s="537" t="n"/>
      <c r="AG739" s="537" t="n"/>
      <c r="AI739" s="537" t="n"/>
      <c r="AJ739" s="537" t="n"/>
      <c r="AK739" s="282" t="n"/>
      <c r="AL739" s="286" t="n"/>
      <c r="AM739" s="286" t="n"/>
      <c r="AN739" s="282" t="n"/>
    </row>
    <row customHeight="1" ht="15.75" r="740" s="452" spans="1:41">
      <c r="A740" s="44" t="n"/>
      <c r="G740" s="282" t="n"/>
      <c r="J740" s="282" t="n"/>
      <c r="M740" s="282" t="n"/>
      <c r="P740" s="282" t="n"/>
      <c r="S740" s="282" t="n"/>
      <c r="V740" s="282" t="n"/>
      <c r="Y740" s="282" t="n"/>
      <c r="AB740" s="282" t="n"/>
      <c r="AC740" s="537" t="n"/>
      <c r="AD740" s="537" t="n"/>
      <c r="AE740" s="282" t="n"/>
      <c r="AF740" s="537" t="n"/>
      <c r="AG740" s="537" t="n"/>
      <c r="AI740" s="537" t="n"/>
      <c r="AJ740" s="537" t="n"/>
      <c r="AK740" s="282" t="n"/>
      <c r="AL740" s="286" t="n"/>
      <c r="AM740" s="286" t="n"/>
      <c r="AN740" s="282" t="n"/>
    </row>
    <row customHeight="1" ht="15.75" r="741" s="452" spans="1:41">
      <c r="A741" s="44" t="n"/>
      <c r="G741" s="282" t="n"/>
      <c r="J741" s="282" t="n"/>
      <c r="M741" s="282" t="n"/>
      <c r="P741" s="282" t="n"/>
      <c r="S741" s="282" t="n"/>
      <c r="V741" s="282" t="n"/>
      <c r="Y741" s="282" t="n"/>
      <c r="AB741" s="282" t="n"/>
      <c r="AC741" s="537" t="n"/>
      <c r="AD741" s="537" t="n"/>
      <c r="AE741" s="282" t="n"/>
      <c r="AF741" s="537" t="n"/>
      <c r="AG741" s="537" t="n"/>
      <c r="AI741" s="537" t="n"/>
      <c r="AJ741" s="537" t="n"/>
      <c r="AK741" s="282" t="n"/>
      <c r="AL741" s="286" t="n"/>
      <c r="AM741" s="286" t="n"/>
      <c r="AN741" s="282" t="n"/>
    </row>
    <row customHeight="1" ht="15.75" r="742" s="452" spans="1:41">
      <c r="A742" s="44" t="n"/>
      <c r="G742" s="282" t="n"/>
      <c r="J742" s="282" t="n"/>
      <c r="M742" s="282" t="n"/>
      <c r="P742" s="282" t="n"/>
      <c r="S742" s="282" t="n"/>
      <c r="V742" s="282" t="n"/>
      <c r="Y742" s="282" t="n"/>
      <c r="AB742" s="282" t="n"/>
      <c r="AC742" s="537" t="n"/>
      <c r="AD742" s="537" t="n"/>
      <c r="AE742" s="282" t="n"/>
      <c r="AF742" s="537" t="n"/>
      <c r="AG742" s="537" t="n"/>
      <c r="AI742" s="537" t="n"/>
      <c r="AJ742" s="537" t="n"/>
      <c r="AK742" s="282" t="n"/>
      <c r="AL742" s="286" t="n"/>
      <c r="AM742" s="286" t="n"/>
      <c r="AN742" s="282" t="n"/>
    </row>
    <row customHeight="1" ht="15.75" r="743" s="452" spans="1:41">
      <c r="A743" s="44" t="n"/>
      <c r="G743" s="282" t="n"/>
      <c r="J743" s="282" t="n"/>
      <c r="M743" s="282" t="n"/>
      <c r="P743" s="282" t="n"/>
      <c r="S743" s="282" t="n"/>
      <c r="V743" s="282" t="n"/>
      <c r="Y743" s="282" t="n"/>
      <c r="AB743" s="282" t="n"/>
      <c r="AC743" s="537" t="n"/>
      <c r="AD743" s="537" t="n"/>
      <c r="AE743" s="282" t="n"/>
      <c r="AF743" s="537" t="n"/>
      <c r="AG743" s="537" t="n"/>
      <c r="AI743" s="537" t="n"/>
      <c r="AJ743" s="537" t="n"/>
      <c r="AK743" s="282" t="n"/>
      <c r="AL743" s="286" t="n"/>
      <c r="AM743" s="286" t="n"/>
      <c r="AN743" s="282" t="n"/>
    </row>
    <row customHeight="1" ht="15.75" r="744" s="452" spans="1:41">
      <c r="A744" s="44" t="n"/>
      <c r="G744" s="282" t="n"/>
      <c r="J744" s="282" t="n"/>
      <c r="M744" s="282" t="n"/>
      <c r="P744" s="282" t="n"/>
      <c r="S744" s="282" t="n"/>
      <c r="V744" s="282" t="n"/>
      <c r="Y744" s="282" t="n"/>
      <c r="AB744" s="282" t="n"/>
      <c r="AC744" s="537" t="n"/>
      <c r="AD744" s="537" t="n"/>
      <c r="AE744" s="282" t="n"/>
      <c r="AF744" s="537" t="n"/>
      <c r="AG744" s="537" t="n"/>
      <c r="AI744" s="537" t="n"/>
      <c r="AJ744" s="537" t="n"/>
      <c r="AK744" s="282" t="n"/>
      <c r="AL744" s="286" t="n"/>
      <c r="AM744" s="286" t="n"/>
      <c r="AN744" s="282" t="n"/>
    </row>
    <row customHeight="1" ht="15.75" r="745" s="452" spans="1:41">
      <c r="A745" s="44" t="n"/>
      <c r="G745" s="282" t="n"/>
      <c r="J745" s="282" t="n"/>
      <c r="M745" s="282" t="n"/>
      <c r="P745" s="282" t="n"/>
      <c r="S745" s="282" t="n"/>
      <c r="V745" s="282" t="n"/>
      <c r="Y745" s="282" t="n"/>
      <c r="AB745" s="282" t="n"/>
      <c r="AC745" s="537" t="n"/>
      <c r="AD745" s="537" t="n"/>
      <c r="AE745" s="282" t="n"/>
      <c r="AF745" s="537" t="n"/>
      <c r="AG745" s="537" t="n"/>
      <c r="AI745" s="537" t="n"/>
      <c r="AJ745" s="537" t="n"/>
      <c r="AK745" s="282" t="n"/>
      <c r="AL745" s="286" t="n"/>
      <c r="AM745" s="286" t="n"/>
      <c r="AN745" s="282" t="n"/>
    </row>
    <row customHeight="1" ht="15.75" r="746" s="452" spans="1:41">
      <c r="A746" s="44" t="n"/>
      <c r="G746" s="282" t="n"/>
      <c r="J746" s="282" t="n"/>
      <c r="M746" s="282" t="n"/>
      <c r="P746" s="282" t="n"/>
      <c r="S746" s="282" t="n"/>
      <c r="V746" s="282" t="n"/>
      <c r="Y746" s="282" t="n"/>
      <c r="AB746" s="282" t="n"/>
      <c r="AC746" s="537" t="n"/>
      <c r="AD746" s="537" t="n"/>
      <c r="AE746" s="282" t="n"/>
      <c r="AF746" s="537" t="n"/>
      <c r="AG746" s="537" t="n"/>
      <c r="AI746" s="537" t="n"/>
      <c r="AJ746" s="537" t="n"/>
      <c r="AK746" s="282" t="n"/>
      <c r="AL746" s="286" t="n"/>
      <c r="AM746" s="286" t="n"/>
      <c r="AN746" s="282" t="n"/>
    </row>
    <row customHeight="1" ht="15.75" r="747" s="452" spans="1:41">
      <c r="A747" s="44" t="n"/>
      <c r="G747" s="282" t="n"/>
      <c r="J747" s="282" t="n"/>
      <c r="M747" s="282" t="n"/>
      <c r="P747" s="282" t="n"/>
      <c r="S747" s="282" t="n"/>
      <c r="V747" s="282" t="n"/>
      <c r="Y747" s="282" t="n"/>
      <c r="AB747" s="282" t="n"/>
      <c r="AC747" s="537" t="n"/>
      <c r="AD747" s="537" t="n"/>
      <c r="AE747" s="282" t="n"/>
      <c r="AF747" s="537" t="n"/>
      <c r="AG747" s="537" t="n"/>
      <c r="AI747" s="537" t="n"/>
      <c r="AJ747" s="537" t="n"/>
      <c r="AK747" s="282" t="n"/>
      <c r="AL747" s="286" t="n"/>
      <c r="AM747" s="286" t="n"/>
      <c r="AN747" s="282" t="n"/>
    </row>
    <row customHeight="1" ht="15.75" r="748" s="452" spans="1:41">
      <c r="A748" s="44" t="n"/>
      <c r="G748" s="282" t="n"/>
      <c r="J748" s="282" t="n"/>
      <c r="M748" s="282" t="n"/>
      <c r="P748" s="282" t="n"/>
      <c r="S748" s="282" t="n"/>
      <c r="V748" s="282" t="n"/>
      <c r="Y748" s="282" t="n"/>
      <c r="AB748" s="282" t="n"/>
      <c r="AC748" s="537" t="n"/>
      <c r="AD748" s="537" t="n"/>
      <c r="AE748" s="282" t="n"/>
      <c r="AF748" s="537" t="n"/>
      <c r="AG748" s="537" t="n"/>
      <c r="AI748" s="537" t="n"/>
      <c r="AJ748" s="537" t="n"/>
      <c r="AK748" s="282" t="n"/>
      <c r="AL748" s="286" t="n"/>
      <c r="AM748" s="286" t="n"/>
      <c r="AN748" s="282" t="n"/>
    </row>
    <row customHeight="1" ht="15.75" r="749" s="452" spans="1:41">
      <c r="A749" s="44" t="n"/>
      <c r="G749" s="282" t="n"/>
      <c r="J749" s="282" t="n"/>
      <c r="M749" s="282" t="n"/>
      <c r="P749" s="282" t="n"/>
      <c r="S749" s="282" t="n"/>
      <c r="V749" s="282" t="n"/>
      <c r="Y749" s="282" t="n"/>
      <c r="AB749" s="282" t="n"/>
      <c r="AC749" s="537" t="n"/>
      <c r="AD749" s="537" t="n"/>
      <c r="AE749" s="282" t="n"/>
      <c r="AF749" s="537" t="n"/>
      <c r="AG749" s="537" t="n"/>
      <c r="AI749" s="537" t="n"/>
      <c r="AJ749" s="537" t="n"/>
      <c r="AK749" s="282" t="n"/>
      <c r="AL749" s="286" t="n"/>
      <c r="AM749" s="286" t="n"/>
      <c r="AN749" s="282" t="n"/>
    </row>
    <row customHeight="1" ht="15.75" r="750" s="452" spans="1:41">
      <c r="A750" s="44" t="n"/>
      <c r="G750" s="282" t="n"/>
      <c r="J750" s="282" t="n"/>
      <c r="M750" s="282" t="n"/>
      <c r="P750" s="282" t="n"/>
      <c r="S750" s="282" t="n"/>
      <c r="V750" s="282" t="n"/>
      <c r="Y750" s="282" t="n"/>
      <c r="AB750" s="282" t="n"/>
      <c r="AC750" s="537" t="n"/>
      <c r="AD750" s="537" t="n"/>
      <c r="AE750" s="282" t="n"/>
      <c r="AF750" s="537" t="n"/>
      <c r="AG750" s="537" t="n"/>
      <c r="AI750" s="537" t="n"/>
      <c r="AJ750" s="537" t="n"/>
      <c r="AK750" s="282" t="n"/>
      <c r="AL750" s="286" t="n"/>
      <c r="AM750" s="286" t="n"/>
      <c r="AN750" s="282" t="n"/>
    </row>
    <row customHeight="1" ht="15.75" r="751" s="452" spans="1:41">
      <c r="A751" s="44" t="n"/>
      <c r="G751" s="282" t="n"/>
      <c r="J751" s="282" t="n"/>
      <c r="M751" s="282" t="n"/>
      <c r="P751" s="282" t="n"/>
      <c r="S751" s="282" t="n"/>
      <c r="V751" s="282" t="n"/>
      <c r="Y751" s="282" t="n"/>
      <c r="AB751" s="282" t="n"/>
      <c r="AC751" s="537" t="n"/>
      <c r="AD751" s="537" t="n"/>
      <c r="AE751" s="282" t="n"/>
      <c r="AF751" s="537" t="n"/>
      <c r="AG751" s="537" t="n"/>
      <c r="AI751" s="537" t="n"/>
      <c r="AJ751" s="537" t="n"/>
      <c r="AK751" s="282" t="n"/>
      <c r="AL751" s="286" t="n"/>
      <c r="AM751" s="286" t="n"/>
      <c r="AN751" s="282" t="n"/>
    </row>
    <row customHeight="1" ht="15.75" r="752" s="452" spans="1:41">
      <c r="A752" s="44" t="n"/>
      <c r="G752" s="282" t="n"/>
      <c r="J752" s="282" t="n"/>
      <c r="M752" s="282" t="n"/>
      <c r="P752" s="282" t="n"/>
      <c r="S752" s="282" t="n"/>
      <c r="V752" s="282" t="n"/>
      <c r="Y752" s="282" t="n"/>
      <c r="AB752" s="282" t="n"/>
      <c r="AC752" s="537" t="n"/>
      <c r="AD752" s="537" t="n"/>
      <c r="AE752" s="282" t="n"/>
      <c r="AF752" s="537" t="n"/>
      <c r="AG752" s="537" t="n"/>
      <c r="AI752" s="537" t="n"/>
      <c r="AJ752" s="537" t="n"/>
      <c r="AK752" s="282" t="n"/>
      <c r="AL752" s="286" t="n"/>
      <c r="AM752" s="286" t="n"/>
      <c r="AN752" s="282" t="n"/>
    </row>
    <row customHeight="1" ht="15.75" r="753" s="452" spans="1:41">
      <c r="A753" s="44" t="n"/>
      <c r="G753" s="282" t="n"/>
      <c r="J753" s="282" t="n"/>
      <c r="M753" s="282" t="n"/>
      <c r="P753" s="282" t="n"/>
      <c r="S753" s="282" t="n"/>
      <c r="V753" s="282" t="n"/>
      <c r="Y753" s="282" t="n"/>
      <c r="AB753" s="282" t="n"/>
      <c r="AC753" s="537" t="n"/>
      <c r="AD753" s="537" t="n"/>
      <c r="AE753" s="282" t="n"/>
      <c r="AF753" s="537" t="n"/>
      <c r="AG753" s="537" t="n"/>
      <c r="AI753" s="537" t="n"/>
      <c r="AJ753" s="537" t="n"/>
      <c r="AK753" s="282" t="n"/>
      <c r="AL753" s="286" t="n"/>
      <c r="AM753" s="286" t="n"/>
      <c r="AN753" s="282" t="n"/>
    </row>
    <row customHeight="1" ht="15.75" r="754" s="452" spans="1:41">
      <c r="A754" s="44" t="n"/>
      <c r="G754" s="282" t="n"/>
      <c r="J754" s="282" t="n"/>
      <c r="M754" s="282" t="n"/>
      <c r="P754" s="282" t="n"/>
      <c r="S754" s="282" t="n"/>
      <c r="V754" s="282" t="n"/>
      <c r="Y754" s="282" t="n"/>
      <c r="AB754" s="282" t="n"/>
      <c r="AC754" s="537" t="n"/>
      <c r="AD754" s="537" t="n"/>
      <c r="AE754" s="282" t="n"/>
      <c r="AF754" s="537" t="n"/>
      <c r="AG754" s="537" t="n"/>
      <c r="AI754" s="537" t="n"/>
      <c r="AJ754" s="537" t="n"/>
      <c r="AK754" s="282" t="n"/>
      <c r="AL754" s="286" t="n"/>
      <c r="AM754" s="286" t="n"/>
      <c r="AN754" s="282" t="n"/>
    </row>
    <row customHeight="1" ht="15.75" r="755" s="452" spans="1:41">
      <c r="A755" s="44" t="n"/>
      <c r="G755" s="282" t="n"/>
      <c r="J755" s="282" t="n"/>
      <c r="M755" s="282" t="n"/>
      <c r="P755" s="282" t="n"/>
      <c r="S755" s="282" t="n"/>
      <c r="V755" s="282" t="n"/>
      <c r="Y755" s="282" t="n"/>
      <c r="AB755" s="282" t="n"/>
      <c r="AC755" s="537" t="n"/>
      <c r="AD755" s="537" t="n"/>
      <c r="AE755" s="282" t="n"/>
      <c r="AF755" s="537" t="n"/>
      <c r="AG755" s="537" t="n"/>
      <c r="AI755" s="537" t="n"/>
      <c r="AJ755" s="537" t="n"/>
      <c r="AK755" s="282" t="n"/>
      <c r="AL755" s="286" t="n"/>
      <c r="AM755" s="286" t="n"/>
      <c r="AN755" s="282" t="n"/>
    </row>
    <row customHeight="1" ht="15.75" r="756" s="452" spans="1:41">
      <c r="A756" s="44" t="n"/>
      <c r="G756" s="282" t="n"/>
      <c r="J756" s="282" t="n"/>
      <c r="M756" s="282" t="n"/>
      <c r="P756" s="282" t="n"/>
      <c r="S756" s="282" t="n"/>
      <c r="V756" s="282" t="n"/>
      <c r="Y756" s="282" t="n"/>
      <c r="AB756" s="282" t="n"/>
      <c r="AC756" s="537" t="n"/>
      <c r="AD756" s="537" t="n"/>
      <c r="AE756" s="282" t="n"/>
      <c r="AF756" s="537" t="n"/>
      <c r="AG756" s="537" t="n"/>
      <c r="AI756" s="537" t="n"/>
      <c r="AJ756" s="537" t="n"/>
      <c r="AK756" s="282" t="n"/>
      <c r="AL756" s="286" t="n"/>
      <c r="AM756" s="286" t="n"/>
      <c r="AN756" s="282" t="n"/>
    </row>
    <row customHeight="1" ht="15.75" r="757" s="452" spans="1:41">
      <c r="A757" s="44" t="n"/>
      <c r="G757" s="282" t="n"/>
      <c r="J757" s="282" t="n"/>
      <c r="M757" s="282" t="n"/>
      <c r="P757" s="282" t="n"/>
      <c r="S757" s="282" t="n"/>
      <c r="V757" s="282" t="n"/>
      <c r="Y757" s="282" t="n"/>
      <c r="AB757" s="282" t="n"/>
      <c r="AC757" s="537" t="n"/>
      <c r="AD757" s="537" t="n"/>
      <c r="AE757" s="282" t="n"/>
      <c r="AF757" s="537" t="n"/>
      <c r="AG757" s="537" t="n"/>
      <c r="AI757" s="537" t="n"/>
      <c r="AJ757" s="537" t="n"/>
      <c r="AK757" s="282" t="n"/>
      <c r="AL757" s="286" t="n"/>
      <c r="AM757" s="286" t="n"/>
      <c r="AN757" s="282" t="n"/>
    </row>
    <row customHeight="1" ht="15.75" r="758" s="452" spans="1:41">
      <c r="A758" s="44" t="n"/>
      <c r="G758" s="282" t="n"/>
      <c r="J758" s="282" t="n"/>
      <c r="M758" s="282" t="n"/>
      <c r="P758" s="282" t="n"/>
      <c r="S758" s="282" t="n"/>
      <c r="V758" s="282" t="n"/>
      <c r="Y758" s="282" t="n"/>
      <c r="AB758" s="282" t="n"/>
      <c r="AC758" s="537" t="n"/>
      <c r="AD758" s="537" t="n"/>
      <c r="AE758" s="282" t="n"/>
      <c r="AF758" s="537" t="n"/>
      <c r="AG758" s="537" t="n"/>
      <c r="AI758" s="537" t="n"/>
      <c r="AJ758" s="537" t="n"/>
      <c r="AK758" s="282" t="n"/>
      <c r="AL758" s="286" t="n"/>
      <c r="AM758" s="286" t="n"/>
      <c r="AN758" s="282" t="n"/>
    </row>
    <row customHeight="1" ht="15.75" r="759" s="452" spans="1:41">
      <c r="A759" s="44" t="n"/>
      <c r="G759" s="282" t="n"/>
      <c r="J759" s="282" t="n"/>
      <c r="M759" s="282" t="n"/>
      <c r="P759" s="282" t="n"/>
      <c r="S759" s="282" t="n"/>
      <c r="V759" s="282" t="n"/>
      <c r="Y759" s="282" t="n"/>
      <c r="AB759" s="282" t="n"/>
      <c r="AC759" s="537" t="n"/>
      <c r="AD759" s="537" t="n"/>
      <c r="AE759" s="282" t="n"/>
      <c r="AF759" s="537" t="n"/>
      <c r="AG759" s="537" t="n"/>
      <c r="AI759" s="537" t="n"/>
      <c r="AJ759" s="537" t="n"/>
      <c r="AK759" s="282" t="n"/>
      <c r="AL759" s="286" t="n"/>
      <c r="AM759" s="286" t="n"/>
      <c r="AN759" s="282" t="n"/>
    </row>
    <row customHeight="1" ht="15.75" r="760" s="452" spans="1:41">
      <c r="A760" s="44" t="n"/>
      <c r="G760" s="282" t="n"/>
      <c r="J760" s="282" t="n"/>
      <c r="M760" s="282" t="n"/>
      <c r="P760" s="282" t="n"/>
      <c r="S760" s="282" t="n"/>
      <c r="V760" s="282" t="n"/>
      <c r="Y760" s="282" t="n"/>
      <c r="AB760" s="282" t="n"/>
      <c r="AC760" s="537" t="n"/>
      <c r="AD760" s="537" t="n"/>
      <c r="AE760" s="282" t="n"/>
      <c r="AF760" s="537" t="n"/>
      <c r="AG760" s="537" t="n"/>
      <c r="AI760" s="537" t="n"/>
      <c r="AJ760" s="537" t="n"/>
      <c r="AK760" s="282" t="n"/>
      <c r="AL760" s="286" t="n"/>
      <c r="AM760" s="286" t="n"/>
      <c r="AN760" s="282" t="n"/>
    </row>
    <row customHeight="1" ht="15.75" r="761" s="452" spans="1:41">
      <c r="A761" s="44" t="n"/>
      <c r="G761" s="282" t="n"/>
      <c r="J761" s="282" t="n"/>
      <c r="M761" s="282" t="n"/>
      <c r="P761" s="282" t="n"/>
      <c r="S761" s="282" t="n"/>
      <c r="V761" s="282" t="n"/>
      <c r="Y761" s="282" t="n"/>
      <c r="AB761" s="282" t="n"/>
      <c r="AC761" s="537" t="n"/>
      <c r="AD761" s="537" t="n"/>
      <c r="AE761" s="282" t="n"/>
      <c r="AF761" s="537" t="n"/>
      <c r="AG761" s="537" t="n"/>
      <c r="AI761" s="537" t="n"/>
      <c r="AJ761" s="537" t="n"/>
      <c r="AK761" s="282" t="n"/>
      <c r="AL761" s="286" t="n"/>
      <c r="AM761" s="286" t="n"/>
      <c r="AN761" s="282" t="n"/>
    </row>
    <row customHeight="1" ht="15.75" r="762" s="452" spans="1:41">
      <c r="A762" s="44" t="n"/>
      <c r="G762" s="282" t="n"/>
      <c r="J762" s="282" t="n"/>
      <c r="M762" s="282" t="n"/>
      <c r="P762" s="282" t="n"/>
      <c r="S762" s="282" t="n"/>
      <c r="V762" s="282" t="n"/>
      <c r="Y762" s="282" t="n"/>
      <c r="AB762" s="282" t="n"/>
      <c r="AC762" s="537" t="n"/>
      <c r="AD762" s="537" t="n"/>
      <c r="AE762" s="282" t="n"/>
      <c r="AF762" s="537" t="n"/>
      <c r="AG762" s="537" t="n"/>
      <c r="AI762" s="537" t="n"/>
      <c r="AJ762" s="537" t="n"/>
      <c r="AK762" s="282" t="n"/>
      <c r="AL762" s="286" t="n"/>
      <c r="AM762" s="286" t="n"/>
      <c r="AN762" s="282" t="n"/>
    </row>
    <row customHeight="1" ht="15.75" r="763" s="452" spans="1:41">
      <c r="A763" s="44" t="n"/>
      <c r="G763" s="282" t="n"/>
      <c r="J763" s="282" t="n"/>
      <c r="M763" s="282" t="n"/>
      <c r="P763" s="282" t="n"/>
      <c r="S763" s="282" t="n"/>
      <c r="V763" s="282" t="n"/>
      <c r="Y763" s="282" t="n"/>
      <c r="AB763" s="282" t="n"/>
      <c r="AC763" s="537" t="n"/>
      <c r="AD763" s="537" t="n"/>
      <c r="AE763" s="282" t="n"/>
      <c r="AF763" s="537" t="n"/>
      <c r="AG763" s="537" t="n"/>
      <c r="AI763" s="537" t="n"/>
      <c r="AJ763" s="537" t="n"/>
      <c r="AK763" s="282" t="n"/>
      <c r="AL763" s="286" t="n"/>
      <c r="AM763" s="286" t="n"/>
      <c r="AN763" s="282" t="n"/>
    </row>
    <row customHeight="1" ht="15.75" r="764" s="452" spans="1:41">
      <c r="A764" s="44" t="n"/>
      <c r="G764" s="282" t="n"/>
      <c r="J764" s="282" t="n"/>
      <c r="M764" s="282" t="n"/>
      <c r="P764" s="282" t="n"/>
      <c r="S764" s="282" t="n"/>
      <c r="V764" s="282" t="n"/>
      <c r="Y764" s="282" t="n"/>
      <c r="AB764" s="282" t="n"/>
      <c r="AC764" s="537" t="n"/>
      <c r="AD764" s="537" t="n"/>
      <c r="AE764" s="282" t="n"/>
      <c r="AF764" s="537" t="n"/>
      <c r="AG764" s="537" t="n"/>
      <c r="AI764" s="537" t="n"/>
      <c r="AJ764" s="537" t="n"/>
      <c r="AK764" s="282" t="n"/>
      <c r="AL764" s="286" t="n"/>
      <c r="AM764" s="286" t="n"/>
      <c r="AN764" s="282" t="n"/>
    </row>
    <row customHeight="1" ht="15.75" r="765" s="452" spans="1:41">
      <c r="A765" s="44" t="n"/>
      <c r="G765" s="282" t="n"/>
      <c r="J765" s="282" t="n"/>
      <c r="M765" s="282" t="n"/>
      <c r="P765" s="282" t="n"/>
      <c r="S765" s="282" t="n"/>
      <c r="V765" s="282" t="n"/>
      <c r="Y765" s="282" t="n"/>
      <c r="AB765" s="282" t="n"/>
      <c r="AC765" s="537" t="n"/>
      <c r="AD765" s="537" t="n"/>
      <c r="AE765" s="282" t="n"/>
      <c r="AF765" s="537" t="n"/>
      <c r="AG765" s="537" t="n"/>
      <c r="AI765" s="537" t="n"/>
      <c r="AJ765" s="537" t="n"/>
      <c r="AK765" s="282" t="n"/>
      <c r="AL765" s="286" t="n"/>
      <c r="AM765" s="286" t="n"/>
      <c r="AN765" s="282" t="n"/>
    </row>
    <row customHeight="1" ht="15.75" r="766" s="452" spans="1:41">
      <c r="A766" s="44" t="n"/>
      <c r="G766" s="282" t="n"/>
      <c r="J766" s="282" t="n"/>
      <c r="M766" s="282" t="n"/>
      <c r="P766" s="282" t="n"/>
      <c r="S766" s="282" t="n"/>
      <c r="V766" s="282" t="n"/>
      <c r="Y766" s="282" t="n"/>
      <c r="AB766" s="282" t="n"/>
      <c r="AC766" s="537" t="n"/>
      <c r="AD766" s="537" t="n"/>
      <c r="AE766" s="282" t="n"/>
      <c r="AF766" s="537" t="n"/>
      <c r="AG766" s="537" t="n"/>
      <c r="AI766" s="537" t="n"/>
      <c r="AJ766" s="537" t="n"/>
      <c r="AK766" s="282" t="n"/>
      <c r="AL766" s="286" t="n"/>
      <c r="AM766" s="286" t="n"/>
      <c r="AN766" s="282" t="n"/>
    </row>
    <row customHeight="1" ht="15.75" r="767" s="452" spans="1:41">
      <c r="A767" s="44" t="n"/>
      <c r="G767" s="282" t="n"/>
      <c r="J767" s="282" t="n"/>
      <c r="M767" s="282" t="n"/>
      <c r="P767" s="282" t="n"/>
      <c r="S767" s="282" t="n"/>
      <c r="V767" s="282" t="n"/>
      <c r="Y767" s="282" t="n"/>
      <c r="AB767" s="282" t="n"/>
      <c r="AC767" s="537" t="n"/>
      <c r="AD767" s="537" t="n"/>
      <c r="AE767" s="282" t="n"/>
      <c r="AF767" s="537" t="n"/>
      <c r="AG767" s="537" t="n"/>
      <c r="AI767" s="537" t="n"/>
      <c r="AJ767" s="537" t="n"/>
      <c r="AK767" s="282" t="n"/>
      <c r="AL767" s="286" t="n"/>
      <c r="AM767" s="286" t="n"/>
      <c r="AN767" s="282" t="n"/>
    </row>
    <row customHeight="1" ht="15.75" r="768" s="452" spans="1:41">
      <c r="A768" s="44" t="n"/>
      <c r="G768" s="282" t="n"/>
      <c r="J768" s="282" t="n"/>
      <c r="M768" s="282" t="n"/>
      <c r="P768" s="282" t="n"/>
      <c r="S768" s="282" t="n"/>
      <c r="V768" s="282" t="n"/>
      <c r="Y768" s="282" t="n"/>
      <c r="AB768" s="282" t="n"/>
      <c r="AC768" s="537" t="n"/>
      <c r="AD768" s="537" t="n"/>
      <c r="AE768" s="282" t="n"/>
      <c r="AF768" s="537" t="n"/>
      <c r="AG768" s="537" t="n"/>
      <c r="AI768" s="537" t="n"/>
      <c r="AJ768" s="537" t="n"/>
      <c r="AK768" s="282" t="n"/>
      <c r="AL768" s="286" t="n"/>
      <c r="AM768" s="286" t="n"/>
      <c r="AN768" s="282" t="n"/>
    </row>
    <row customHeight="1" ht="15.75" r="769" s="452" spans="1:41">
      <c r="A769" s="44" t="n"/>
      <c r="G769" s="282" t="n"/>
      <c r="J769" s="282" t="n"/>
      <c r="M769" s="282" t="n"/>
      <c r="P769" s="282" t="n"/>
      <c r="S769" s="282" t="n"/>
      <c r="V769" s="282" t="n"/>
      <c r="Y769" s="282" t="n"/>
      <c r="AB769" s="282" t="n"/>
      <c r="AC769" s="537" t="n"/>
      <c r="AD769" s="537" t="n"/>
      <c r="AE769" s="282" t="n"/>
      <c r="AF769" s="537" t="n"/>
      <c r="AG769" s="537" t="n"/>
      <c r="AI769" s="537" t="n"/>
      <c r="AJ769" s="537" t="n"/>
      <c r="AK769" s="282" t="n"/>
      <c r="AL769" s="286" t="n"/>
      <c r="AM769" s="286" t="n"/>
      <c r="AN769" s="282" t="n"/>
    </row>
    <row customHeight="1" ht="15.75" r="770" s="452" spans="1:41">
      <c r="A770" s="44" t="n"/>
      <c r="G770" s="282" t="n"/>
      <c r="J770" s="282" t="n"/>
      <c r="M770" s="282" t="n"/>
      <c r="P770" s="282" t="n"/>
      <c r="S770" s="282" t="n"/>
      <c r="V770" s="282" t="n"/>
      <c r="Y770" s="282" t="n"/>
      <c r="AB770" s="282" t="n"/>
      <c r="AC770" s="537" t="n"/>
      <c r="AD770" s="537" t="n"/>
      <c r="AE770" s="282" t="n"/>
      <c r="AF770" s="537" t="n"/>
      <c r="AG770" s="537" t="n"/>
      <c r="AI770" s="537" t="n"/>
      <c r="AJ770" s="537" t="n"/>
      <c r="AK770" s="282" t="n"/>
      <c r="AL770" s="286" t="n"/>
      <c r="AM770" s="286" t="n"/>
      <c r="AN770" s="282" t="n"/>
    </row>
    <row customHeight="1" ht="15.75" r="771" s="452" spans="1:41">
      <c r="A771" s="44" t="n"/>
      <c r="G771" s="282" t="n"/>
      <c r="J771" s="282" t="n"/>
      <c r="M771" s="282" t="n"/>
      <c r="P771" s="282" t="n"/>
      <c r="S771" s="282" t="n"/>
      <c r="V771" s="282" t="n"/>
      <c r="Y771" s="282" t="n"/>
      <c r="AB771" s="282" t="n"/>
      <c r="AC771" s="537" t="n"/>
      <c r="AD771" s="537" t="n"/>
      <c r="AE771" s="282" t="n"/>
      <c r="AF771" s="537" t="n"/>
      <c r="AG771" s="537" t="n"/>
      <c r="AI771" s="537" t="n"/>
      <c r="AJ771" s="537" t="n"/>
      <c r="AK771" s="282" t="n"/>
      <c r="AL771" s="286" t="n"/>
      <c r="AM771" s="286" t="n"/>
      <c r="AN771" s="282" t="n"/>
    </row>
    <row customHeight="1" ht="15.75" r="772" s="452" spans="1:41">
      <c r="A772" s="44" t="n"/>
      <c r="G772" s="282" t="n"/>
      <c r="J772" s="282" t="n"/>
      <c r="M772" s="282" t="n"/>
      <c r="P772" s="282" t="n"/>
      <c r="S772" s="282" t="n"/>
      <c r="V772" s="282" t="n"/>
      <c r="Y772" s="282" t="n"/>
      <c r="AB772" s="282" t="n"/>
      <c r="AC772" s="537" t="n"/>
      <c r="AD772" s="537" t="n"/>
      <c r="AE772" s="282" t="n"/>
      <c r="AF772" s="537" t="n"/>
      <c r="AG772" s="537" t="n"/>
      <c r="AI772" s="537" t="n"/>
      <c r="AJ772" s="537" t="n"/>
      <c r="AK772" s="282" t="n"/>
      <c r="AL772" s="286" t="n"/>
      <c r="AM772" s="286" t="n"/>
      <c r="AN772" s="282" t="n"/>
    </row>
    <row customHeight="1" ht="15.75" r="773" s="452" spans="1:41">
      <c r="A773" s="44" t="n"/>
      <c r="G773" s="282" t="n"/>
      <c r="J773" s="282" t="n"/>
      <c r="M773" s="282" t="n"/>
      <c r="P773" s="282" t="n"/>
      <c r="S773" s="282" t="n"/>
      <c r="V773" s="282" t="n"/>
      <c r="Y773" s="282" t="n"/>
      <c r="AB773" s="282" t="n"/>
      <c r="AC773" s="537" t="n"/>
      <c r="AD773" s="537" t="n"/>
      <c r="AE773" s="282" t="n"/>
      <c r="AF773" s="537" t="n"/>
      <c r="AG773" s="537" t="n"/>
      <c r="AI773" s="537" t="n"/>
      <c r="AJ773" s="537" t="n"/>
      <c r="AK773" s="282" t="n"/>
      <c r="AL773" s="286" t="n"/>
      <c r="AM773" s="286" t="n"/>
      <c r="AN773" s="282" t="n"/>
    </row>
    <row customHeight="1" ht="15.75" r="774" s="452" spans="1:41">
      <c r="A774" s="44" t="n"/>
      <c r="G774" s="282" t="n"/>
      <c r="J774" s="282" t="n"/>
      <c r="M774" s="282" t="n"/>
      <c r="P774" s="282" t="n"/>
      <c r="S774" s="282" t="n"/>
      <c r="V774" s="282" t="n"/>
      <c r="Y774" s="282" t="n"/>
      <c r="AB774" s="282" t="n"/>
      <c r="AC774" s="537" t="n"/>
      <c r="AD774" s="537" t="n"/>
      <c r="AE774" s="282" t="n"/>
      <c r="AF774" s="537" t="n"/>
      <c r="AG774" s="537" t="n"/>
      <c r="AI774" s="537" t="n"/>
      <c r="AJ774" s="537" t="n"/>
      <c r="AK774" s="282" t="n"/>
      <c r="AL774" s="286" t="n"/>
      <c r="AM774" s="286" t="n"/>
      <c r="AN774" s="282" t="n"/>
    </row>
    <row customHeight="1" ht="15.75" r="775" s="452" spans="1:41">
      <c r="A775" s="44" t="n"/>
      <c r="G775" s="282" t="n"/>
      <c r="J775" s="282" t="n"/>
      <c r="M775" s="282" t="n"/>
      <c r="P775" s="282" t="n"/>
      <c r="S775" s="282" t="n"/>
      <c r="V775" s="282" t="n"/>
      <c r="Y775" s="282" t="n"/>
      <c r="AB775" s="282" t="n"/>
      <c r="AC775" s="537" t="n"/>
      <c r="AD775" s="537" t="n"/>
      <c r="AE775" s="282" t="n"/>
      <c r="AF775" s="537" t="n"/>
      <c r="AG775" s="537" t="n"/>
      <c r="AI775" s="537" t="n"/>
      <c r="AJ775" s="537" t="n"/>
      <c r="AK775" s="282" t="n"/>
      <c r="AL775" s="286" t="n"/>
      <c r="AM775" s="286" t="n"/>
      <c r="AN775" s="282" t="n"/>
    </row>
    <row customHeight="1" ht="15.75" r="776" s="452" spans="1:41">
      <c r="A776" s="44" t="n"/>
      <c r="G776" s="282" t="n"/>
      <c r="J776" s="282" t="n"/>
      <c r="M776" s="282" t="n"/>
      <c r="P776" s="282" t="n"/>
      <c r="S776" s="282" t="n"/>
      <c r="V776" s="282" t="n"/>
      <c r="Y776" s="282" t="n"/>
      <c r="AB776" s="282" t="n"/>
      <c r="AC776" s="537" t="n"/>
      <c r="AD776" s="537" t="n"/>
      <c r="AE776" s="282" t="n"/>
      <c r="AF776" s="537" t="n"/>
      <c r="AG776" s="537" t="n"/>
      <c r="AI776" s="537" t="n"/>
      <c r="AJ776" s="537" t="n"/>
      <c r="AK776" s="282" t="n"/>
      <c r="AL776" s="286" t="n"/>
      <c r="AM776" s="286" t="n"/>
      <c r="AN776" s="282" t="n"/>
    </row>
    <row customHeight="1" ht="15.75" r="777" s="452" spans="1:41">
      <c r="A777" s="44" t="n"/>
      <c r="G777" s="282" t="n"/>
      <c r="J777" s="282" t="n"/>
      <c r="M777" s="282" t="n"/>
      <c r="P777" s="282" t="n"/>
      <c r="S777" s="282" t="n"/>
      <c r="V777" s="282" t="n"/>
      <c r="Y777" s="282" t="n"/>
      <c r="AB777" s="282" t="n"/>
      <c r="AC777" s="537" t="n"/>
      <c r="AD777" s="537" t="n"/>
      <c r="AE777" s="282" t="n"/>
      <c r="AF777" s="537" t="n"/>
      <c r="AG777" s="537" t="n"/>
      <c r="AI777" s="537" t="n"/>
      <c r="AJ777" s="537" t="n"/>
      <c r="AK777" s="282" t="n"/>
      <c r="AL777" s="286" t="n"/>
      <c r="AM777" s="286" t="n"/>
      <c r="AN777" s="282" t="n"/>
    </row>
    <row customHeight="1" ht="15.75" r="778" s="452" spans="1:41">
      <c r="A778" s="44" t="n"/>
      <c r="G778" s="282" t="n"/>
      <c r="J778" s="282" t="n"/>
      <c r="M778" s="282" t="n"/>
      <c r="P778" s="282" t="n"/>
      <c r="S778" s="282" t="n"/>
      <c r="V778" s="282" t="n"/>
      <c r="Y778" s="282" t="n"/>
      <c r="AB778" s="282" t="n"/>
      <c r="AC778" s="537" t="n"/>
      <c r="AD778" s="537" t="n"/>
      <c r="AE778" s="282" t="n"/>
      <c r="AF778" s="537" t="n"/>
      <c r="AG778" s="537" t="n"/>
      <c r="AI778" s="537" t="n"/>
      <c r="AJ778" s="537" t="n"/>
      <c r="AK778" s="282" t="n"/>
      <c r="AL778" s="286" t="n"/>
      <c r="AM778" s="286" t="n"/>
      <c r="AN778" s="282" t="n"/>
    </row>
    <row customHeight="1" ht="15.75" r="779" s="452" spans="1:41">
      <c r="A779" s="44" t="n"/>
      <c r="G779" s="282" t="n"/>
      <c r="J779" s="282" t="n"/>
      <c r="M779" s="282" t="n"/>
      <c r="P779" s="282" t="n"/>
      <c r="S779" s="282" t="n"/>
      <c r="V779" s="282" t="n"/>
      <c r="Y779" s="282" t="n"/>
      <c r="AB779" s="282" t="n"/>
      <c r="AC779" s="537" t="n"/>
      <c r="AD779" s="537" t="n"/>
      <c r="AE779" s="282" t="n"/>
      <c r="AF779" s="537" t="n"/>
      <c r="AG779" s="537" t="n"/>
      <c r="AI779" s="537" t="n"/>
      <c r="AJ779" s="537" t="n"/>
      <c r="AK779" s="282" t="n"/>
      <c r="AL779" s="286" t="n"/>
      <c r="AM779" s="286" t="n"/>
      <c r="AN779" s="282" t="n"/>
    </row>
    <row customHeight="1" ht="15.75" r="780" s="452" spans="1:41">
      <c r="A780" s="44" t="n"/>
      <c r="G780" s="282" t="n"/>
      <c r="J780" s="282" t="n"/>
      <c r="M780" s="282" t="n"/>
      <c r="P780" s="282" t="n"/>
      <c r="S780" s="282" t="n"/>
      <c r="V780" s="282" t="n"/>
      <c r="Y780" s="282" t="n"/>
      <c r="AB780" s="282" t="n"/>
      <c r="AC780" s="537" t="n"/>
      <c r="AD780" s="537" t="n"/>
      <c r="AE780" s="282" t="n"/>
      <c r="AF780" s="537" t="n"/>
      <c r="AG780" s="537" t="n"/>
      <c r="AI780" s="537" t="n"/>
      <c r="AJ780" s="537" t="n"/>
      <c r="AK780" s="282" t="n"/>
      <c r="AL780" s="286" t="n"/>
      <c r="AM780" s="286" t="n"/>
      <c r="AN780" s="282" t="n"/>
    </row>
    <row customHeight="1" ht="15.75" r="781" s="452" spans="1:41">
      <c r="A781" s="44" t="n"/>
      <c r="G781" s="282" t="n"/>
      <c r="J781" s="282" t="n"/>
      <c r="M781" s="282" t="n"/>
      <c r="P781" s="282" t="n"/>
      <c r="S781" s="282" t="n"/>
      <c r="V781" s="282" t="n"/>
      <c r="Y781" s="282" t="n"/>
      <c r="AB781" s="282" t="n"/>
      <c r="AC781" s="537" t="n"/>
      <c r="AD781" s="537" t="n"/>
      <c r="AE781" s="282" t="n"/>
      <c r="AF781" s="537" t="n"/>
      <c r="AG781" s="537" t="n"/>
      <c r="AI781" s="537" t="n"/>
      <c r="AJ781" s="537" t="n"/>
      <c r="AK781" s="282" t="n"/>
      <c r="AL781" s="286" t="n"/>
      <c r="AM781" s="286" t="n"/>
      <c r="AN781" s="282" t="n"/>
    </row>
    <row customHeight="1" ht="15.75" r="782" s="452" spans="1:41">
      <c r="A782" s="44" t="n"/>
      <c r="G782" s="282" t="n"/>
      <c r="J782" s="282" t="n"/>
      <c r="M782" s="282" t="n"/>
      <c r="P782" s="282" t="n"/>
      <c r="S782" s="282" t="n"/>
      <c r="V782" s="282" t="n"/>
      <c r="Y782" s="282" t="n"/>
      <c r="AB782" s="282" t="n"/>
      <c r="AC782" s="537" t="n"/>
      <c r="AD782" s="537" t="n"/>
      <c r="AE782" s="282" t="n"/>
      <c r="AF782" s="537" t="n"/>
      <c r="AG782" s="537" t="n"/>
      <c r="AI782" s="537" t="n"/>
      <c r="AJ782" s="537" t="n"/>
      <c r="AK782" s="282" t="n"/>
      <c r="AL782" s="286" t="n"/>
      <c r="AM782" s="286" t="n"/>
      <c r="AN782" s="282" t="n"/>
    </row>
    <row customHeight="1" ht="15.75" r="783" s="452" spans="1:41">
      <c r="A783" s="44" t="n"/>
      <c r="G783" s="282" t="n"/>
      <c r="J783" s="282" t="n"/>
      <c r="M783" s="282" t="n"/>
      <c r="P783" s="282" t="n"/>
      <c r="S783" s="282" t="n"/>
      <c r="V783" s="282" t="n"/>
      <c r="Y783" s="282" t="n"/>
      <c r="AB783" s="282" t="n"/>
      <c r="AC783" s="537" t="n"/>
      <c r="AD783" s="537" t="n"/>
      <c r="AE783" s="282" t="n"/>
      <c r="AF783" s="537" t="n"/>
      <c r="AG783" s="537" t="n"/>
      <c r="AI783" s="537" t="n"/>
      <c r="AJ783" s="537" t="n"/>
      <c r="AK783" s="282" t="n"/>
      <c r="AL783" s="286" t="n"/>
      <c r="AM783" s="286" t="n"/>
      <c r="AN783" s="282" t="n"/>
    </row>
    <row customHeight="1" ht="15.75" r="784" s="452" spans="1:41">
      <c r="A784" s="44" t="n"/>
      <c r="G784" s="282" t="n"/>
      <c r="J784" s="282" t="n"/>
      <c r="M784" s="282" t="n"/>
      <c r="P784" s="282" t="n"/>
      <c r="S784" s="282" t="n"/>
      <c r="V784" s="282" t="n"/>
      <c r="Y784" s="282" t="n"/>
      <c r="AB784" s="282" t="n"/>
      <c r="AC784" s="537" t="n"/>
      <c r="AD784" s="537" t="n"/>
      <c r="AE784" s="282" t="n"/>
      <c r="AF784" s="537" t="n"/>
      <c r="AG784" s="537" t="n"/>
      <c r="AI784" s="537" t="n"/>
      <c r="AJ784" s="537" t="n"/>
      <c r="AK784" s="282" t="n"/>
      <c r="AL784" s="286" t="n"/>
      <c r="AM784" s="286" t="n"/>
      <c r="AN784" s="282" t="n"/>
    </row>
    <row customHeight="1" ht="15.75" r="785" s="452" spans="1:41">
      <c r="A785" s="44" t="n"/>
      <c r="G785" s="282" t="n"/>
      <c r="J785" s="282" t="n"/>
      <c r="M785" s="282" t="n"/>
      <c r="P785" s="282" t="n"/>
      <c r="S785" s="282" t="n"/>
      <c r="V785" s="282" t="n"/>
      <c r="Y785" s="282" t="n"/>
      <c r="AB785" s="282" t="n"/>
      <c r="AC785" s="537" t="n"/>
      <c r="AD785" s="537" t="n"/>
      <c r="AE785" s="282" t="n"/>
      <c r="AF785" s="537" t="n"/>
      <c r="AG785" s="537" t="n"/>
      <c r="AI785" s="537" t="n"/>
      <c r="AJ785" s="537" t="n"/>
      <c r="AK785" s="282" t="n"/>
      <c r="AL785" s="286" t="n"/>
      <c r="AM785" s="286" t="n"/>
      <c r="AN785" s="282" t="n"/>
    </row>
    <row customHeight="1" ht="15.75" r="786" s="452" spans="1:41">
      <c r="A786" s="44" t="n"/>
      <c r="G786" s="282" t="n"/>
      <c r="J786" s="282" t="n"/>
      <c r="M786" s="282" t="n"/>
      <c r="P786" s="282" t="n"/>
      <c r="S786" s="282" t="n"/>
      <c r="V786" s="282" t="n"/>
      <c r="Y786" s="282" t="n"/>
      <c r="AB786" s="282" t="n"/>
      <c r="AC786" s="537" t="n"/>
      <c r="AD786" s="537" t="n"/>
      <c r="AE786" s="282" t="n"/>
      <c r="AF786" s="537" t="n"/>
      <c r="AG786" s="537" t="n"/>
      <c r="AI786" s="537" t="n"/>
      <c r="AJ786" s="537" t="n"/>
      <c r="AK786" s="282" t="n"/>
      <c r="AL786" s="286" t="n"/>
      <c r="AM786" s="286" t="n"/>
      <c r="AN786" s="282" t="n"/>
    </row>
    <row customHeight="1" ht="15.75" r="787" s="452" spans="1:41">
      <c r="A787" s="44" t="n"/>
      <c r="G787" s="282" t="n"/>
      <c r="J787" s="282" t="n"/>
      <c r="M787" s="282" t="n"/>
      <c r="P787" s="282" t="n"/>
      <c r="S787" s="282" t="n"/>
      <c r="V787" s="282" t="n"/>
      <c r="Y787" s="282" t="n"/>
      <c r="AB787" s="282" t="n"/>
      <c r="AC787" s="537" t="n"/>
      <c r="AD787" s="537" t="n"/>
      <c r="AE787" s="282" t="n"/>
      <c r="AF787" s="537" t="n"/>
      <c r="AG787" s="537" t="n"/>
      <c r="AI787" s="537" t="n"/>
      <c r="AJ787" s="537" t="n"/>
      <c r="AK787" s="282" t="n"/>
      <c r="AL787" s="286" t="n"/>
      <c r="AM787" s="286" t="n"/>
      <c r="AN787" s="282" t="n"/>
    </row>
    <row customHeight="1" ht="15.75" r="788" s="452" spans="1:41">
      <c r="A788" s="44" t="n"/>
      <c r="G788" s="282" t="n"/>
      <c r="J788" s="282" t="n"/>
      <c r="M788" s="282" t="n"/>
      <c r="P788" s="282" t="n"/>
      <c r="S788" s="282" t="n"/>
      <c r="V788" s="282" t="n"/>
      <c r="Y788" s="282" t="n"/>
      <c r="AB788" s="282" t="n"/>
      <c r="AC788" s="537" t="n"/>
      <c r="AD788" s="537" t="n"/>
      <c r="AE788" s="282" t="n"/>
      <c r="AF788" s="537" t="n"/>
      <c r="AG788" s="537" t="n"/>
      <c r="AI788" s="537" t="n"/>
      <c r="AJ788" s="537" t="n"/>
      <c r="AK788" s="282" t="n"/>
      <c r="AL788" s="286" t="n"/>
      <c r="AM788" s="286" t="n"/>
      <c r="AN788" s="282" t="n"/>
    </row>
    <row customHeight="1" ht="15.75" r="789" s="452" spans="1:41">
      <c r="A789" s="44" t="n"/>
      <c r="G789" s="282" t="n"/>
      <c r="J789" s="282" t="n"/>
      <c r="M789" s="282" t="n"/>
      <c r="P789" s="282" t="n"/>
      <c r="S789" s="282" t="n"/>
      <c r="V789" s="282" t="n"/>
      <c r="Y789" s="282" t="n"/>
      <c r="AB789" s="282" t="n"/>
      <c r="AC789" s="537" t="n"/>
      <c r="AD789" s="537" t="n"/>
      <c r="AE789" s="282" t="n"/>
      <c r="AF789" s="537" t="n"/>
      <c r="AG789" s="537" t="n"/>
      <c r="AI789" s="537" t="n"/>
      <c r="AJ789" s="537" t="n"/>
      <c r="AK789" s="282" t="n"/>
      <c r="AL789" s="286" t="n"/>
      <c r="AM789" s="286" t="n"/>
      <c r="AN789" s="282" t="n"/>
    </row>
    <row customHeight="1" ht="15.75" r="790" s="452" spans="1:41">
      <c r="A790" s="44" t="n"/>
      <c r="G790" s="282" t="n"/>
      <c r="J790" s="282" t="n"/>
      <c r="M790" s="282" t="n"/>
      <c r="P790" s="282" t="n"/>
      <c r="S790" s="282" t="n"/>
      <c r="V790" s="282" t="n"/>
      <c r="Y790" s="282" t="n"/>
      <c r="AB790" s="282" t="n"/>
      <c r="AC790" s="537" t="n"/>
      <c r="AD790" s="537" t="n"/>
      <c r="AE790" s="282" t="n"/>
      <c r="AF790" s="537" t="n"/>
      <c r="AG790" s="537" t="n"/>
      <c r="AI790" s="537" t="n"/>
      <c r="AJ790" s="537" t="n"/>
      <c r="AK790" s="282" t="n"/>
      <c r="AL790" s="286" t="n"/>
      <c r="AM790" s="286" t="n"/>
      <c r="AN790" s="282" t="n"/>
    </row>
    <row customHeight="1" ht="15.75" r="791" s="452" spans="1:41">
      <c r="A791" s="44" t="n"/>
      <c r="G791" s="282" t="n"/>
      <c r="J791" s="282" t="n"/>
      <c r="M791" s="282" t="n"/>
      <c r="P791" s="282" t="n"/>
      <c r="S791" s="282" t="n"/>
      <c r="V791" s="282" t="n"/>
      <c r="Y791" s="282" t="n"/>
      <c r="AB791" s="282" t="n"/>
      <c r="AC791" s="537" t="n"/>
      <c r="AD791" s="537" t="n"/>
      <c r="AE791" s="282" t="n"/>
      <c r="AF791" s="537" t="n"/>
      <c r="AG791" s="537" t="n"/>
      <c r="AI791" s="537" t="n"/>
      <c r="AJ791" s="537" t="n"/>
      <c r="AK791" s="282" t="n"/>
      <c r="AL791" s="286" t="n"/>
      <c r="AM791" s="286" t="n"/>
      <c r="AN791" s="282" t="n"/>
    </row>
    <row customHeight="1" ht="15.75" r="792" s="452" spans="1:41">
      <c r="A792" s="44" t="n"/>
      <c r="G792" s="282" t="n"/>
      <c r="J792" s="282" t="n"/>
      <c r="M792" s="282" t="n"/>
      <c r="P792" s="282" t="n"/>
      <c r="S792" s="282" t="n"/>
      <c r="V792" s="282" t="n"/>
      <c r="Y792" s="282" t="n"/>
      <c r="AB792" s="282" t="n"/>
      <c r="AC792" s="537" t="n"/>
      <c r="AD792" s="537" t="n"/>
      <c r="AE792" s="282" t="n"/>
      <c r="AF792" s="537" t="n"/>
      <c r="AG792" s="537" t="n"/>
      <c r="AI792" s="537" t="n"/>
      <c r="AJ792" s="537" t="n"/>
      <c r="AK792" s="282" t="n"/>
      <c r="AL792" s="286" t="n"/>
      <c r="AM792" s="286" t="n"/>
      <c r="AN792" s="282" t="n"/>
    </row>
    <row customHeight="1" ht="15.75" r="793" s="452" spans="1:41">
      <c r="A793" s="44" t="n"/>
      <c r="G793" s="282" t="n"/>
      <c r="J793" s="282" t="n"/>
      <c r="M793" s="282" t="n"/>
      <c r="P793" s="282" t="n"/>
      <c r="S793" s="282" t="n"/>
      <c r="V793" s="282" t="n"/>
      <c r="Y793" s="282" t="n"/>
      <c r="AB793" s="282" t="n"/>
      <c r="AC793" s="537" t="n"/>
      <c r="AD793" s="537" t="n"/>
      <c r="AE793" s="282" t="n"/>
      <c r="AF793" s="537" t="n"/>
      <c r="AG793" s="537" t="n"/>
      <c r="AI793" s="537" t="n"/>
      <c r="AJ793" s="537" t="n"/>
      <c r="AK793" s="282" t="n"/>
      <c r="AL793" s="286" t="n"/>
      <c r="AM793" s="286" t="n"/>
      <c r="AN793" s="282" t="n"/>
    </row>
    <row customHeight="1" ht="15.75" r="794" s="452" spans="1:41">
      <c r="A794" s="44" t="n"/>
      <c r="G794" s="282" t="n"/>
      <c r="J794" s="282" t="n"/>
      <c r="M794" s="282" t="n"/>
      <c r="P794" s="282" t="n"/>
      <c r="S794" s="282" t="n"/>
      <c r="V794" s="282" t="n"/>
      <c r="Y794" s="282" t="n"/>
      <c r="AB794" s="282" t="n"/>
      <c r="AC794" s="537" t="n"/>
      <c r="AD794" s="537" t="n"/>
      <c r="AE794" s="282" t="n"/>
      <c r="AF794" s="537" t="n"/>
      <c r="AG794" s="537" t="n"/>
      <c r="AI794" s="537" t="n"/>
      <c r="AJ794" s="537" t="n"/>
      <c r="AK794" s="282" t="n"/>
      <c r="AL794" s="286" t="n"/>
      <c r="AM794" s="286" t="n"/>
      <c r="AN794" s="282" t="n"/>
    </row>
    <row customHeight="1" ht="15.75" r="795" s="452" spans="1:41">
      <c r="A795" s="44" t="n"/>
      <c r="G795" s="282" t="n"/>
      <c r="J795" s="282" t="n"/>
      <c r="M795" s="282" t="n"/>
      <c r="P795" s="282" t="n"/>
      <c r="S795" s="282" t="n"/>
      <c r="V795" s="282" t="n"/>
      <c r="Y795" s="282" t="n"/>
      <c r="AB795" s="282" t="n"/>
      <c r="AC795" s="537" t="n"/>
      <c r="AD795" s="537" t="n"/>
      <c r="AE795" s="282" t="n"/>
      <c r="AF795" s="537" t="n"/>
      <c r="AG795" s="537" t="n"/>
      <c r="AI795" s="537" t="n"/>
      <c r="AJ795" s="537" t="n"/>
      <c r="AK795" s="282" t="n"/>
      <c r="AL795" s="286" t="n"/>
      <c r="AM795" s="286" t="n"/>
      <c r="AN795" s="282" t="n"/>
    </row>
    <row customHeight="1" ht="15.75" r="796" s="452" spans="1:41">
      <c r="A796" s="44" t="n"/>
      <c r="G796" s="282" t="n"/>
      <c r="J796" s="282" t="n"/>
      <c r="M796" s="282" t="n"/>
      <c r="P796" s="282" t="n"/>
      <c r="S796" s="282" t="n"/>
      <c r="V796" s="282" t="n"/>
      <c r="Y796" s="282" t="n"/>
      <c r="AB796" s="282" t="n"/>
      <c r="AC796" s="537" t="n"/>
      <c r="AD796" s="537" t="n"/>
      <c r="AE796" s="282" t="n"/>
      <c r="AF796" s="537" t="n"/>
      <c r="AG796" s="537" t="n"/>
      <c r="AI796" s="537" t="n"/>
      <c r="AJ796" s="537" t="n"/>
      <c r="AK796" s="282" t="n"/>
      <c r="AL796" s="286" t="n"/>
      <c r="AM796" s="286" t="n"/>
      <c r="AN796" s="282" t="n"/>
    </row>
    <row customHeight="1" ht="15.75" r="797" s="452" spans="1:41">
      <c r="A797" s="44" t="n"/>
      <c r="G797" s="282" t="n"/>
      <c r="J797" s="282" t="n"/>
      <c r="M797" s="282" t="n"/>
      <c r="P797" s="282" t="n"/>
      <c r="S797" s="282" t="n"/>
      <c r="V797" s="282" t="n"/>
      <c r="Y797" s="282" t="n"/>
      <c r="AB797" s="282" t="n"/>
      <c r="AC797" s="537" t="n"/>
      <c r="AD797" s="537" t="n"/>
      <c r="AE797" s="282" t="n"/>
      <c r="AF797" s="537" t="n"/>
      <c r="AG797" s="537" t="n"/>
      <c r="AI797" s="537" t="n"/>
      <c r="AJ797" s="537" t="n"/>
      <c r="AK797" s="282" t="n"/>
      <c r="AL797" s="286" t="n"/>
      <c r="AM797" s="286" t="n"/>
      <c r="AN797" s="282" t="n"/>
    </row>
    <row customHeight="1" ht="15.75" r="798" s="452" spans="1:41">
      <c r="A798" s="44" t="n"/>
      <c r="G798" s="282" t="n"/>
      <c r="J798" s="282" t="n"/>
      <c r="M798" s="282" t="n"/>
      <c r="P798" s="282" t="n"/>
      <c r="S798" s="282" t="n"/>
      <c r="V798" s="282" t="n"/>
      <c r="Y798" s="282" t="n"/>
      <c r="AB798" s="282" t="n"/>
      <c r="AC798" s="537" t="n"/>
      <c r="AD798" s="537" t="n"/>
      <c r="AE798" s="282" t="n"/>
      <c r="AF798" s="537" t="n"/>
      <c r="AG798" s="537" t="n"/>
      <c r="AI798" s="537" t="n"/>
      <c r="AJ798" s="537" t="n"/>
      <c r="AK798" s="282" t="n"/>
      <c r="AL798" s="286" t="n"/>
      <c r="AM798" s="286" t="n"/>
      <c r="AN798" s="282" t="n"/>
    </row>
    <row customHeight="1" ht="15.75" r="799" s="452" spans="1:41">
      <c r="A799" s="44" t="n"/>
      <c r="G799" s="282" t="n"/>
      <c r="J799" s="282" t="n"/>
      <c r="M799" s="282" t="n"/>
      <c r="P799" s="282" t="n"/>
      <c r="S799" s="282" t="n"/>
      <c r="V799" s="282" t="n"/>
      <c r="Y799" s="282" t="n"/>
      <c r="AB799" s="282" t="n"/>
      <c r="AC799" s="537" t="n"/>
      <c r="AD799" s="537" t="n"/>
      <c r="AE799" s="282" t="n"/>
      <c r="AF799" s="537" t="n"/>
      <c r="AG799" s="537" t="n"/>
      <c r="AI799" s="537" t="n"/>
      <c r="AJ799" s="537" t="n"/>
      <c r="AK799" s="282" t="n"/>
      <c r="AL799" s="286" t="n"/>
      <c r="AM799" s="286" t="n"/>
      <c r="AN799" s="282" t="n"/>
    </row>
    <row customHeight="1" ht="15.75" r="800" s="452" spans="1:41">
      <c r="A800" s="44" t="n"/>
      <c r="G800" s="282" t="n"/>
      <c r="J800" s="282" t="n"/>
      <c r="M800" s="282" t="n"/>
      <c r="P800" s="282" t="n"/>
      <c r="S800" s="282" t="n"/>
      <c r="V800" s="282" t="n"/>
      <c r="Y800" s="282" t="n"/>
      <c r="AB800" s="282" t="n"/>
      <c r="AC800" s="537" t="n"/>
      <c r="AD800" s="537" t="n"/>
      <c r="AE800" s="282" t="n"/>
      <c r="AF800" s="537" t="n"/>
      <c r="AG800" s="537" t="n"/>
      <c r="AI800" s="537" t="n"/>
      <c r="AJ800" s="537" t="n"/>
      <c r="AK800" s="282" t="n"/>
      <c r="AL800" s="286" t="n"/>
      <c r="AM800" s="286" t="n"/>
      <c r="AN800" s="282" t="n"/>
    </row>
    <row customHeight="1" ht="15.75" r="801" s="452" spans="1:41">
      <c r="A801" s="44" t="n"/>
      <c r="G801" s="282" t="n"/>
      <c r="J801" s="282" t="n"/>
      <c r="M801" s="282" t="n"/>
      <c r="P801" s="282" t="n"/>
      <c r="S801" s="282" t="n"/>
      <c r="V801" s="282" t="n"/>
      <c r="Y801" s="282" t="n"/>
      <c r="AB801" s="282" t="n"/>
      <c r="AC801" s="537" t="n"/>
      <c r="AD801" s="537" t="n"/>
      <c r="AE801" s="282" t="n"/>
      <c r="AF801" s="537" t="n"/>
      <c r="AG801" s="537" t="n"/>
      <c r="AI801" s="537" t="n"/>
      <c r="AJ801" s="537" t="n"/>
      <c r="AK801" s="282" t="n"/>
      <c r="AL801" s="286" t="n"/>
      <c r="AM801" s="286" t="n"/>
      <c r="AN801" s="282" t="n"/>
    </row>
    <row customHeight="1" ht="15.75" r="802" s="452" spans="1:41">
      <c r="A802" s="44" t="n"/>
      <c r="G802" s="282" t="n"/>
      <c r="J802" s="282" t="n"/>
      <c r="M802" s="282" t="n"/>
      <c r="P802" s="282" t="n"/>
      <c r="S802" s="282" t="n"/>
      <c r="V802" s="282" t="n"/>
      <c r="Y802" s="282" t="n"/>
      <c r="AB802" s="282" t="n"/>
      <c r="AC802" s="537" t="n"/>
      <c r="AD802" s="537" t="n"/>
      <c r="AE802" s="282" t="n"/>
      <c r="AF802" s="537" t="n"/>
      <c r="AG802" s="537" t="n"/>
      <c r="AI802" s="537" t="n"/>
      <c r="AJ802" s="537" t="n"/>
      <c r="AK802" s="282" t="n"/>
      <c r="AL802" s="286" t="n"/>
      <c r="AM802" s="286" t="n"/>
      <c r="AN802" s="282" t="n"/>
    </row>
    <row customHeight="1" ht="15.75" r="803" s="452" spans="1:41">
      <c r="A803" s="44" t="n"/>
      <c r="G803" s="282" t="n"/>
      <c r="J803" s="282" t="n"/>
      <c r="M803" s="282" t="n"/>
      <c r="P803" s="282" t="n"/>
      <c r="S803" s="282" t="n"/>
      <c r="V803" s="282" t="n"/>
      <c r="Y803" s="282" t="n"/>
      <c r="AB803" s="282" t="n"/>
      <c r="AC803" s="537" t="n"/>
      <c r="AD803" s="537" t="n"/>
      <c r="AE803" s="282" t="n"/>
      <c r="AF803" s="537" t="n"/>
      <c r="AG803" s="537" t="n"/>
      <c r="AI803" s="537" t="n"/>
      <c r="AJ803" s="537" t="n"/>
      <c r="AK803" s="282" t="n"/>
      <c r="AL803" s="286" t="n"/>
      <c r="AM803" s="286" t="n"/>
      <c r="AN803" s="282" t="n"/>
    </row>
    <row customHeight="1" ht="15.75" r="804" s="452" spans="1:41">
      <c r="A804" s="44" t="n"/>
      <c r="G804" s="282" t="n"/>
      <c r="J804" s="282" t="n"/>
      <c r="M804" s="282" t="n"/>
      <c r="P804" s="282" t="n"/>
      <c r="S804" s="282" t="n"/>
      <c r="V804" s="282" t="n"/>
      <c r="Y804" s="282" t="n"/>
      <c r="AB804" s="282" t="n"/>
      <c r="AC804" s="537" t="n"/>
      <c r="AD804" s="537" t="n"/>
      <c r="AE804" s="282" t="n"/>
      <c r="AF804" s="537" t="n"/>
      <c r="AG804" s="537" t="n"/>
      <c r="AI804" s="537" t="n"/>
      <c r="AJ804" s="537" t="n"/>
      <c r="AK804" s="282" t="n"/>
      <c r="AL804" s="286" t="n"/>
      <c r="AM804" s="286" t="n"/>
      <c r="AN804" s="282" t="n"/>
    </row>
    <row customHeight="1" ht="15.75" r="805" s="452" spans="1:41">
      <c r="A805" s="44" t="n"/>
      <c r="G805" s="282" t="n"/>
      <c r="J805" s="282" t="n"/>
      <c r="M805" s="282" t="n"/>
      <c r="P805" s="282" t="n"/>
      <c r="S805" s="282" t="n"/>
      <c r="V805" s="282" t="n"/>
      <c r="Y805" s="282" t="n"/>
      <c r="AB805" s="282" t="n"/>
      <c r="AC805" s="537" t="n"/>
      <c r="AD805" s="537" t="n"/>
      <c r="AE805" s="282" t="n"/>
      <c r="AF805" s="537" t="n"/>
      <c r="AG805" s="537" t="n"/>
      <c r="AI805" s="537" t="n"/>
      <c r="AJ805" s="537" t="n"/>
      <c r="AK805" s="282" t="n"/>
      <c r="AL805" s="286" t="n"/>
      <c r="AM805" s="286" t="n"/>
      <c r="AN805" s="282" t="n"/>
    </row>
    <row customHeight="1" ht="15.75" r="806" s="452" spans="1:41">
      <c r="A806" s="44" t="n"/>
      <c r="G806" s="282" t="n"/>
      <c r="J806" s="282" t="n"/>
      <c r="M806" s="282" t="n"/>
      <c r="P806" s="282" t="n"/>
      <c r="S806" s="282" t="n"/>
      <c r="V806" s="282" t="n"/>
      <c r="Y806" s="282" t="n"/>
      <c r="AB806" s="282" t="n"/>
      <c r="AC806" s="537" t="n"/>
      <c r="AD806" s="537" t="n"/>
      <c r="AE806" s="282" t="n"/>
      <c r="AF806" s="537" t="n"/>
      <c r="AG806" s="537" t="n"/>
      <c r="AI806" s="537" t="n"/>
      <c r="AJ806" s="537" t="n"/>
      <c r="AK806" s="282" t="n"/>
      <c r="AL806" s="286" t="n"/>
      <c r="AM806" s="286" t="n"/>
      <c r="AN806" s="282" t="n"/>
    </row>
    <row customHeight="1" ht="15.75" r="807" s="452" spans="1:41">
      <c r="A807" s="44" t="n"/>
      <c r="G807" s="282" t="n"/>
      <c r="J807" s="282" t="n"/>
      <c r="M807" s="282" t="n"/>
      <c r="P807" s="282" t="n"/>
      <c r="S807" s="282" t="n"/>
      <c r="V807" s="282" t="n"/>
      <c r="Y807" s="282" t="n"/>
      <c r="AB807" s="282" t="n"/>
      <c r="AC807" s="537" t="n"/>
      <c r="AD807" s="537" t="n"/>
      <c r="AE807" s="282" t="n"/>
      <c r="AF807" s="537" t="n"/>
      <c r="AG807" s="537" t="n"/>
      <c r="AI807" s="537" t="n"/>
      <c r="AJ807" s="537" t="n"/>
      <c r="AK807" s="282" t="n"/>
      <c r="AL807" s="286" t="n"/>
      <c r="AM807" s="286" t="n"/>
      <c r="AN807" s="282" t="n"/>
    </row>
    <row customHeight="1" ht="15.75" r="808" s="452" spans="1:41">
      <c r="A808" s="44" t="n"/>
      <c r="G808" s="282" t="n"/>
      <c r="J808" s="282" t="n"/>
      <c r="M808" s="282" t="n"/>
      <c r="P808" s="282" t="n"/>
      <c r="S808" s="282" t="n"/>
      <c r="V808" s="282" t="n"/>
      <c r="Y808" s="282" t="n"/>
      <c r="AB808" s="282" t="n"/>
      <c r="AC808" s="537" t="n"/>
      <c r="AD808" s="537" t="n"/>
      <c r="AE808" s="282" t="n"/>
      <c r="AF808" s="537" t="n"/>
      <c r="AG808" s="537" t="n"/>
      <c r="AI808" s="537" t="n"/>
      <c r="AJ808" s="537" t="n"/>
      <c r="AK808" s="282" t="n"/>
      <c r="AL808" s="286" t="n"/>
      <c r="AM808" s="286" t="n"/>
      <c r="AN808" s="282" t="n"/>
    </row>
    <row customHeight="1" ht="15.75" r="809" s="452" spans="1:41">
      <c r="A809" s="44" t="n"/>
      <c r="G809" s="282" t="n"/>
      <c r="J809" s="282" t="n"/>
      <c r="M809" s="282" t="n"/>
      <c r="P809" s="282" t="n"/>
      <c r="S809" s="282" t="n"/>
      <c r="V809" s="282" t="n"/>
      <c r="Y809" s="282" t="n"/>
      <c r="AB809" s="282" t="n"/>
      <c r="AC809" s="537" t="n"/>
      <c r="AD809" s="537" t="n"/>
      <c r="AE809" s="282" t="n"/>
      <c r="AF809" s="537" t="n"/>
      <c r="AG809" s="537" t="n"/>
      <c r="AI809" s="537" t="n"/>
      <c r="AJ809" s="537" t="n"/>
      <c r="AK809" s="282" t="n"/>
      <c r="AL809" s="286" t="n"/>
      <c r="AM809" s="286" t="n"/>
      <c r="AN809" s="282" t="n"/>
    </row>
    <row customHeight="1" ht="15.75" r="810" s="452" spans="1:41">
      <c r="A810" s="44" t="n"/>
      <c r="G810" s="282" t="n"/>
      <c r="J810" s="282" t="n"/>
      <c r="M810" s="282" t="n"/>
      <c r="P810" s="282" t="n"/>
      <c r="S810" s="282" t="n"/>
      <c r="V810" s="282" t="n"/>
      <c r="Y810" s="282" t="n"/>
      <c r="AB810" s="282" t="n"/>
      <c r="AC810" s="537" t="n"/>
      <c r="AD810" s="537" t="n"/>
      <c r="AE810" s="282" t="n"/>
      <c r="AF810" s="537" t="n"/>
      <c r="AG810" s="537" t="n"/>
      <c r="AI810" s="537" t="n"/>
      <c r="AJ810" s="537" t="n"/>
      <c r="AK810" s="282" t="n"/>
      <c r="AL810" s="286" t="n"/>
      <c r="AM810" s="286" t="n"/>
      <c r="AN810" s="282" t="n"/>
    </row>
    <row customHeight="1" ht="15.75" r="811" s="452" spans="1:41">
      <c r="A811" s="44" t="n"/>
      <c r="G811" s="282" t="n"/>
      <c r="J811" s="282" t="n"/>
      <c r="M811" s="282" t="n"/>
      <c r="P811" s="282" t="n"/>
      <c r="S811" s="282" t="n"/>
      <c r="V811" s="282" t="n"/>
      <c r="Y811" s="282" t="n"/>
      <c r="AB811" s="282" t="n"/>
      <c r="AC811" s="537" t="n"/>
      <c r="AD811" s="537" t="n"/>
      <c r="AE811" s="282" t="n"/>
      <c r="AF811" s="537" t="n"/>
      <c r="AG811" s="537" t="n"/>
      <c r="AI811" s="537" t="n"/>
      <c r="AJ811" s="537" t="n"/>
      <c r="AK811" s="282" t="n"/>
      <c r="AL811" s="286" t="n"/>
      <c r="AM811" s="286" t="n"/>
      <c r="AN811" s="282" t="n"/>
    </row>
    <row customHeight="1" ht="15.75" r="812" s="452" spans="1:41">
      <c r="A812" s="44" t="n"/>
      <c r="G812" s="282" t="n"/>
      <c r="J812" s="282" t="n"/>
      <c r="M812" s="282" t="n"/>
      <c r="P812" s="282" t="n"/>
      <c r="S812" s="282" t="n"/>
      <c r="V812" s="282" t="n"/>
      <c r="Y812" s="282" t="n"/>
      <c r="AB812" s="282" t="n"/>
      <c r="AC812" s="537" t="n"/>
      <c r="AD812" s="537" t="n"/>
      <c r="AE812" s="282" t="n"/>
      <c r="AF812" s="537" t="n"/>
      <c r="AG812" s="537" t="n"/>
      <c r="AI812" s="537" t="n"/>
      <c r="AJ812" s="537" t="n"/>
      <c r="AK812" s="282" t="n"/>
      <c r="AL812" s="286" t="n"/>
      <c r="AM812" s="286" t="n"/>
      <c r="AN812" s="282" t="n"/>
    </row>
    <row customHeight="1" ht="15.75" r="813" s="452" spans="1:41">
      <c r="A813" s="44" t="n"/>
      <c r="G813" s="282" t="n"/>
      <c r="J813" s="282" t="n"/>
      <c r="M813" s="282" t="n"/>
      <c r="P813" s="282" t="n"/>
      <c r="S813" s="282" t="n"/>
      <c r="V813" s="282" t="n"/>
      <c r="Y813" s="282" t="n"/>
      <c r="AB813" s="282" t="n"/>
      <c r="AC813" s="537" t="n"/>
      <c r="AD813" s="537" t="n"/>
      <c r="AE813" s="282" t="n"/>
      <c r="AF813" s="537" t="n"/>
      <c r="AG813" s="537" t="n"/>
      <c r="AI813" s="537" t="n"/>
      <c r="AJ813" s="537" t="n"/>
      <c r="AK813" s="282" t="n"/>
      <c r="AL813" s="286" t="n"/>
      <c r="AM813" s="286" t="n"/>
      <c r="AN813" s="282" t="n"/>
    </row>
    <row customHeight="1" ht="15.75" r="814" s="452" spans="1:41">
      <c r="A814" s="44" t="n"/>
      <c r="G814" s="282" t="n"/>
      <c r="J814" s="282" t="n"/>
      <c r="M814" s="282" t="n"/>
      <c r="P814" s="282" t="n"/>
      <c r="S814" s="282" t="n"/>
      <c r="V814" s="282" t="n"/>
      <c r="Y814" s="282" t="n"/>
      <c r="AB814" s="282" t="n"/>
      <c r="AC814" s="537" t="n"/>
      <c r="AD814" s="537" t="n"/>
      <c r="AE814" s="282" t="n"/>
      <c r="AF814" s="537" t="n"/>
      <c r="AG814" s="537" t="n"/>
      <c r="AI814" s="537" t="n"/>
      <c r="AJ814" s="537" t="n"/>
      <c r="AK814" s="282" t="n"/>
      <c r="AL814" s="286" t="n"/>
      <c r="AM814" s="286" t="n"/>
      <c r="AN814" s="282" t="n"/>
    </row>
    <row customHeight="1" ht="15.75" r="815" s="452" spans="1:41">
      <c r="A815" s="44" t="n"/>
      <c r="G815" s="282" t="n"/>
      <c r="J815" s="282" t="n"/>
      <c r="M815" s="282" t="n"/>
      <c r="P815" s="282" t="n"/>
      <c r="S815" s="282" t="n"/>
      <c r="V815" s="282" t="n"/>
      <c r="Y815" s="282" t="n"/>
      <c r="AB815" s="282" t="n"/>
      <c r="AC815" s="537" t="n"/>
      <c r="AD815" s="537" t="n"/>
      <c r="AE815" s="282" t="n"/>
      <c r="AF815" s="537" t="n"/>
      <c r="AG815" s="537" t="n"/>
      <c r="AI815" s="537" t="n"/>
      <c r="AJ815" s="537" t="n"/>
      <c r="AK815" s="282" t="n"/>
      <c r="AL815" s="286" t="n"/>
      <c r="AM815" s="286" t="n"/>
      <c r="AN815" s="282" t="n"/>
    </row>
    <row customHeight="1" ht="15.75" r="816" s="452" spans="1:41">
      <c r="A816" s="44" t="n"/>
      <c r="G816" s="282" t="n"/>
      <c r="J816" s="282" t="n"/>
      <c r="M816" s="282" t="n"/>
      <c r="P816" s="282" t="n"/>
      <c r="S816" s="282" t="n"/>
      <c r="V816" s="282" t="n"/>
      <c r="Y816" s="282" t="n"/>
      <c r="AB816" s="282" t="n"/>
      <c r="AC816" s="537" t="n"/>
      <c r="AD816" s="537" t="n"/>
      <c r="AE816" s="282" t="n"/>
      <c r="AF816" s="537" t="n"/>
      <c r="AG816" s="537" t="n"/>
      <c r="AI816" s="537" t="n"/>
      <c r="AJ816" s="537" t="n"/>
      <c r="AK816" s="282" t="n"/>
      <c r="AL816" s="286" t="n"/>
      <c r="AM816" s="286" t="n"/>
      <c r="AN816" s="282" t="n"/>
    </row>
    <row customHeight="1" ht="15.75" r="817" s="452" spans="1:41">
      <c r="A817" s="44" t="n"/>
      <c r="G817" s="282" t="n"/>
      <c r="J817" s="282" t="n"/>
      <c r="M817" s="282" t="n"/>
      <c r="P817" s="282" t="n"/>
      <c r="S817" s="282" t="n"/>
      <c r="V817" s="282" t="n"/>
      <c r="Y817" s="282" t="n"/>
      <c r="AB817" s="282" t="n"/>
      <c r="AC817" s="537" t="n"/>
      <c r="AD817" s="537" t="n"/>
      <c r="AE817" s="282" t="n"/>
      <c r="AF817" s="537" t="n"/>
      <c r="AG817" s="537" t="n"/>
      <c r="AI817" s="537" t="n"/>
      <c r="AJ817" s="537" t="n"/>
      <c r="AK817" s="282" t="n"/>
      <c r="AL817" s="286" t="n"/>
      <c r="AM817" s="286" t="n"/>
      <c r="AN817" s="282" t="n"/>
    </row>
    <row customHeight="1" ht="15.75" r="818" s="452" spans="1:41">
      <c r="A818" s="44" t="n"/>
      <c r="G818" s="282" t="n"/>
      <c r="J818" s="282" t="n"/>
      <c r="M818" s="282" t="n"/>
      <c r="P818" s="282" t="n"/>
      <c r="S818" s="282" t="n"/>
      <c r="V818" s="282" t="n"/>
      <c r="Y818" s="282" t="n"/>
      <c r="AB818" s="282" t="n"/>
      <c r="AC818" s="537" t="n"/>
      <c r="AD818" s="537" t="n"/>
      <c r="AE818" s="282" t="n"/>
      <c r="AF818" s="537" t="n"/>
      <c r="AG818" s="537" t="n"/>
      <c r="AI818" s="537" t="n"/>
      <c r="AJ818" s="537" t="n"/>
      <c r="AK818" s="282" t="n"/>
      <c r="AL818" s="286" t="n"/>
      <c r="AM818" s="286" t="n"/>
      <c r="AN818" s="282" t="n"/>
    </row>
    <row customHeight="1" ht="15.75" r="819" s="452" spans="1:41">
      <c r="A819" s="44" t="n"/>
      <c r="G819" s="282" t="n"/>
      <c r="J819" s="282" t="n"/>
      <c r="M819" s="282" t="n"/>
      <c r="P819" s="282" t="n"/>
      <c r="S819" s="282" t="n"/>
      <c r="V819" s="282" t="n"/>
      <c r="Y819" s="282" t="n"/>
      <c r="AB819" s="282" t="n"/>
      <c r="AC819" s="537" t="n"/>
      <c r="AD819" s="537" t="n"/>
      <c r="AE819" s="282" t="n"/>
      <c r="AF819" s="537" t="n"/>
      <c r="AG819" s="537" t="n"/>
      <c r="AI819" s="537" t="n"/>
      <c r="AJ819" s="537" t="n"/>
      <c r="AK819" s="282" t="n"/>
      <c r="AL819" s="286" t="n"/>
      <c r="AM819" s="286" t="n"/>
      <c r="AN819" s="282" t="n"/>
    </row>
    <row customHeight="1" ht="15.75" r="820" s="452" spans="1:41">
      <c r="A820" s="44" t="n"/>
      <c r="G820" s="282" t="n"/>
      <c r="J820" s="282" t="n"/>
      <c r="M820" s="282" t="n"/>
      <c r="P820" s="282" t="n"/>
      <c r="S820" s="282" t="n"/>
      <c r="V820" s="282" t="n"/>
      <c r="Y820" s="282" t="n"/>
      <c r="AB820" s="282" t="n"/>
      <c r="AC820" s="537" t="n"/>
      <c r="AD820" s="537" t="n"/>
      <c r="AE820" s="282" t="n"/>
      <c r="AF820" s="537" t="n"/>
      <c r="AG820" s="537" t="n"/>
      <c r="AI820" s="537" t="n"/>
      <c r="AJ820" s="537" t="n"/>
      <c r="AK820" s="282" t="n"/>
      <c r="AL820" s="286" t="n"/>
      <c r="AM820" s="286" t="n"/>
      <c r="AN820" s="282" t="n"/>
    </row>
    <row customHeight="1" ht="15.75" r="821" s="452" spans="1:41">
      <c r="A821" s="44" t="n"/>
      <c r="G821" s="282" t="n"/>
      <c r="J821" s="282" t="n"/>
      <c r="M821" s="282" t="n"/>
      <c r="P821" s="282" t="n"/>
      <c r="S821" s="282" t="n"/>
      <c r="V821" s="282" t="n"/>
      <c r="Y821" s="282" t="n"/>
      <c r="AB821" s="282" t="n"/>
      <c r="AC821" s="537" t="n"/>
      <c r="AD821" s="537" t="n"/>
      <c r="AE821" s="282" t="n"/>
      <c r="AF821" s="537" t="n"/>
      <c r="AG821" s="537" t="n"/>
      <c r="AI821" s="537" t="n"/>
      <c r="AJ821" s="537" t="n"/>
      <c r="AK821" s="282" t="n"/>
      <c r="AL821" s="286" t="n"/>
      <c r="AM821" s="286" t="n"/>
      <c r="AN821" s="282" t="n"/>
    </row>
    <row customHeight="1" ht="15.75" r="822" s="452" spans="1:41">
      <c r="A822" s="44" t="n"/>
      <c r="G822" s="282" t="n"/>
      <c r="J822" s="282" t="n"/>
      <c r="M822" s="282" t="n"/>
      <c r="P822" s="282" t="n"/>
      <c r="S822" s="282" t="n"/>
      <c r="V822" s="282" t="n"/>
      <c r="Y822" s="282" t="n"/>
      <c r="AB822" s="282" t="n"/>
      <c r="AC822" s="537" t="n"/>
      <c r="AD822" s="537" t="n"/>
      <c r="AE822" s="282" t="n"/>
      <c r="AF822" s="537" t="n"/>
      <c r="AG822" s="537" t="n"/>
      <c r="AI822" s="537" t="n"/>
      <c r="AJ822" s="537" t="n"/>
      <c r="AK822" s="282" t="n"/>
      <c r="AL822" s="286" t="n"/>
      <c r="AM822" s="286" t="n"/>
      <c r="AN822" s="282" t="n"/>
    </row>
    <row customHeight="1" ht="15.75" r="823" s="452" spans="1:41">
      <c r="A823" s="44" t="n"/>
      <c r="G823" s="282" t="n"/>
      <c r="J823" s="282" t="n"/>
      <c r="M823" s="282" t="n"/>
      <c r="P823" s="282" t="n"/>
      <c r="S823" s="282" t="n"/>
      <c r="V823" s="282" t="n"/>
      <c r="Y823" s="282" t="n"/>
      <c r="AB823" s="282" t="n"/>
      <c r="AC823" s="537" t="n"/>
      <c r="AD823" s="537" t="n"/>
      <c r="AE823" s="282" t="n"/>
      <c r="AF823" s="537" t="n"/>
      <c r="AG823" s="537" t="n"/>
      <c r="AI823" s="537" t="n"/>
      <c r="AJ823" s="537" t="n"/>
      <c r="AK823" s="282" t="n"/>
      <c r="AL823" s="286" t="n"/>
      <c r="AM823" s="286" t="n"/>
      <c r="AN823" s="282" t="n"/>
    </row>
    <row customHeight="1" ht="15.75" r="824" s="452" spans="1:41">
      <c r="A824" s="44" t="n"/>
      <c r="G824" s="282" t="n"/>
      <c r="J824" s="282" t="n"/>
      <c r="M824" s="282" t="n"/>
      <c r="P824" s="282" t="n"/>
      <c r="S824" s="282" t="n"/>
      <c r="V824" s="282" t="n"/>
      <c r="Y824" s="282" t="n"/>
      <c r="AB824" s="282" t="n"/>
      <c r="AC824" s="537" t="n"/>
      <c r="AD824" s="537" t="n"/>
      <c r="AE824" s="282" t="n"/>
      <c r="AF824" s="537" t="n"/>
      <c r="AG824" s="537" t="n"/>
      <c r="AI824" s="537" t="n"/>
      <c r="AJ824" s="537" t="n"/>
      <c r="AK824" s="282" t="n"/>
      <c r="AL824" s="286" t="n"/>
      <c r="AM824" s="286" t="n"/>
      <c r="AN824" s="282" t="n"/>
    </row>
    <row customHeight="1" ht="15.75" r="825" s="452" spans="1:41">
      <c r="A825" s="44" t="n"/>
      <c r="G825" s="282" t="n"/>
      <c r="J825" s="282" t="n"/>
      <c r="M825" s="282" t="n"/>
      <c r="P825" s="282" t="n"/>
      <c r="S825" s="282" t="n"/>
      <c r="V825" s="282" t="n"/>
      <c r="Y825" s="282" t="n"/>
      <c r="AB825" s="282" t="n"/>
      <c r="AC825" s="537" t="n"/>
      <c r="AD825" s="537" t="n"/>
      <c r="AE825" s="282" t="n"/>
      <c r="AF825" s="537" t="n"/>
      <c r="AG825" s="537" t="n"/>
      <c r="AI825" s="537" t="n"/>
      <c r="AJ825" s="537" t="n"/>
      <c r="AK825" s="282" t="n"/>
      <c r="AL825" s="286" t="n"/>
      <c r="AM825" s="286" t="n"/>
      <c r="AN825" s="282" t="n"/>
    </row>
    <row customHeight="1" ht="15.75" r="826" s="452" spans="1:41">
      <c r="A826" s="44" t="n"/>
      <c r="G826" s="282" t="n"/>
      <c r="J826" s="282" t="n"/>
      <c r="M826" s="282" t="n"/>
      <c r="P826" s="282" t="n"/>
      <c r="S826" s="282" t="n"/>
      <c r="V826" s="282" t="n"/>
      <c r="Y826" s="282" t="n"/>
      <c r="AB826" s="282" t="n"/>
      <c r="AC826" s="537" t="n"/>
      <c r="AD826" s="537" t="n"/>
      <c r="AE826" s="282" t="n"/>
      <c r="AF826" s="537" t="n"/>
      <c r="AG826" s="537" t="n"/>
      <c r="AI826" s="537" t="n"/>
      <c r="AJ826" s="537" t="n"/>
      <c r="AK826" s="282" t="n"/>
      <c r="AL826" s="286" t="n"/>
      <c r="AM826" s="286" t="n"/>
      <c r="AN826" s="282" t="n"/>
    </row>
    <row customHeight="1" ht="15.75" r="827" s="452" spans="1:41">
      <c r="A827" s="44" t="n"/>
      <c r="G827" s="282" t="n"/>
      <c r="J827" s="282" t="n"/>
      <c r="M827" s="282" t="n"/>
      <c r="P827" s="282" t="n"/>
      <c r="S827" s="282" t="n"/>
      <c r="V827" s="282" t="n"/>
      <c r="Y827" s="282" t="n"/>
      <c r="AB827" s="282" t="n"/>
      <c r="AC827" s="537" t="n"/>
      <c r="AD827" s="537" t="n"/>
      <c r="AE827" s="282" t="n"/>
      <c r="AF827" s="537" t="n"/>
      <c r="AG827" s="537" t="n"/>
      <c r="AI827" s="537" t="n"/>
      <c r="AJ827" s="537" t="n"/>
      <c r="AK827" s="282" t="n"/>
      <c r="AL827" s="286" t="n"/>
      <c r="AM827" s="286" t="n"/>
      <c r="AN827" s="282" t="n"/>
    </row>
    <row customHeight="1" ht="15.75" r="828" s="452" spans="1:41">
      <c r="A828" s="44" t="n"/>
      <c r="G828" s="282" t="n"/>
      <c r="J828" s="282" t="n"/>
      <c r="M828" s="282" t="n"/>
      <c r="P828" s="282" t="n"/>
      <c r="S828" s="282" t="n"/>
      <c r="V828" s="282" t="n"/>
      <c r="Y828" s="282" t="n"/>
      <c r="AB828" s="282" t="n"/>
      <c r="AC828" s="537" t="n"/>
      <c r="AD828" s="537" t="n"/>
      <c r="AE828" s="282" t="n"/>
      <c r="AF828" s="537" t="n"/>
      <c r="AG828" s="537" t="n"/>
      <c r="AI828" s="537" t="n"/>
      <c r="AJ828" s="537" t="n"/>
      <c r="AK828" s="282" t="n"/>
      <c r="AL828" s="286" t="n"/>
      <c r="AM828" s="286" t="n"/>
      <c r="AN828" s="282" t="n"/>
    </row>
    <row customHeight="1" ht="15.75" r="829" s="452" spans="1:41">
      <c r="A829" s="44" t="n"/>
      <c r="G829" s="282" t="n"/>
      <c r="J829" s="282" t="n"/>
      <c r="M829" s="282" t="n"/>
      <c r="P829" s="282" t="n"/>
      <c r="S829" s="282" t="n"/>
      <c r="V829" s="282" t="n"/>
      <c r="Y829" s="282" t="n"/>
      <c r="AB829" s="282" t="n"/>
      <c r="AC829" s="537" t="n"/>
      <c r="AD829" s="537" t="n"/>
      <c r="AE829" s="282" t="n"/>
      <c r="AF829" s="537" t="n"/>
      <c r="AG829" s="537" t="n"/>
      <c r="AI829" s="537" t="n"/>
      <c r="AJ829" s="537" t="n"/>
      <c r="AK829" s="282" t="n"/>
      <c r="AL829" s="286" t="n"/>
      <c r="AM829" s="286" t="n"/>
      <c r="AN829" s="282" t="n"/>
    </row>
    <row customHeight="1" ht="15.75" r="830" s="452" spans="1:41">
      <c r="A830" s="44" t="n"/>
      <c r="G830" s="282" t="n"/>
      <c r="J830" s="282" t="n"/>
      <c r="M830" s="282" t="n"/>
      <c r="P830" s="282" t="n"/>
      <c r="S830" s="282" t="n"/>
      <c r="V830" s="282" t="n"/>
      <c r="Y830" s="282" t="n"/>
      <c r="AB830" s="282" t="n"/>
      <c r="AC830" s="537" t="n"/>
      <c r="AD830" s="537" t="n"/>
      <c r="AE830" s="282" t="n"/>
      <c r="AF830" s="537" t="n"/>
      <c r="AG830" s="537" t="n"/>
      <c r="AI830" s="537" t="n"/>
      <c r="AJ830" s="537" t="n"/>
      <c r="AK830" s="282" t="n"/>
      <c r="AL830" s="286" t="n"/>
      <c r="AM830" s="286" t="n"/>
      <c r="AN830" s="282" t="n"/>
    </row>
    <row customHeight="1" ht="15.75" r="831" s="452" spans="1:41">
      <c r="A831" s="44" t="n"/>
      <c r="G831" s="282" t="n"/>
      <c r="J831" s="282" t="n"/>
      <c r="M831" s="282" t="n"/>
      <c r="P831" s="282" t="n"/>
      <c r="S831" s="282" t="n"/>
      <c r="V831" s="282" t="n"/>
      <c r="Y831" s="282" t="n"/>
      <c r="AB831" s="282" t="n"/>
      <c r="AC831" s="537" t="n"/>
      <c r="AD831" s="537" t="n"/>
      <c r="AE831" s="282" t="n"/>
      <c r="AF831" s="537" t="n"/>
      <c r="AG831" s="537" t="n"/>
      <c r="AI831" s="537" t="n"/>
      <c r="AJ831" s="537" t="n"/>
      <c r="AK831" s="282" t="n"/>
      <c r="AL831" s="286" t="n"/>
      <c r="AM831" s="286" t="n"/>
      <c r="AN831" s="282" t="n"/>
    </row>
    <row customHeight="1" ht="15.75" r="832" s="452" spans="1:41">
      <c r="A832" s="44" t="n"/>
      <c r="G832" s="282" t="n"/>
      <c r="J832" s="282" t="n"/>
      <c r="M832" s="282" t="n"/>
      <c r="P832" s="282" t="n"/>
      <c r="S832" s="282" t="n"/>
      <c r="V832" s="282" t="n"/>
      <c r="Y832" s="282" t="n"/>
      <c r="AB832" s="282" t="n"/>
      <c r="AC832" s="537" t="n"/>
      <c r="AD832" s="537" t="n"/>
      <c r="AE832" s="282" t="n"/>
      <c r="AF832" s="537" t="n"/>
      <c r="AG832" s="537" t="n"/>
      <c r="AI832" s="537" t="n"/>
      <c r="AJ832" s="537" t="n"/>
      <c r="AK832" s="282" t="n"/>
      <c r="AL832" s="286" t="n"/>
      <c r="AM832" s="286" t="n"/>
      <c r="AN832" s="282" t="n"/>
    </row>
    <row customHeight="1" ht="15.75" r="833" s="452" spans="1:41">
      <c r="A833" s="44" t="n"/>
      <c r="G833" s="282" t="n"/>
      <c r="J833" s="282" t="n"/>
      <c r="M833" s="282" t="n"/>
      <c r="P833" s="282" t="n"/>
      <c r="S833" s="282" t="n"/>
      <c r="V833" s="282" t="n"/>
      <c r="Y833" s="282" t="n"/>
      <c r="AB833" s="282" t="n"/>
      <c r="AC833" s="537" t="n"/>
      <c r="AD833" s="537" t="n"/>
      <c r="AE833" s="282" t="n"/>
      <c r="AF833" s="537" t="n"/>
      <c r="AG833" s="537" t="n"/>
      <c r="AI833" s="537" t="n"/>
      <c r="AJ833" s="537" t="n"/>
      <c r="AK833" s="282" t="n"/>
      <c r="AL833" s="286" t="n"/>
      <c r="AM833" s="286" t="n"/>
      <c r="AN833" s="282" t="n"/>
    </row>
    <row customHeight="1" ht="15.75" r="834" s="452" spans="1:41">
      <c r="A834" s="44" t="n"/>
      <c r="G834" s="282" t="n"/>
      <c r="J834" s="282" t="n"/>
      <c r="M834" s="282" t="n"/>
      <c r="P834" s="282" t="n"/>
      <c r="S834" s="282" t="n"/>
      <c r="V834" s="282" t="n"/>
      <c r="Y834" s="282" t="n"/>
      <c r="AB834" s="282" t="n"/>
      <c r="AC834" s="537" t="n"/>
      <c r="AD834" s="537" t="n"/>
      <c r="AE834" s="282" t="n"/>
      <c r="AF834" s="537" t="n"/>
      <c r="AG834" s="537" t="n"/>
      <c r="AI834" s="537" t="n"/>
      <c r="AJ834" s="537" t="n"/>
      <c r="AK834" s="282" t="n"/>
      <c r="AL834" s="286" t="n"/>
      <c r="AM834" s="286" t="n"/>
      <c r="AN834" s="282" t="n"/>
    </row>
    <row customHeight="1" ht="15.75" r="835" s="452" spans="1:41">
      <c r="A835" s="44" t="n"/>
      <c r="G835" s="282" t="n"/>
      <c r="J835" s="282" t="n"/>
      <c r="M835" s="282" t="n"/>
      <c r="P835" s="282" t="n"/>
      <c r="S835" s="282" t="n"/>
      <c r="V835" s="282" t="n"/>
      <c r="Y835" s="282" t="n"/>
      <c r="AB835" s="282" t="n"/>
      <c r="AC835" s="537" t="n"/>
      <c r="AD835" s="537" t="n"/>
      <c r="AE835" s="282" t="n"/>
      <c r="AF835" s="537" t="n"/>
      <c r="AG835" s="537" t="n"/>
      <c r="AI835" s="537" t="n"/>
      <c r="AJ835" s="537" t="n"/>
      <c r="AK835" s="282" t="n"/>
      <c r="AL835" s="286" t="n"/>
      <c r="AM835" s="286" t="n"/>
      <c r="AN835" s="282" t="n"/>
    </row>
    <row customHeight="1" ht="15.75" r="836" s="452" spans="1:41">
      <c r="A836" s="44" t="n"/>
      <c r="G836" s="282" t="n"/>
      <c r="J836" s="282" t="n"/>
      <c r="M836" s="282" t="n"/>
      <c r="P836" s="282" t="n"/>
      <c r="S836" s="282" t="n"/>
      <c r="V836" s="282" t="n"/>
      <c r="Y836" s="282" t="n"/>
      <c r="AB836" s="282" t="n"/>
      <c r="AC836" s="537" t="n"/>
      <c r="AD836" s="537" t="n"/>
      <c r="AE836" s="282" t="n"/>
      <c r="AF836" s="537" t="n"/>
      <c r="AG836" s="537" t="n"/>
      <c r="AI836" s="537" t="n"/>
      <c r="AJ836" s="537" t="n"/>
      <c r="AK836" s="282" t="n"/>
      <c r="AL836" s="286" t="n"/>
      <c r="AM836" s="286" t="n"/>
      <c r="AN836" s="282" t="n"/>
    </row>
    <row customHeight="1" ht="15.75" r="837" s="452" spans="1:41">
      <c r="A837" s="44" t="n"/>
      <c r="G837" s="282" t="n"/>
      <c r="J837" s="282" t="n"/>
      <c r="M837" s="282" t="n"/>
      <c r="P837" s="282" t="n"/>
      <c r="S837" s="282" t="n"/>
      <c r="V837" s="282" t="n"/>
      <c r="Y837" s="282" t="n"/>
      <c r="AB837" s="282" t="n"/>
      <c r="AC837" s="537" t="n"/>
      <c r="AD837" s="537" t="n"/>
      <c r="AE837" s="282" t="n"/>
      <c r="AF837" s="537" t="n"/>
      <c r="AG837" s="537" t="n"/>
      <c r="AI837" s="537" t="n"/>
      <c r="AJ837" s="537" t="n"/>
      <c r="AK837" s="282" t="n"/>
      <c r="AL837" s="286" t="n"/>
      <c r="AM837" s="286" t="n"/>
      <c r="AN837" s="282" t="n"/>
    </row>
    <row customHeight="1" ht="15.75" r="838" s="452" spans="1:41">
      <c r="A838" s="44" t="n"/>
      <c r="G838" s="282" t="n"/>
      <c r="J838" s="282" t="n"/>
      <c r="M838" s="282" t="n"/>
      <c r="P838" s="282" t="n"/>
      <c r="S838" s="282" t="n"/>
      <c r="V838" s="282" t="n"/>
      <c r="Y838" s="282" t="n"/>
      <c r="AB838" s="282" t="n"/>
      <c r="AC838" s="537" t="n"/>
      <c r="AD838" s="537" t="n"/>
      <c r="AE838" s="282" t="n"/>
      <c r="AF838" s="537" t="n"/>
      <c r="AG838" s="537" t="n"/>
      <c r="AI838" s="537" t="n"/>
      <c r="AJ838" s="537" t="n"/>
      <c r="AK838" s="282" t="n"/>
      <c r="AL838" s="286" t="n"/>
      <c r="AM838" s="286" t="n"/>
      <c r="AN838" s="282" t="n"/>
    </row>
    <row customHeight="1" ht="15.75" r="839" s="452" spans="1:41">
      <c r="A839" s="44" t="n"/>
      <c r="G839" s="282" t="n"/>
      <c r="J839" s="282" t="n"/>
      <c r="M839" s="282" t="n"/>
      <c r="P839" s="282" t="n"/>
      <c r="S839" s="282" t="n"/>
      <c r="V839" s="282" t="n"/>
      <c r="Y839" s="282" t="n"/>
      <c r="AB839" s="282" t="n"/>
      <c r="AC839" s="537" t="n"/>
      <c r="AD839" s="537" t="n"/>
      <c r="AE839" s="282" t="n"/>
      <c r="AF839" s="537" t="n"/>
      <c r="AG839" s="537" t="n"/>
      <c r="AI839" s="537" t="n"/>
      <c r="AJ839" s="537" t="n"/>
      <c r="AK839" s="282" t="n"/>
      <c r="AL839" s="286" t="n"/>
      <c r="AM839" s="286" t="n"/>
      <c r="AN839" s="282" t="n"/>
    </row>
    <row customHeight="1" ht="15.75" r="840" s="452" spans="1:41">
      <c r="A840" s="44" t="n"/>
      <c r="G840" s="282" t="n"/>
      <c r="J840" s="282" t="n"/>
      <c r="M840" s="282" t="n"/>
      <c r="P840" s="282" t="n"/>
      <c r="S840" s="282" t="n"/>
      <c r="V840" s="282" t="n"/>
      <c r="Y840" s="282" t="n"/>
      <c r="AB840" s="282" t="n"/>
      <c r="AC840" s="537" t="n"/>
      <c r="AD840" s="537" t="n"/>
      <c r="AE840" s="282" t="n"/>
      <c r="AF840" s="537" t="n"/>
      <c r="AG840" s="537" t="n"/>
      <c r="AI840" s="537" t="n"/>
      <c r="AJ840" s="537" t="n"/>
      <c r="AK840" s="282" t="n"/>
      <c r="AL840" s="286" t="n"/>
      <c r="AM840" s="286" t="n"/>
      <c r="AN840" s="282" t="n"/>
    </row>
    <row customHeight="1" ht="15.75" r="841" s="452" spans="1:41">
      <c r="A841" s="44" t="n"/>
      <c r="G841" s="282" t="n"/>
      <c r="J841" s="282" t="n"/>
      <c r="M841" s="282" t="n"/>
      <c r="P841" s="282" t="n"/>
      <c r="S841" s="282" t="n"/>
      <c r="V841" s="282" t="n"/>
      <c r="Y841" s="282" t="n"/>
      <c r="AB841" s="282" t="n"/>
      <c r="AC841" s="537" t="n"/>
      <c r="AD841" s="537" t="n"/>
      <c r="AE841" s="282" t="n"/>
      <c r="AF841" s="537" t="n"/>
      <c r="AG841" s="537" t="n"/>
      <c r="AI841" s="537" t="n"/>
      <c r="AJ841" s="537" t="n"/>
      <c r="AK841" s="282" t="n"/>
      <c r="AL841" s="286" t="n"/>
      <c r="AM841" s="286" t="n"/>
      <c r="AN841" s="282" t="n"/>
    </row>
    <row customHeight="1" ht="15.75" r="842" s="452" spans="1:41">
      <c r="A842" s="44" t="n"/>
      <c r="G842" s="282" t="n"/>
      <c r="J842" s="282" t="n"/>
      <c r="M842" s="282" t="n"/>
      <c r="P842" s="282" t="n"/>
      <c r="S842" s="282" t="n"/>
      <c r="V842" s="282" t="n"/>
      <c r="Y842" s="282" t="n"/>
      <c r="AB842" s="282" t="n"/>
      <c r="AC842" s="537" t="n"/>
      <c r="AD842" s="537" t="n"/>
      <c r="AE842" s="282" t="n"/>
      <c r="AF842" s="537" t="n"/>
      <c r="AG842" s="537" t="n"/>
      <c r="AI842" s="537" t="n"/>
      <c r="AJ842" s="537" t="n"/>
      <c r="AK842" s="282" t="n"/>
      <c r="AL842" s="286" t="n"/>
      <c r="AM842" s="286" t="n"/>
      <c r="AN842" s="282" t="n"/>
    </row>
    <row customHeight="1" ht="15.75" r="843" s="452" spans="1:41">
      <c r="A843" s="44" t="n"/>
      <c r="G843" s="282" t="n"/>
      <c r="J843" s="282" t="n"/>
      <c r="M843" s="282" t="n"/>
      <c r="P843" s="282" t="n"/>
      <c r="S843" s="282" t="n"/>
      <c r="V843" s="282" t="n"/>
      <c r="Y843" s="282" t="n"/>
      <c r="AB843" s="282" t="n"/>
      <c r="AC843" s="537" t="n"/>
      <c r="AD843" s="537" t="n"/>
      <c r="AE843" s="282" t="n"/>
      <c r="AF843" s="537" t="n"/>
      <c r="AG843" s="537" t="n"/>
      <c r="AI843" s="537" t="n"/>
      <c r="AJ843" s="537" t="n"/>
      <c r="AK843" s="282" t="n"/>
      <c r="AL843" s="286" t="n"/>
      <c r="AM843" s="286" t="n"/>
      <c r="AN843" s="282" t="n"/>
    </row>
    <row customHeight="1" ht="15.75" r="844" s="452" spans="1:41">
      <c r="A844" s="44" t="n"/>
      <c r="G844" s="282" t="n"/>
      <c r="J844" s="282" t="n"/>
      <c r="M844" s="282" t="n"/>
      <c r="P844" s="282" t="n"/>
      <c r="S844" s="282" t="n"/>
      <c r="V844" s="282" t="n"/>
      <c r="Y844" s="282" t="n"/>
      <c r="AB844" s="282" t="n"/>
      <c r="AC844" s="537" t="n"/>
      <c r="AD844" s="537" t="n"/>
      <c r="AE844" s="282" t="n"/>
      <c r="AF844" s="537" t="n"/>
      <c r="AG844" s="537" t="n"/>
      <c r="AI844" s="537" t="n"/>
      <c r="AJ844" s="537" t="n"/>
      <c r="AK844" s="282" t="n"/>
      <c r="AL844" s="286" t="n"/>
      <c r="AM844" s="286" t="n"/>
      <c r="AN844" s="282" t="n"/>
    </row>
    <row customHeight="1" ht="15.75" r="845" s="452" spans="1:41">
      <c r="A845" s="44" t="n"/>
      <c r="G845" s="282" t="n"/>
      <c r="J845" s="282" t="n"/>
      <c r="M845" s="282" t="n"/>
      <c r="P845" s="282" t="n"/>
      <c r="S845" s="282" t="n"/>
      <c r="V845" s="282" t="n"/>
      <c r="Y845" s="282" t="n"/>
      <c r="AB845" s="282" t="n"/>
      <c r="AC845" s="537" t="n"/>
      <c r="AD845" s="537" t="n"/>
      <c r="AE845" s="282" t="n"/>
      <c r="AF845" s="537" t="n"/>
      <c r="AG845" s="537" t="n"/>
      <c r="AI845" s="537" t="n"/>
      <c r="AJ845" s="537" t="n"/>
      <c r="AK845" s="282" t="n"/>
      <c r="AL845" s="286" t="n"/>
      <c r="AM845" s="286" t="n"/>
      <c r="AN845" s="282" t="n"/>
    </row>
    <row customHeight="1" ht="15.75" r="846" s="452" spans="1:41">
      <c r="A846" s="44" t="n"/>
      <c r="G846" s="282" t="n"/>
      <c r="J846" s="282" t="n"/>
      <c r="M846" s="282" t="n"/>
      <c r="P846" s="282" t="n"/>
      <c r="S846" s="282" t="n"/>
      <c r="V846" s="282" t="n"/>
      <c r="Y846" s="282" t="n"/>
      <c r="AB846" s="282" t="n"/>
      <c r="AC846" s="537" t="n"/>
      <c r="AD846" s="537" t="n"/>
      <c r="AE846" s="282" t="n"/>
      <c r="AF846" s="537" t="n"/>
      <c r="AG846" s="537" t="n"/>
      <c r="AI846" s="537" t="n"/>
      <c r="AJ846" s="537" t="n"/>
      <c r="AK846" s="282" t="n"/>
      <c r="AL846" s="286" t="n"/>
      <c r="AM846" s="286" t="n"/>
      <c r="AN846" s="282" t="n"/>
    </row>
    <row customHeight="1" ht="15.75" r="847" s="452" spans="1:41">
      <c r="A847" s="44" t="n"/>
      <c r="G847" s="282" t="n"/>
      <c r="J847" s="282" t="n"/>
      <c r="M847" s="282" t="n"/>
      <c r="P847" s="282" t="n"/>
      <c r="S847" s="282" t="n"/>
      <c r="V847" s="282" t="n"/>
      <c r="Y847" s="282" t="n"/>
      <c r="AB847" s="282" t="n"/>
      <c r="AC847" s="537" t="n"/>
      <c r="AD847" s="537" t="n"/>
      <c r="AE847" s="282" t="n"/>
      <c r="AF847" s="537" t="n"/>
      <c r="AG847" s="537" t="n"/>
      <c r="AI847" s="537" t="n"/>
      <c r="AJ847" s="537" t="n"/>
      <c r="AK847" s="282" t="n"/>
      <c r="AL847" s="286" t="n"/>
      <c r="AM847" s="286" t="n"/>
      <c r="AN847" s="282" t="n"/>
    </row>
    <row customHeight="1" ht="15.75" r="848" s="452" spans="1:41">
      <c r="A848" s="44" t="n"/>
      <c r="G848" s="282" t="n"/>
      <c r="J848" s="282" t="n"/>
      <c r="M848" s="282" t="n"/>
      <c r="P848" s="282" t="n"/>
      <c r="S848" s="282" t="n"/>
      <c r="V848" s="282" t="n"/>
      <c r="Y848" s="282" t="n"/>
      <c r="AB848" s="282" t="n"/>
      <c r="AC848" s="537" t="n"/>
      <c r="AD848" s="537" t="n"/>
      <c r="AE848" s="282" t="n"/>
      <c r="AF848" s="537" t="n"/>
      <c r="AG848" s="537" t="n"/>
      <c r="AI848" s="537" t="n"/>
      <c r="AJ848" s="537" t="n"/>
      <c r="AK848" s="282" t="n"/>
      <c r="AL848" s="286" t="n"/>
      <c r="AM848" s="286" t="n"/>
      <c r="AN848" s="282" t="n"/>
    </row>
    <row customHeight="1" ht="15.75" r="849" s="452" spans="1:41">
      <c r="A849" s="44" t="n"/>
      <c r="G849" s="282" t="n"/>
      <c r="J849" s="282" t="n"/>
      <c r="M849" s="282" t="n"/>
      <c r="P849" s="282" t="n"/>
      <c r="S849" s="282" t="n"/>
      <c r="V849" s="282" t="n"/>
      <c r="Y849" s="282" t="n"/>
      <c r="AB849" s="282" t="n"/>
      <c r="AC849" s="537" t="n"/>
      <c r="AD849" s="537" t="n"/>
      <c r="AE849" s="282" t="n"/>
      <c r="AF849" s="537" t="n"/>
      <c r="AG849" s="537" t="n"/>
      <c r="AI849" s="537" t="n"/>
      <c r="AJ849" s="537" t="n"/>
      <c r="AK849" s="282" t="n"/>
      <c r="AL849" s="286" t="n"/>
      <c r="AM849" s="286" t="n"/>
      <c r="AN849" s="282" t="n"/>
    </row>
    <row customHeight="1" ht="15.75" r="850" s="452" spans="1:41">
      <c r="A850" s="44" t="n"/>
      <c r="G850" s="282" t="n"/>
      <c r="J850" s="282" t="n"/>
      <c r="M850" s="282" t="n"/>
      <c r="P850" s="282" t="n"/>
      <c r="S850" s="282" t="n"/>
      <c r="V850" s="282" t="n"/>
      <c r="Y850" s="282" t="n"/>
      <c r="AB850" s="282" t="n"/>
      <c r="AC850" s="537" t="n"/>
      <c r="AD850" s="537" t="n"/>
      <c r="AE850" s="282" t="n"/>
      <c r="AF850" s="537" t="n"/>
      <c r="AG850" s="537" t="n"/>
      <c r="AI850" s="537" t="n"/>
      <c r="AJ850" s="537" t="n"/>
      <c r="AK850" s="282" t="n"/>
      <c r="AL850" s="286" t="n"/>
      <c r="AM850" s="286" t="n"/>
      <c r="AN850" s="282" t="n"/>
    </row>
    <row customHeight="1" ht="15.75" r="851" s="452" spans="1:41">
      <c r="A851" s="44" t="n"/>
      <c r="G851" s="282" t="n"/>
      <c r="J851" s="282" t="n"/>
      <c r="M851" s="282" t="n"/>
      <c r="P851" s="282" t="n"/>
      <c r="S851" s="282" t="n"/>
      <c r="V851" s="282" t="n"/>
      <c r="Y851" s="282" t="n"/>
      <c r="AB851" s="282" t="n"/>
      <c r="AC851" s="537" t="n"/>
      <c r="AD851" s="537" t="n"/>
      <c r="AE851" s="282" t="n"/>
      <c r="AF851" s="537" t="n"/>
      <c r="AG851" s="537" t="n"/>
      <c r="AI851" s="537" t="n"/>
      <c r="AJ851" s="537" t="n"/>
      <c r="AK851" s="282" t="n"/>
      <c r="AL851" s="286" t="n"/>
      <c r="AM851" s="286" t="n"/>
      <c r="AN851" s="282" t="n"/>
    </row>
    <row customHeight="1" ht="15.75" r="852" s="452" spans="1:41">
      <c r="A852" s="44" t="n"/>
      <c r="G852" s="282" t="n"/>
      <c r="J852" s="282" t="n"/>
      <c r="M852" s="282" t="n"/>
      <c r="P852" s="282" t="n"/>
      <c r="S852" s="282" t="n"/>
      <c r="V852" s="282" t="n"/>
      <c r="Y852" s="282" t="n"/>
      <c r="AB852" s="282" t="n"/>
      <c r="AC852" s="537" t="n"/>
      <c r="AD852" s="537" t="n"/>
      <c r="AE852" s="282" t="n"/>
      <c r="AF852" s="537" t="n"/>
      <c r="AG852" s="537" t="n"/>
      <c r="AI852" s="537" t="n"/>
      <c r="AJ852" s="537" t="n"/>
      <c r="AK852" s="282" t="n"/>
      <c r="AL852" s="286" t="n"/>
      <c r="AM852" s="286" t="n"/>
      <c r="AN852" s="282" t="n"/>
    </row>
    <row customHeight="1" ht="15.75" r="853" s="452" spans="1:41">
      <c r="A853" s="44" t="n"/>
      <c r="G853" s="282" t="n"/>
      <c r="J853" s="282" t="n"/>
      <c r="M853" s="282" t="n"/>
      <c r="P853" s="282" t="n"/>
      <c r="S853" s="282" t="n"/>
      <c r="V853" s="282" t="n"/>
      <c r="Y853" s="282" t="n"/>
      <c r="AB853" s="282" t="n"/>
      <c r="AC853" s="537" t="n"/>
      <c r="AD853" s="537" t="n"/>
      <c r="AE853" s="282" t="n"/>
      <c r="AF853" s="537" t="n"/>
      <c r="AG853" s="537" t="n"/>
      <c r="AI853" s="537" t="n"/>
      <c r="AJ853" s="537" t="n"/>
      <c r="AK853" s="282" t="n"/>
      <c r="AL853" s="286" t="n"/>
      <c r="AM853" s="286" t="n"/>
      <c r="AN853" s="282" t="n"/>
    </row>
    <row customHeight="1" ht="15.75" r="854" s="452" spans="1:41">
      <c r="A854" s="44" t="n"/>
      <c r="G854" s="282" t="n"/>
      <c r="J854" s="282" t="n"/>
      <c r="M854" s="282" t="n"/>
      <c r="P854" s="282" t="n"/>
      <c r="S854" s="282" t="n"/>
      <c r="V854" s="282" t="n"/>
      <c r="Y854" s="282" t="n"/>
      <c r="AB854" s="282" t="n"/>
      <c r="AC854" s="537" t="n"/>
      <c r="AD854" s="537" t="n"/>
      <c r="AE854" s="282" t="n"/>
      <c r="AF854" s="537" t="n"/>
      <c r="AG854" s="537" t="n"/>
      <c r="AI854" s="537" t="n"/>
      <c r="AJ854" s="537" t="n"/>
      <c r="AK854" s="282" t="n"/>
      <c r="AL854" s="286" t="n"/>
      <c r="AM854" s="286" t="n"/>
      <c r="AN854" s="282" t="n"/>
    </row>
    <row customHeight="1" ht="15.75" r="855" s="452" spans="1:41">
      <c r="A855" s="44" t="n"/>
      <c r="G855" s="282" t="n"/>
      <c r="J855" s="282" t="n"/>
      <c r="M855" s="282" t="n"/>
      <c r="P855" s="282" t="n"/>
      <c r="S855" s="282" t="n"/>
      <c r="V855" s="282" t="n"/>
      <c r="Y855" s="282" t="n"/>
      <c r="AB855" s="282" t="n"/>
      <c r="AC855" s="537" t="n"/>
      <c r="AD855" s="537" t="n"/>
      <c r="AE855" s="282" t="n"/>
      <c r="AF855" s="537" t="n"/>
      <c r="AG855" s="537" t="n"/>
      <c r="AI855" s="537" t="n"/>
      <c r="AJ855" s="537" t="n"/>
      <c r="AK855" s="282" t="n"/>
      <c r="AL855" s="286" t="n"/>
      <c r="AM855" s="286" t="n"/>
      <c r="AN855" s="282" t="n"/>
    </row>
    <row customHeight="1" ht="15.75" r="856" s="452" spans="1:41">
      <c r="A856" s="44" t="n"/>
      <c r="G856" s="282" t="n"/>
      <c r="J856" s="282" t="n"/>
      <c r="M856" s="282" t="n"/>
      <c r="P856" s="282" t="n"/>
      <c r="S856" s="282" t="n"/>
      <c r="V856" s="282" t="n"/>
      <c r="Y856" s="282" t="n"/>
      <c r="AB856" s="282" t="n"/>
      <c r="AC856" s="537" t="n"/>
      <c r="AD856" s="537" t="n"/>
      <c r="AE856" s="282" t="n"/>
      <c r="AF856" s="537" t="n"/>
      <c r="AG856" s="537" t="n"/>
      <c r="AI856" s="537" t="n"/>
      <c r="AJ856" s="537" t="n"/>
      <c r="AK856" s="282" t="n"/>
      <c r="AL856" s="286" t="n"/>
      <c r="AM856" s="286" t="n"/>
      <c r="AN856" s="282" t="n"/>
    </row>
    <row customHeight="1" ht="15.75" r="857" s="452" spans="1:41">
      <c r="A857" s="44" t="n"/>
      <c r="G857" s="282" t="n"/>
      <c r="J857" s="282" t="n"/>
      <c r="M857" s="282" t="n"/>
      <c r="P857" s="282" t="n"/>
      <c r="S857" s="282" t="n"/>
      <c r="V857" s="282" t="n"/>
      <c r="Y857" s="282" t="n"/>
      <c r="AB857" s="282" t="n"/>
      <c r="AC857" s="537" t="n"/>
      <c r="AD857" s="537" t="n"/>
      <c r="AE857" s="282" t="n"/>
      <c r="AF857" s="537" t="n"/>
      <c r="AG857" s="537" t="n"/>
      <c r="AI857" s="537" t="n"/>
      <c r="AJ857" s="537" t="n"/>
      <c r="AK857" s="282" t="n"/>
      <c r="AL857" s="286" t="n"/>
      <c r="AM857" s="286" t="n"/>
      <c r="AN857" s="282" t="n"/>
    </row>
    <row customHeight="1" ht="15.75" r="858" s="452" spans="1:41">
      <c r="A858" s="44" t="n"/>
      <c r="G858" s="282" t="n"/>
      <c r="J858" s="282" t="n"/>
      <c r="M858" s="282" t="n"/>
      <c r="P858" s="282" t="n"/>
      <c r="S858" s="282" t="n"/>
      <c r="V858" s="282" t="n"/>
      <c r="Y858" s="282" t="n"/>
      <c r="AB858" s="282" t="n"/>
      <c r="AC858" s="537" t="n"/>
      <c r="AD858" s="537" t="n"/>
      <c r="AE858" s="282" t="n"/>
      <c r="AF858" s="537" t="n"/>
      <c r="AG858" s="537" t="n"/>
      <c r="AI858" s="537" t="n"/>
      <c r="AJ858" s="537" t="n"/>
      <c r="AK858" s="282" t="n"/>
      <c r="AL858" s="286" t="n"/>
      <c r="AM858" s="286" t="n"/>
      <c r="AN858" s="282" t="n"/>
    </row>
    <row customHeight="1" ht="15.75" r="859" s="452" spans="1:41">
      <c r="A859" s="44" t="n"/>
      <c r="G859" s="282" t="n"/>
      <c r="J859" s="282" t="n"/>
      <c r="M859" s="282" t="n"/>
      <c r="P859" s="282" t="n"/>
      <c r="S859" s="282" t="n"/>
      <c r="V859" s="282" t="n"/>
      <c r="Y859" s="282" t="n"/>
      <c r="AB859" s="282" t="n"/>
      <c r="AC859" s="537" t="n"/>
      <c r="AD859" s="537" t="n"/>
      <c r="AE859" s="282" t="n"/>
      <c r="AF859" s="537" t="n"/>
      <c r="AG859" s="537" t="n"/>
      <c r="AI859" s="537" t="n"/>
      <c r="AJ859" s="537" t="n"/>
      <c r="AK859" s="282" t="n"/>
      <c r="AL859" s="286" t="n"/>
      <c r="AM859" s="286" t="n"/>
      <c r="AN859" s="282" t="n"/>
    </row>
    <row customHeight="1" ht="15.75" r="860" s="452" spans="1:41">
      <c r="A860" s="44" t="n"/>
      <c r="G860" s="282" t="n"/>
      <c r="J860" s="282" t="n"/>
      <c r="M860" s="282" t="n"/>
      <c r="P860" s="282" t="n"/>
      <c r="S860" s="282" t="n"/>
      <c r="V860" s="282" t="n"/>
      <c r="Y860" s="282" t="n"/>
      <c r="AB860" s="282" t="n"/>
      <c r="AC860" s="537" t="n"/>
      <c r="AD860" s="537" t="n"/>
      <c r="AE860" s="282" t="n"/>
      <c r="AF860" s="537" t="n"/>
      <c r="AG860" s="537" t="n"/>
      <c r="AI860" s="537" t="n"/>
      <c r="AJ860" s="537" t="n"/>
      <c r="AK860" s="282" t="n"/>
      <c r="AL860" s="286" t="n"/>
      <c r="AM860" s="286" t="n"/>
      <c r="AN860" s="282" t="n"/>
    </row>
    <row customHeight="1" ht="15.75" r="861" s="452" spans="1:41">
      <c r="A861" s="44" t="n"/>
      <c r="G861" s="282" t="n"/>
      <c r="J861" s="282" t="n"/>
      <c r="M861" s="282" t="n"/>
      <c r="P861" s="282" t="n"/>
      <c r="S861" s="282" t="n"/>
      <c r="V861" s="282" t="n"/>
      <c r="Y861" s="282" t="n"/>
      <c r="AB861" s="282" t="n"/>
      <c r="AC861" s="537" t="n"/>
      <c r="AD861" s="537" t="n"/>
      <c r="AE861" s="282" t="n"/>
      <c r="AF861" s="537" t="n"/>
      <c r="AG861" s="537" t="n"/>
      <c r="AI861" s="537" t="n"/>
      <c r="AJ861" s="537" t="n"/>
      <c r="AK861" s="282" t="n"/>
      <c r="AL861" s="286" t="n"/>
      <c r="AM861" s="286" t="n"/>
      <c r="AN861" s="282" t="n"/>
    </row>
    <row customHeight="1" ht="15.75" r="862" s="452" spans="1:41">
      <c r="A862" s="44" t="n"/>
      <c r="G862" s="282" t="n"/>
      <c r="J862" s="282" t="n"/>
      <c r="M862" s="282" t="n"/>
      <c r="P862" s="282" t="n"/>
      <c r="S862" s="282" t="n"/>
      <c r="V862" s="282" t="n"/>
      <c r="Y862" s="282" t="n"/>
      <c r="AB862" s="282" t="n"/>
      <c r="AC862" s="537" t="n"/>
      <c r="AD862" s="537" t="n"/>
      <c r="AE862" s="282" t="n"/>
      <c r="AF862" s="537" t="n"/>
      <c r="AG862" s="537" t="n"/>
      <c r="AI862" s="537" t="n"/>
      <c r="AJ862" s="537" t="n"/>
      <c r="AK862" s="282" t="n"/>
      <c r="AL862" s="286" t="n"/>
      <c r="AM862" s="286" t="n"/>
      <c r="AN862" s="282" t="n"/>
    </row>
    <row customHeight="1" ht="15.75" r="863" s="452" spans="1:41">
      <c r="A863" s="44" t="n"/>
      <c r="G863" s="282" t="n"/>
      <c r="J863" s="282" t="n"/>
      <c r="M863" s="282" t="n"/>
      <c r="P863" s="282" t="n"/>
      <c r="S863" s="282" t="n"/>
      <c r="V863" s="282" t="n"/>
      <c r="Y863" s="282" t="n"/>
      <c r="AB863" s="282" t="n"/>
      <c r="AC863" s="537" t="n"/>
      <c r="AD863" s="537" t="n"/>
      <c r="AE863" s="282" t="n"/>
      <c r="AF863" s="537" t="n"/>
      <c r="AG863" s="537" t="n"/>
      <c r="AI863" s="537" t="n"/>
      <c r="AJ863" s="537" t="n"/>
      <c r="AK863" s="282" t="n"/>
      <c r="AL863" s="286" t="n"/>
      <c r="AM863" s="286" t="n"/>
      <c r="AN863" s="282" t="n"/>
    </row>
    <row customHeight="1" ht="15.75" r="864" s="452" spans="1:41">
      <c r="A864" s="44" t="n"/>
      <c r="G864" s="282" t="n"/>
      <c r="J864" s="282" t="n"/>
      <c r="M864" s="282" t="n"/>
      <c r="P864" s="282" t="n"/>
      <c r="S864" s="282" t="n"/>
      <c r="V864" s="282" t="n"/>
      <c r="Y864" s="282" t="n"/>
      <c r="AB864" s="282" t="n"/>
      <c r="AC864" s="537" t="n"/>
      <c r="AD864" s="537" t="n"/>
      <c r="AE864" s="282" t="n"/>
      <c r="AF864" s="537" t="n"/>
      <c r="AG864" s="537" t="n"/>
      <c r="AI864" s="537" t="n"/>
      <c r="AJ864" s="537" t="n"/>
      <c r="AK864" s="282" t="n"/>
      <c r="AL864" s="286" t="n"/>
      <c r="AM864" s="286" t="n"/>
      <c r="AN864" s="282" t="n"/>
    </row>
    <row customHeight="1" ht="15.75" r="865" s="452" spans="1:41">
      <c r="A865" s="44" t="n"/>
      <c r="G865" s="282" t="n"/>
      <c r="J865" s="282" t="n"/>
      <c r="M865" s="282" t="n"/>
      <c r="P865" s="282" t="n"/>
      <c r="S865" s="282" t="n"/>
      <c r="V865" s="282" t="n"/>
      <c r="Y865" s="282" t="n"/>
      <c r="AB865" s="282" t="n"/>
      <c r="AC865" s="537" t="n"/>
      <c r="AD865" s="537" t="n"/>
      <c r="AE865" s="282" t="n"/>
      <c r="AF865" s="537" t="n"/>
      <c r="AG865" s="537" t="n"/>
      <c r="AI865" s="537" t="n"/>
      <c r="AJ865" s="537" t="n"/>
      <c r="AK865" s="282" t="n"/>
      <c r="AL865" s="286" t="n"/>
      <c r="AM865" s="286" t="n"/>
      <c r="AN865" s="282" t="n"/>
    </row>
    <row customHeight="1" ht="15.75" r="866" s="452" spans="1:41">
      <c r="A866" s="44" t="n"/>
      <c r="G866" s="282" t="n"/>
      <c r="J866" s="282" t="n"/>
      <c r="M866" s="282" t="n"/>
      <c r="P866" s="282" t="n"/>
      <c r="S866" s="282" t="n"/>
      <c r="V866" s="282" t="n"/>
      <c r="Y866" s="282" t="n"/>
      <c r="AB866" s="282" t="n"/>
      <c r="AC866" s="537" t="n"/>
      <c r="AD866" s="537" t="n"/>
      <c r="AE866" s="282" t="n"/>
      <c r="AF866" s="537" t="n"/>
      <c r="AG866" s="537" t="n"/>
      <c r="AI866" s="537" t="n"/>
      <c r="AJ866" s="537" t="n"/>
      <c r="AK866" s="282" t="n"/>
      <c r="AL866" s="286" t="n"/>
      <c r="AM866" s="286" t="n"/>
      <c r="AN866" s="282" t="n"/>
    </row>
    <row customHeight="1" ht="15.75" r="867" s="452" spans="1:41">
      <c r="A867" s="44" t="n"/>
      <c r="G867" s="282" t="n"/>
      <c r="J867" s="282" t="n"/>
      <c r="M867" s="282" t="n"/>
      <c r="P867" s="282" t="n"/>
      <c r="S867" s="282" t="n"/>
      <c r="V867" s="282" t="n"/>
      <c r="Y867" s="282" t="n"/>
      <c r="AB867" s="282" t="n"/>
      <c r="AC867" s="537" t="n"/>
      <c r="AD867" s="537" t="n"/>
      <c r="AE867" s="282" t="n"/>
      <c r="AF867" s="537" t="n"/>
      <c r="AG867" s="537" t="n"/>
      <c r="AI867" s="537" t="n"/>
      <c r="AJ867" s="537" t="n"/>
      <c r="AK867" s="282" t="n"/>
      <c r="AL867" s="286" t="n"/>
      <c r="AM867" s="286" t="n"/>
      <c r="AN867" s="282" t="n"/>
    </row>
    <row customHeight="1" ht="15.75" r="868" s="452" spans="1:41">
      <c r="A868" s="44" t="n"/>
      <c r="G868" s="282" t="n"/>
      <c r="J868" s="282" t="n"/>
      <c r="M868" s="282" t="n"/>
      <c r="P868" s="282" t="n"/>
      <c r="S868" s="282" t="n"/>
      <c r="V868" s="282" t="n"/>
      <c r="Y868" s="282" t="n"/>
      <c r="AB868" s="282" t="n"/>
      <c r="AC868" s="537" t="n"/>
      <c r="AD868" s="537" t="n"/>
      <c r="AE868" s="282" t="n"/>
      <c r="AF868" s="537" t="n"/>
      <c r="AG868" s="537" t="n"/>
      <c r="AI868" s="537" t="n"/>
      <c r="AJ868" s="537" t="n"/>
      <c r="AK868" s="282" t="n"/>
      <c r="AL868" s="286" t="n"/>
      <c r="AM868" s="286" t="n"/>
      <c r="AN868" s="282" t="n"/>
    </row>
    <row customHeight="1" ht="15.75" r="869" s="452" spans="1:41">
      <c r="A869" s="44" t="n"/>
      <c r="G869" s="282" t="n"/>
      <c r="J869" s="282" t="n"/>
      <c r="M869" s="282" t="n"/>
      <c r="P869" s="282" t="n"/>
      <c r="S869" s="282" t="n"/>
      <c r="V869" s="282" t="n"/>
      <c r="Y869" s="282" t="n"/>
      <c r="AB869" s="282" t="n"/>
      <c r="AC869" s="537" t="n"/>
      <c r="AD869" s="537" t="n"/>
      <c r="AE869" s="282" t="n"/>
      <c r="AF869" s="537" t="n"/>
      <c r="AG869" s="537" t="n"/>
      <c r="AI869" s="537" t="n"/>
      <c r="AJ869" s="537" t="n"/>
      <c r="AK869" s="282" t="n"/>
      <c r="AL869" s="286" t="n"/>
      <c r="AM869" s="286" t="n"/>
      <c r="AN869" s="282" t="n"/>
    </row>
    <row customHeight="1" ht="15.75" r="870" s="452" spans="1:41">
      <c r="A870" s="44" t="n"/>
      <c r="G870" s="282" t="n"/>
      <c r="J870" s="282" t="n"/>
      <c r="M870" s="282" t="n"/>
      <c r="P870" s="282" t="n"/>
      <c r="S870" s="282" t="n"/>
      <c r="V870" s="282" t="n"/>
      <c r="Y870" s="282" t="n"/>
      <c r="AB870" s="282" t="n"/>
      <c r="AC870" s="537" t="n"/>
      <c r="AD870" s="537" t="n"/>
      <c r="AE870" s="282" t="n"/>
      <c r="AF870" s="537" t="n"/>
      <c r="AG870" s="537" t="n"/>
      <c r="AI870" s="537" t="n"/>
      <c r="AJ870" s="537" t="n"/>
      <c r="AK870" s="282" t="n"/>
      <c r="AL870" s="286" t="n"/>
      <c r="AM870" s="286" t="n"/>
      <c r="AN870" s="282" t="n"/>
    </row>
    <row customHeight="1" ht="15.75" r="871" s="452" spans="1:41">
      <c r="A871" s="44" t="n"/>
      <c r="G871" s="282" t="n"/>
      <c r="J871" s="282" t="n"/>
      <c r="M871" s="282" t="n"/>
      <c r="P871" s="282" t="n"/>
      <c r="S871" s="282" t="n"/>
      <c r="V871" s="282" t="n"/>
      <c r="Y871" s="282" t="n"/>
      <c r="AB871" s="282" t="n"/>
      <c r="AC871" s="537" t="n"/>
      <c r="AD871" s="537" t="n"/>
      <c r="AE871" s="282" t="n"/>
      <c r="AF871" s="537" t="n"/>
      <c r="AG871" s="537" t="n"/>
      <c r="AI871" s="537" t="n"/>
      <c r="AJ871" s="537" t="n"/>
      <c r="AK871" s="282" t="n"/>
      <c r="AL871" s="286" t="n"/>
      <c r="AM871" s="286" t="n"/>
      <c r="AN871" s="282" t="n"/>
    </row>
    <row customHeight="1" ht="15.75" r="872" s="452" spans="1:41">
      <c r="A872" s="44" t="n"/>
      <c r="G872" s="282" t="n"/>
      <c r="J872" s="282" t="n"/>
      <c r="M872" s="282" t="n"/>
      <c r="P872" s="282" t="n"/>
      <c r="S872" s="282" t="n"/>
      <c r="V872" s="282" t="n"/>
      <c r="Y872" s="282" t="n"/>
      <c r="AB872" s="282" t="n"/>
      <c r="AC872" s="537" t="n"/>
      <c r="AD872" s="537" t="n"/>
      <c r="AE872" s="282" t="n"/>
      <c r="AF872" s="537" t="n"/>
      <c r="AG872" s="537" t="n"/>
      <c r="AI872" s="537" t="n"/>
      <c r="AJ872" s="537" t="n"/>
      <c r="AK872" s="282" t="n"/>
      <c r="AL872" s="286" t="n"/>
      <c r="AM872" s="286" t="n"/>
      <c r="AN872" s="282" t="n"/>
    </row>
    <row customHeight="1" ht="15.75" r="873" s="452" spans="1:41">
      <c r="A873" s="44" t="n"/>
      <c r="G873" s="282" t="n"/>
      <c r="J873" s="282" t="n"/>
      <c r="M873" s="282" t="n"/>
      <c r="P873" s="282" t="n"/>
      <c r="S873" s="282" t="n"/>
      <c r="V873" s="282" t="n"/>
      <c r="Y873" s="282" t="n"/>
      <c r="AB873" s="282" t="n"/>
      <c r="AC873" s="537" t="n"/>
      <c r="AD873" s="537" t="n"/>
      <c r="AE873" s="282" t="n"/>
      <c r="AF873" s="537" t="n"/>
      <c r="AG873" s="537" t="n"/>
      <c r="AI873" s="537" t="n"/>
      <c r="AJ873" s="537" t="n"/>
      <c r="AK873" s="282" t="n"/>
      <c r="AL873" s="286" t="n"/>
      <c r="AM873" s="286" t="n"/>
      <c r="AN873" s="282" t="n"/>
    </row>
    <row customHeight="1" ht="15.75" r="874" s="452" spans="1:41">
      <c r="A874" s="44" t="n"/>
      <c r="G874" s="282" t="n"/>
      <c r="J874" s="282" t="n"/>
      <c r="M874" s="282" t="n"/>
      <c r="P874" s="282" t="n"/>
      <c r="S874" s="282" t="n"/>
      <c r="V874" s="282" t="n"/>
      <c r="Y874" s="282" t="n"/>
      <c r="AB874" s="282" t="n"/>
      <c r="AC874" s="537" t="n"/>
      <c r="AD874" s="537" t="n"/>
      <c r="AE874" s="282" t="n"/>
      <c r="AF874" s="537" t="n"/>
      <c r="AG874" s="537" t="n"/>
      <c r="AI874" s="537" t="n"/>
      <c r="AJ874" s="537" t="n"/>
      <c r="AK874" s="282" t="n"/>
      <c r="AL874" s="286" t="n"/>
      <c r="AM874" s="286" t="n"/>
      <c r="AN874" s="282" t="n"/>
    </row>
    <row customHeight="1" ht="15.75" r="875" s="452" spans="1:41">
      <c r="A875" s="44" t="n"/>
      <c r="G875" s="282" t="n"/>
      <c r="J875" s="282" t="n"/>
      <c r="M875" s="282" t="n"/>
      <c r="P875" s="282" t="n"/>
      <c r="S875" s="282" t="n"/>
      <c r="V875" s="282" t="n"/>
      <c r="Y875" s="282" t="n"/>
      <c r="AB875" s="282" t="n"/>
      <c r="AC875" s="537" t="n"/>
      <c r="AD875" s="537" t="n"/>
      <c r="AE875" s="282" t="n"/>
      <c r="AF875" s="537" t="n"/>
      <c r="AG875" s="537" t="n"/>
      <c r="AI875" s="537" t="n"/>
      <c r="AJ875" s="537" t="n"/>
      <c r="AK875" s="282" t="n"/>
      <c r="AL875" s="286" t="n"/>
      <c r="AM875" s="286" t="n"/>
      <c r="AN875" s="282" t="n"/>
    </row>
    <row customHeight="1" ht="15.75" r="876" s="452" spans="1:41">
      <c r="A876" s="44" t="n"/>
      <c r="G876" s="282" t="n"/>
      <c r="J876" s="282" t="n"/>
      <c r="M876" s="282" t="n"/>
      <c r="P876" s="282" t="n"/>
      <c r="S876" s="282" t="n"/>
      <c r="V876" s="282" t="n"/>
      <c r="Y876" s="282" t="n"/>
      <c r="AB876" s="282" t="n"/>
      <c r="AC876" s="537" t="n"/>
      <c r="AD876" s="537" t="n"/>
      <c r="AE876" s="282" t="n"/>
      <c r="AF876" s="537" t="n"/>
      <c r="AG876" s="537" t="n"/>
      <c r="AI876" s="537" t="n"/>
      <c r="AJ876" s="537" t="n"/>
      <c r="AK876" s="282" t="n"/>
      <c r="AL876" s="286" t="n"/>
      <c r="AM876" s="286" t="n"/>
      <c r="AN876" s="282" t="n"/>
    </row>
    <row customHeight="1" ht="15.75" r="877" s="452" spans="1:41">
      <c r="A877" s="44" t="n"/>
      <c r="G877" s="282" t="n"/>
      <c r="J877" s="282" t="n"/>
      <c r="M877" s="282" t="n"/>
      <c r="P877" s="282" t="n"/>
      <c r="S877" s="282" t="n"/>
      <c r="V877" s="282" t="n"/>
      <c r="Y877" s="282" t="n"/>
      <c r="AB877" s="282" t="n"/>
      <c r="AC877" s="537" t="n"/>
      <c r="AD877" s="537" t="n"/>
      <c r="AE877" s="282" t="n"/>
      <c r="AF877" s="537" t="n"/>
      <c r="AG877" s="537" t="n"/>
      <c r="AI877" s="537" t="n"/>
      <c r="AJ877" s="537" t="n"/>
      <c r="AK877" s="282" t="n"/>
      <c r="AL877" s="286" t="n"/>
      <c r="AM877" s="286" t="n"/>
      <c r="AN877" s="282" t="n"/>
    </row>
    <row customHeight="1" ht="15.75" r="878" s="452" spans="1:41">
      <c r="A878" s="44" t="n"/>
      <c r="G878" s="282" t="n"/>
      <c r="J878" s="282" t="n"/>
      <c r="M878" s="282" t="n"/>
      <c r="P878" s="282" t="n"/>
      <c r="S878" s="282" t="n"/>
      <c r="V878" s="282" t="n"/>
      <c r="Y878" s="282" t="n"/>
      <c r="AB878" s="282" t="n"/>
      <c r="AC878" s="537" t="n"/>
      <c r="AD878" s="537" t="n"/>
      <c r="AE878" s="282" t="n"/>
      <c r="AF878" s="537" t="n"/>
      <c r="AG878" s="537" t="n"/>
      <c r="AI878" s="537" t="n"/>
      <c r="AJ878" s="537" t="n"/>
      <c r="AK878" s="282" t="n"/>
      <c r="AL878" s="286" t="n"/>
      <c r="AM878" s="286" t="n"/>
      <c r="AN878" s="282" t="n"/>
    </row>
    <row customHeight="1" ht="15.75" r="879" s="452" spans="1:41">
      <c r="A879" s="44" t="n"/>
      <c r="G879" s="282" t="n"/>
      <c r="J879" s="282" t="n"/>
      <c r="M879" s="282" t="n"/>
      <c r="P879" s="282" t="n"/>
      <c r="S879" s="282" t="n"/>
      <c r="V879" s="282" t="n"/>
      <c r="Y879" s="282" t="n"/>
      <c r="AB879" s="282" t="n"/>
      <c r="AC879" s="537" t="n"/>
      <c r="AD879" s="537" t="n"/>
      <c r="AE879" s="282" t="n"/>
      <c r="AF879" s="537" t="n"/>
      <c r="AG879" s="537" t="n"/>
      <c r="AI879" s="537" t="n"/>
      <c r="AJ879" s="537" t="n"/>
      <c r="AK879" s="282" t="n"/>
      <c r="AL879" s="286" t="n"/>
      <c r="AM879" s="286" t="n"/>
      <c r="AN879" s="282" t="n"/>
    </row>
    <row customHeight="1" ht="15.75" r="880" s="452" spans="1:41">
      <c r="A880" s="44" t="n"/>
      <c r="G880" s="282" t="n"/>
      <c r="J880" s="282" t="n"/>
      <c r="M880" s="282" t="n"/>
      <c r="P880" s="282" t="n"/>
      <c r="S880" s="282" t="n"/>
      <c r="V880" s="282" t="n"/>
      <c r="Y880" s="282" t="n"/>
      <c r="AB880" s="282" t="n"/>
      <c r="AC880" s="537" t="n"/>
      <c r="AD880" s="537" t="n"/>
      <c r="AE880" s="282" t="n"/>
      <c r="AF880" s="537" t="n"/>
      <c r="AG880" s="537" t="n"/>
      <c r="AI880" s="537" t="n"/>
      <c r="AJ880" s="537" t="n"/>
      <c r="AK880" s="282" t="n"/>
      <c r="AL880" s="286" t="n"/>
      <c r="AM880" s="286" t="n"/>
      <c r="AN880" s="282" t="n"/>
    </row>
    <row customHeight="1" ht="15.75" r="881" s="452" spans="1:41">
      <c r="A881" s="44" t="n"/>
      <c r="G881" s="282" t="n"/>
      <c r="J881" s="282" t="n"/>
      <c r="M881" s="282" t="n"/>
      <c r="P881" s="282" t="n"/>
      <c r="S881" s="282" t="n"/>
      <c r="V881" s="282" t="n"/>
      <c r="Y881" s="282" t="n"/>
      <c r="AB881" s="282" t="n"/>
      <c r="AC881" s="537" t="n"/>
      <c r="AD881" s="537" t="n"/>
      <c r="AE881" s="282" t="n"/>
      <c r="AF881" s="537" t="n"/>
      <c r="AG881" s="537" t="n"/>
      <c r="AI881" s="537" t="n"/>
      <c r="AJ881" s="537" t="n"/>
      <c r="AK881" s="282" t="n"/>
      <c r="AL881" s="286" t="n"/>
      <c r="AM881" s="286" t="n"/>
      <c r="AN881" s="282" t="n"/>
    </row>
    <row customHeight="1" ht="15.75" r="882" s="452" spans="1:41">
      <c r="A882" s="44" t="n"/>
      <c r="G882" s="282" t="n"/>
      <c r="J882" s="282" t="n"/>
      <c r="M882" s="282" t="n"/>
      <c r="P882" s="282" t="n"/>
      <c r="S882" s="282" t="n"/>
      <c r="V882" s="282" t="n"/>
      <c r="Y882" s="282" t="n"/>
      <c r="AB882" s="282" t="n"/>
      <c r="AC882" s="537" t="n"/>
      <c r="AD882" s="537" t="n"/>
      <c r="AE882" s="282" t="n"/>
      <c r="AF882" s="537" t="n"/>
      <c r="AG882" s="537" t="n"/>
      <c r="AI882" s="537" t="n"/>
      <c r="AJ882" s="537" t="n"/>
      <c r="AK882" s="282" t="n"/>
      <c r="AL882" s="286" t="n"/>
      <c r="AM882" s="286" t="n"/>
      <c r="AN882" s="282" t="n"/>
    </row>
    <row customHeight="1" ht="15.75" r="883" s="452" spans="1:41">
      <c r="A883" s="44" t="n"/>
      <c r="G883" s="282" t="n"/>
      <c r="J883" s="282" t="n"/>
      <c r="M883" s="282" t="n"/>
      <c r="P883" s="282" t="n"/>
      <c r="S883" s="282" t="n"/>
      <c r="V883" s="282" t="n"/>
      <c r="Y883" s="282" t="n"/>
      <c r="AB883" s="282" t="n"/>
      <c r="AC883" s="537" t="n"/>
      <c r="AD883" s="537" t="n"/>
      <c r="AE883" s="282" t="n"/>
      <c r="AF883" s="537" t="n"/>
      <c r="AG883" s="537" t="n"/>
      <c r="AI883" s="537" t="n"/>
      <c r="AJ883" s="537" t="n"/>
      <c r="AK883" s="282" t="n"/>
      <c r="AL883" s="286" t="n"/>
      <c r="AM883" s="286" t="n"/>
      <c r="AN883" s="282" t="n"/>
    </row>
    <row customHeight="1" ht="15.75" r="884" s="452" spans="1:41">
      <c r="A884" s="44" t="n"/>
      <c r="G884" s="282" t="n"/>
      <c r="J884" s="282" t="n"/>
      <c r="M884" s="282" t="n"/>
      <c r="P884" s="282" t="n"/>
      <c r="S884" s="282" t="n"/>
      <c r="V884" s="282" t="n"/>
      <c r="Y884" s="282" t="n"/>
      <c r="AB884" s="282" t="n"/>
      <c r="AC884" s="537" t="n"/>
      <c r="AD884" s="537" t="n"/>
      <c r="AE884" s="282" t="n"/>
      <c r="AF884" s="537" t="n"/>
      <c r="AG884" s="537" t="n"/>
      <c r="AI884" s="537" t="n"/>
      <c r="AJ884" s="537" t="n"/>
      <c r="AK884" s="282" t="n"/>
      <c r="AL884" s="286" t="n"/>
      <c r="AM884" s="286" t="n"/>
      <c r="AN884" s="282" t="n"/>
    </row>
    <row customHeight="1" ht="15.75" r="885" s="452" spans="1:41">
      <c r="A885" s="44" t="n"/>
      <c r="G885" s="282" t="n"/>
      <c r="J885" s="282" t="n"/>
      <c r="M885" s="282" t="n"/>
      <c r="P885" s="282" t="n"/>
      <c r="S885" s="282" t="n"/>
      <c r="V885" s="282" t="n"/>
      <c r="Y885" s="282" t="n"/>
      <c r="AB885" s="282" t="n"/>
      <c r="AC885" s="537" t="n"/>
      <c r="AD885" s="537" t="n"/>
      <c r="AE885" s="282" t="n"/>
      <c r="AF885" s="537" t="n"/>
      <c r="AG885" s="537" t="n"/>
      <c r="AI885" s="537" t="n"/>
      <c r="AJ885" s="537" t="n"/>
      <c r="AK885" s="282" t="n"/>
      <c r="AL885" s="286" t="n"/>
      <c r="AM885" s="286" t="n"/>
      <c r="AN885" s="282" t="n"/>
    </row>
    <row customHeight="1" ht="15.75" r="886" s="452" spans="1:41">
      <c r="A886" s="44" t="n"/>
      <c r="G886" s="282" t="n"/>
      <c r="J886" s="282" t="n"/>
      <c r="M886" s="282" t="n"/>
      <c r="P886" s="282" t="n"/>
      <c r="S886" s="282" t="n"/>
      <c r="V886" s="282" t="n"/>
      <c r="Y886" s="282" t="n"/>
      <c r="AB886" s="282" t="n"/>
      <c r="AC886" s="537" t="n"/>
      <c r="AD886" s="537" t="n"/>
      <c r="AE886" s="282" t="n"/>
      <c r="AF886" s="537" t="n"/>
      <c r="AG886" s="537" t="n"/>
      <c r="AI886" s="537" t="n"/>
      <c r="AJ886" s="537" t="n"/>
      <c r="AK886" s="282" t="n"/>
      <c r="AL886" s="286" t="n"/>
      <c r="AM886" s="286" t="n"/>
      <c r="AN886" s="282" t="n"/>
    </row>
    <row customHeight="1" ht="15.75" r="887" s="452" spans="1:41">
      <c r="A887" s="44" t="n"/>
      <c r="G887" s="282" t="n"/>
      <c r="J887" s="282" t="n"/>
      <c r="M887" s="282" t="n"/>
      <c r="P887" s="282" t="n"/>
      <c r="S887" s="282" t="n"/>
      <c r="V887" s="282" t="n"/>
      <c r="Y887" s="282" t="n"/>
      <c r="AB887" s="282" t="n"/>
      <c r="AC887" s="537" t="n"/>
      <c r="AD887" s="537" t="n"/>
      <c r="AE887" s="282" t="n"/>
      <c r="AF887" s="537" t="n"/>
      <c r="AG887" s="537" t="n"/>
      <c r="AI887" s="537" t="n"/>
      <c r="AJ887" s="537" t="n"/>
      <c r="AK887" s="282" t="n"/>
      <c r="AL887" s="286" t="n"/>
      <c r="AM887" s="286" t="n"/>
      <c r="AN887" s="282" t="n"/>
    </row>
    <row customHeight="1" ht="15.75" r="888" s="452" spans="1:41">
      <c r="A888" s="44" t="n"/>
      <c r="G888" s="282" t="n"/>
      <c r="J888" s="282" t="n"/>
      <c r="M888" s="282" t="n"/>
      <c r="P888" s="282" t="n"/>
      <c r="S888" s="282" t="n"/>
      <c r="V888" s="282" t="n"/>
      <c r="Y888" s="282" t="n"/>
      <c r="AB888" s="282" t="n"/>
      <c r="AC888" s="537" t="n"/>
      <c r="AD888" s="537" t="n"/>
      <c r="AE888" s="282" t="n"/>
      <c r="AF888" s="537" t="n"/>
      <c r="AG888" s="537" t="n"/>
      <c r="AI888" s="537" t="n"/>
      <c r="AJ888" s="537" t="n"/>
      <c r="AK888" s="282" t="n"/>
      <c r="AL888" s="286" t="n"/>
      <c r="AM888" s="286" t="n"/>
      <c r="AN888" s="282" t="n"/>
    </row>
    <row customHeight="1" ht="15.75" r="889" s="452" spans="1:41">
      <c r="A889" s="44" t="n"/>
      <c r="G889" s="282" t="n"/>
      <c r="J889" s="282" t="n"/>
      <c r="M889" s="282" t="n"/>
      <c r="P889" s="282" t="n"/>
      <c r="S889" s="282" t="n"/>
      <c r="V889" s="282" t="n"/>
      <c r="Y889" s="282" t="n"/>
      <c r="AB889" s="282" t="n"/>
      <c r="AC889" s="537" t="n"/>
      <c r="AD889" s="537" t="n"/>
      <c r="AE889" s="282" t="n"/>
      <c r="AF889" s="537" t="n"/>
      <c r="AG889" s="537" t="n"/>
      <c r="AI889" s="537" t="n"/>
      <c r="AJ889" s="537" t="n"/>
      <c r="AK889" s="282" t="n"/>
      <c r="AL889" s="286" t="n"/>
      <c r="AM889" s="286" t="n"/>
      <c r="AN889" s="282" t="n"/>
    </row>
    <row customHeight="1" ht="15.75" r="890" s="452" spans="1:41">
      <c r="A890" s="44" t="n"/>
      <c r="G890" s="282" t="n"/>
      <c r="J890" s="282" t="n"/>
      <c r="M890" s="282" t="n"/>
      <c r="P890" s="282" t="n"/>
      <c r="S890" s="282" t="n"/>
      <c r="V890" s="282" t="n"/>
      <c r="Y890" s="282" t="n"/>
      <c r="AB890" s="282" t="n"/>
      <c r="AC890" s="537" t="n"/>
      <c r="AD890" s="537" t="n"/>
      <c r="AE890" s="282" t="n"/>
      <c r="AF890" s="537" t="n"/>
      <c r="AG890" s="537" t="n"/>
      <c r="AI890" s="537" t="n"/>
      <c r="AJ890" s="537" t="n"/>
      <c r="AK890" s="282" t="n"/>
      <c r="AL890" s="286" t="n"/>
      <c r="AM890" s="286" t="n"/>
      <c r="AN890" s="282" t="n"/>
    </row>
    <row customHeight="1" ht="15.75" r="891" s="452" spans="1:41">
      <c r="A891" s="44" t="n"/>
      <c r="G891" s="282" t="n"/>
      <c r="J891" s="282" t="n"/>
      <c r="M891" s="282" t="n"/>
      <c r="P891" s="282" t="n"/>
      <c r="S891" s="282" t="n"/>
      <c r="V891" s="282" t="n"/>
      <c r="Y891" s="282" t="n"/>
      <c r="AB891" s="282" t="n"/>
      <c r="AC891" s="537" t="n"/>
      <c r="AD891" s="537" t="n"/>
      <c r="AE891" s="282" t="n"/>
      <c r="AF891" s="537" t="n"/>
      <c r="AG891" s="537" t="n"/>
      <c r="AI891" s="537" t="n"/>
      <c r="AJ891" s="537" t="n"/>
      <c r="AK891" s="282" t="n"/>
      <c r="AL891" s="286" t="n"/>
      <c r="AM891" s="286" t="n"/>
      <c r="AN891" s="282" t="n"/>
    </row>
    <row customHeight="1" ht="15.75" r="892" s="452" spans="1:41">
      <c r="A892" s="44" t="n"/>
      <c r="G892" s="282" t="n"/>
      <c r="J892" s="282" t="n"/>
      <c r="M892" s="282" t="n"/>
      <c r="P892" s="282" t="n"/>
      <c r="S892" s="282" t="n"/>
      <c r="V892" s="282" t="n"/>
      <c r="Y892" s="282" t="n"/>
      <c r="AB892" s="282" t="n"/>
      <c r="AC892" s="537" t="n"/>
      <c r="AD892" s="537" t="n"/>
      <c r="AE892" s="282" t="n"/>
      <c r="AF892" s="537" t="n"/>
      <c r="AG892" s="537" t="n"/>
      <c r="AI892" s="537" t="n"/>
      <c r="AJ892" s="537" t="n"/>
      <c r="AK892" s="282" t="n"/>
      <c r="AL892" s="286" t="n"/>
      <c r="AM892" s="286" t="n"/>
      <c r="AN892" s="282" t="n"/>
    </row>
    <row customHeight="1" ht="15.75" r="893" s="452" spans="1:41">
      <c r="A893" s="44" t="n"/>
      <c r="G893" s="282" t="n"/>
      <c r="J893" s="282" t="n"/>
      <c r="M893" s="282" t="n"/>
      <c r="P893" s="282" t="n"/>
      <c r="S893" s="282" t="n"/>
      <c r="V893" s="282" t="n"/>
      <c r="Y893" s="282" t="n"/>
      <c r="AB893" s="282" t="n"/>
      <c r="AC893" s="537" t="n"/>
      <c r="AD893" s="537" t="n"/>
      <c r="AE893" s="282" t="n"/>
      <c r="AF893" s="537" t="n"/>
      <c r="AG893" s="537" t="n"/>
      <c r="AI893" s="537" t="n"/>
      <c r="AJ893" s="537" t="n"/>
      <c r="AK893" s="282" t="n"/>
      <c r="AL893" s="286" t="n"/>
      <c r="AM893" s="286" t="n"/>
      <c r="AN893" s="282" t="n"/>
    </row>
    <row customHeight="1" ht="15.75" r="894" s="452" spans="1:41">
      <c r="A894" s="44" t="n"/>
      <c r="G894" s="282" t="n"/>
      <c r="J894" s="282" t="n"/>
      <c r="M894" s="282" t="n"/>
      <c r="P894" s="282" t="n"/>
      <c r="S894" s="282" t="n"/>
      <c r="V894" s="282" t="n"/>
      <c r="Y894" s="282" t="n"/>
      <c r="AB894" s="282" t="n"/>
      <c r="AC894" s="537" t="n"/>
      <c r="AD894" s="537" t="n"/>
      <c r="AE894" s="282" t="n"/>
      <c r="AF894" s="537" t="n"/>
      <c r="AG894" s="537" t="n"/>
      <c r="AI894" s="537" t="n"/>
      <c r="AJ894" s="537" t="n"/>
      <c r="AK894" s="282" t="n"/>
      <c r="AL894" s="286" t="n"/>
      <c r="AM894" s="286" t="n"/>
      <c r="AN894" s="282" t="n"/>
    </row>
    <row customHeight="1" ht="15.75" r="895" s="452" spans="1:41">
      <c r="A895" s="44" t="n"/>
      <c r="G895" s="282" t="n"/>
      <c r="J895" s="282" t="n"/>
      <c r="M895" s="282" t="n"/>
      <c r="P895" s="282" t="n"/>
      <c r="S895" s="282" t="n"/>
      <c r="V895" s="282" t="n"/>
      <c r="Y895" s="282" t="n"/>
      <c r="AB895" s="282" t="n"/>
      <c r="AC895" s="537" t="n"/>
      <c r="AD895" s="537" t="n"/>
      <c r="AE895" s="282" t="n"/>
      <c r="AF895" s="537" t="n"/>
      <c r="AG895" s="537" t="n"/>
      <c r="AI895" s="537" t="n"/>
      <c r="AJ895" s="537" t="n"/>
      <c r="AK895" s="282" t="n"/>
      <c r="AL895" s="286" t="n"/>
      <c r="AM895" s="286" t="n"/>
      <c r="AN895" s="282" t="n"/>
    </row>
    <row customHeight="1" ht="15.75" r="896" s="452" spans="1:41">
      <c r="A896" s="44" t="n"/>
      <c r="G896" s="282" t="n"/>
      <c r="J896" s="282" t="n"/>
      <c r="M896" s="282" t="n"/>
      <c r="P896" s="282" t="n"/>
      <c r="S896" s="282" t="n"/>
      <c r="V896" s="282" t="n"/>
      <c r="Y896" s="282" t="n"/>
      <c r="AB896" s="282" t="n"/>
      <c r="AC896" s="537" t="n"/>
      <c r="AD896" s="537" t="n"/>
      <c r="AE896" s="282" t="n"/>
      <c r="AF896" s="537" t="n"/>
      <c r="AG896" s="537" t="n"/>
      <c r="AI896" s="537" t="n"/>
      <c r="AJ896" s="537" t="n"/>
      <c r="AK896" s="282" t="n"/>
      <c r="AL896" s="286" t="n"/>
      <c r="AM896" s="286" t="n"/>
      <c r="AN896" s="282" t="n"/>
    </row>
    <row customHeight="1" ht="15.75" r="897" s="452" spans="1:41">
      <c r="A897" s="44" t="n"/>
      <c r="G897" s="282" t="n"/>
      <c r="J897" s="282" t="n"/>
      <c r="M897" s="282" t="n"/>
      <c r="P897" s="282" t="n"/>
      <c r="S897" s="282" t="n"/>
      <c r="V897" s="282" t="n"/>
      <c r="Y897" s="282" t="n"/>
      <c r="AB897" s="282" t="n"/>
      <c r="AC897" s="537" t="n"/>
      <c r="AD897" s="537" t="n"/>
      <c r="AE897" s="282" t="n"/>
      <c r="AF897" s="537" t="n"/>
      <c r="AG897" s="537" t="n"/>
      <c r="AI897" s="537" t="n"/>
      <c r="AJ897" s="537" t="n"/>
      <c r="AK897" s="282" t="n"/>
      <c r="AL897" s="286" t="n"/>
      <c r="AM897" s="286" t="n"/>
      <c r="AN897" s="282" t="n"/>
    </row>
    <row customHeight="1" ht="15.75" r="898" s="452" spans="1:41">
      <c r="A898" s="44" t="n"/>
      <c r="G898" s="282" t="n"/>
      <c r="J898" s="282" t="n"/>
      <c r="M898" s="282" t="n"/>
      <c r="P898" s="282" t="n"/>
      <c r="S898" s="282" t="n"/>
      <c r="V898" s="282" t="n"/>
      <c r="Y898" s="282" t="n"/>
      <c r="AB898" s="282" t="n"/>
      <c r="AC898" s="537" t="n"/>
      <c r="AD898" s="537" t="n"/>
      <c r="AE898" s="282" t="n"/>
      <c r="AF898" s="537" t="n"/>
      <c r="AG898" s="537" t="n"/>
      <c r="AI898" s="537" t="n"/>
      <c r="AJ898" s="537" t="n"/>
      <c r="AK898" s="282" t="n"/>
      <c r="AL898" s="286" t="n"/>
      <c r="AM898" s="286" t="n"/>
      <c r="AN898" s="282" t="n"/>
    </row>
    <row customHeight="1" ht="15.75" r="899" s="452" spans="1:41">
      <c r="A899" s="44" t="n"/>
      <c r="G899" s="282" t="n"/>
      <c r="J899" s="282" t="n"/>
      <c r="M899" s="282" t="n"/>
      <c r="P899" s="282" t="n"/>
      <c r="S899" s="282" t="n"/>
      <c r="V899" s="282" t="n"/>
      <c r="Y899" s="282" t="n"/>
      <c r="AB899" s="282" t="n"/>
      <c r="AC899" s="537" t="n"/>
      <c r="AD899" s="537" t="n"/>
      <c r="AE899" s="282" t="n"/>
      <c r="AF899" s="537" t="n"/>
      <c r="AG899" s="537" t="n"/>
      <c r="AI899" s="537" t="n"/>
      <c r="AJ899" s="537" t="n"/>
      <c r="AK899" s="282" t="n"/>
      <c r="AL899" s="286" t="n"/>
      <c r="AM899" s="286" t="n"/>
      <c r="AN899" s="282" t="n"/>
    </row>
    <row customHeight="1" ht="15.75" r="900" s="452" spans="1:41">
      <c r="A900" s="44" t="n"/>
      <c r="G900" s="282" t="n"/>
      <c r="J900" s="282" t="n"/>
      <c r="M900" s="282" t="n"/>
      <c r="P900" s="282" t="n"/>
      <c r="S900" s="282" t="n"/>
      <c r="V900" s="282" t="n"/>
      <c r="Y900" s="282" t="n"/>
      <c r="AB900" s="282" t="n"/>
      <c r="AC900" s="537" t="n"/>
      <c r="AD900" s="537" t="n"/>
      <c r="AE900" s="282" t="n"/>
      <c r="AF900" s="537" t="n"/>
      <c r="AG900" s="537" t="n"/>
      <c r="AI900" s="537" t="n"/>
      <c r="AJ900" s="537" t="n"/>
      <c r="AK900" s="282" t="n"/>
      <c r="AL900" s="286" t="n"/>
      <c r="AM900" s="286" t="n"/>
      <c r="AN900" s="282" t="n"/>
    </row>
    <row customHeight="1" ht="15.75" r="901" s="452" spans="1:41">
      <c r="A901" s="44" t="n"/>
      <c r="G901" s="282" t="n"/>
      <c r="J901" s="282" t="n"/>
      <c r="M901" s="282" t="n"/>
      <c r="P901" s="282" t="n"/>
      <c r="S901" s="282" t="n"/>
      <c r="V901" s="282" t="n"/>
      <c r="Y901" s="282" t="n"/>
      <c r="AB901" s="282" t="n"/>
      <c r="AC901" s="537" t="n"/>
      <c r="AD901" s="537" t="n"/>
      <c r="AE901" s="282" t="n"/>
      <c r="AF901" s="537" t="n"/>
      <c r="AG901" s="537" t="n"/>
      <c r="AI901" s="537" t="n"/>
      <c r="AJ901" s="537" t="n"/>
      <c r="AK901" s="282" t="n"/>
      <c r="AL901" s="286" t="n"/>
      <c r="AM901" s="286" t="n"/>
      <c r="AN901" s="282" t="n"/>
    </row>
    <row customHeight="1" ht="15.75" r="902" s="452" spans="1:41">
      <c r="A902" s="44" t="n"/>
      <c r="G902" s="282" t="n"/>
      <c r="J902" s="282" t="n"/>
      <c r="M902" s="282" t="n"/>
      <c r="P902" s="282" t="n"/>
      <c r="S902" s="282" t="n"/>
      <c r="V902" s="282" t="n"/>
      <c r="Y902" s="282" t="n"/>
      <c r="AB902" s="282" t="n"/>
      <c r="AC902" s="537" t="n"/>
      <c r="AD902" s="537" t="n"/>
      <c r="AE902" s="282" t="n"/>
      <c r="AF902" s="537" t="n"/>
      <c r="AG902" s="537" t="n"/>
      <c r="AI902" s="537" t="n"/>
      <c r="AJ902" s="537" t="n"/>
      <c r="AK902" s="282" t="n"/>
      <c r="AL902" s="286" t="n"/>
      <c r="AM902" s="286" t="n"/>
      <c r="AN902" s="282" t="n"/>
    </row>
    <row customHeight="1" ht="15.75" r="903" s="452" spans="1:41">
      <c r="A903" s="44" t="n"/>
      <c r="G903" s="282" t="n"/>
      <c r="J903" s="282" t="n"/>
      <c r="M903" s="282" t="n"/>
      <c r="P903" s="282" t="n"/>
      <c r="S903" s="282" t="n"/>
      <c r="V903" s="282" t="n"/>
      <c r="Y903" s="282" t="n"/>
      <c r="AB903" s="282" t="n"/>
      <c r="AC903" s="537" t="n"/>
      <c r="AD903" s="537" t="n"/>
      <c r="AE903" s="282" t="n"/>
      <c r="AF903" s="537" t="n"/>
      <c r="AG903" s="537" t="n"/>
      <c r="AI903" s="537" t="n"/>
      <c r="AJ903" s="537" t="n"/>
      <c r="AK903" s="282" t="n"/>
      <c r="AL903" s="286" t="n"/>
      <c r="AM903" s="286" t="n"/>
      <c r="AN903" s="282" t="n"/>
    </row>
    <row customHeight="1" ht="15.75" r="904" s="452" spans="1:41">
      <c r="A904" s="44" t="n"/>
      <c r="G904" s="282" t="n"/>
      <c r="J904" s="282" t="n"/>
      <c r="M904" s="282" t="n"/>
      <c r="P904" s="282" t="n"/>
      <c r="S904" s="282" t="n"/>
      <c r="V904" s="282" t="n"/>
      <c r="Y904" s="282" t="n"/>
      <c r="AB904" s="282" t="n"/>
      <c r="AC904" s="537" t="n"/>
      <c r="AD904" s="537" t="n"/>
      <c r="AE904" s="282" t="n"/>
      <c r="AF904" s="537" t="n"/>
      <c r="AG904" s="537" t="n"/>
      <c r="AI904" s="537" t="n"/>
      <c r="AJ904" s="537" t="n"/>
      <c r="AK904" s="282" t="n"/>
      <c r="AL904" s="286" t="n"/>
      <c r="AM904" s="286" t="n"/>
      <c r="AN904" s="282" t="n"/>
    </row>
    <row customHeight="1" ht="15.75" r="905" s="452" spans="1:41">
      <c r="A905" s="44" t="n"/>
      <c r="G905" s="282" t="n"/>
      <c r="J905" s="282" t="n"/>
      <c r="M905" s="282" t="n"/>
      <c r="P905" s="282" t="n"/>
      <c r="S905" s="282" t="n"/>
      <c r="V905" s="282" t="n"/>
      <c r="Y905" s="282" t="n"/>
      <c r="AB905" s="282" t="n"/>
      <c r="AC905" s="537" t="n"/>
      <c r="AD905" s="537" t="n"/>
      <c r="AE905" s="282" t="n"/>
      <c r="AF905" s="537" t="n"/>
      <c r="AG905" s="537" t="n"/>
      <c r="AI905" s="537" t="n"/>
      <c r="AJ905" s="537" t="n"/>
      <c r="AK905" s="282" t="n"/>
      <c r="AL905" s="286" t="n"/>
      <c r="AM905" s="286" t="n"/>
      <c r="AN905" s="282" t="n"/>
    </row>
    <row customHeight="1" ht="15.75" r="906" s="452" spans="1:41">
      <c r="A906" s="44" t="n"/>
      <c r="G906" s="282" t="n"/>
      <c r="J906" s="282" t="n"/>
      <c r="M906" s="282" t="n"/>
      <c r="P906" s="282" t="n"/>
      <c r="S906" s="282" t="n"/>
      <c r="V906" s="282" t="n"/>
      <c r="Y906" s="282" t="n"/>
      <c r="AB906" s="282" t="n"/>
      <c r="AC906" s="537" t="n"/>
      <c r="AD906" s="537" t="n"/>
      <c r="AE906" s="282" t="n"/>
      <c r="AF906" s="537" t="n"/>
      <c r="AG906" s="537" t="n"/>
      <c r="AI906" s="537" t="n"/>
      <c r="AJ906" s="537" t="n"/>
      <c r="AK906" s="282" t="n"/>
      <c r="AL906" s="286" t="n"/>
      <c r="AM906" s="286" t="n"/>
      <c r="AN906" s="282" t="n"/>
    </row>
    <row customHeight="1" ht="15.75" r="907" s="452" spans="1:41">
      <c r="A907" s="44" t="n"/>
      <c r="G907" s="282" t="n"/>
      <c r="J907" s="282" t="n"/>
      <c r="M907" s="282" t="n"/>
      <c r="P907" s="282" t="n"/>
      <c r="S907" s="282" t="n"/>
      <c r="V907" s="282" t="n"/>
      <c r="Y907" s="282" t="n"/>
      <c r="AB907" s="282" t="n"/>
      <c r="AC907" s="537" t="n"/>
      <c r="AD907" s="537" t="n"/>
      <c r="AE907" s="282" t="n"/>
      <c r="AF907" s="537" t="n"/>
      <c r="AG907" s="537" t="n"/>
      <c r="AI907" s="537" t="n"/>
      <c r="AJ907" s="537" t="n"/>
      <c r="AK907" s="282" t="n"/>
      <c r="AL907" s="286" t="n"/>
      <c r="AM907" s="286" t="n"/>
      <c r="AN907" s="282" t="n"/>
    </row>
    <row customHeight="1" ht="15.75" r="908" s="452" spans="1:41">
      <c r="A908" s="44" t="n"/>
      <c r="G908" s="282" t="n"/>
      <c r="J908" s="282" t="n"/>
      <c r="M908" s="282" t="n"/>
      <c r="P908" s="282" t="n"/>
      <c r="S908" s="282" t="n"/>
      <c r="V908" s="282" t="n"/>
      <c r="Y908" s="282" t="n"/>
      <c r="AB908" s="282" t="n"/>
      <c r="AC908" s="537" t="n"/>
      <c r="AD908" s="537" t="n"/>
      <c r="AE908" s="282" t="n"/>
      <c r="AF908" s="537" t="n"/>
      <c r="AG908" s="537" t="n"/>
      <c r="AI908" s="537" t="n"/>
      <c r="AJ908" s="537" t="n"/>
      <c r="AK908" s="282" t="n"/>
      <c r="AL908" s="286" t="n"/>
      <c r="AM908" s="286" t="n"/>
      <c r="AN908" s="282" t="n"/>
    </row>
    <row customHeight="1" ht="15.75" r="909" s="452" spans="1:41">
      <c r="A909" s="44" t="n"/>
      <c r="G909" s="282" t="n"/>
      <c r="J909" s="282" t="n"/>
      <c r="M909" s="282" t="n"/>
      <c r="P909" s="282" t="n"/>
      <c r="S909" s="282" t="n"/>
      <c r="V909" s="282" t="n"/>
      <c r="Y909" s="282" t="n"/>
      <c r="AB909" s="282" t="n"/>
      <c r="AC909" s="537" t="n"/>
      <c r="AD909" s="537" t="n"/>
      <c r="AE909" s="282" t="n"/>
      <c r="AF909" s="537" t="n"/>
      <c r="AG909" s="537" t="n"/>
      <c r="AI909" s="537" t="n"/>
      <c r="AJ909" s="537" t="n"/>
      <c r="AK909" s="282" t="n"/>
      <c r="AL909" s="286" t="n"/>
      <c r="AM909" s="286" t="n"/>
      <c r="AN909" s="282" t="n"/>
    </row>
    <row customHeight="1" ht="15.75" r="910" s="452" spans="1:41">
      <c r="A910" s="44" t="n"/>
      <c r="G910" s="282" t="n"/>
      <c r="J910" s="282" t="n"/>
      <c r="M910" s="282" t="n"/>
      <c r="P910" s="282" t="n"/>
      <c r="S910" s="282" t="n"/>
      <c r="V910" s="282" t="n"/>
      <c r="Y910" s="282" t="n"/>
      <c r="AB910" s="282" t="n"/>
      <c r="AC910" s="537" t="n"/>
      <c r="AD910" s="537" t="n"/>
      <c r="AE910" s="282" t="n"/>
      <c r="AF910" s="537" t="n"/>
      <c r="AG910" s="537" t="n"/>
      <c r="AI910" s="537" t="n"/>
      <c r="AJ910" s="537" t="n"/>
      <c r="AK910" s="282" t="n"/>
      <c r="AL910" s="286" t="n"/>
      <c r="AM910" s="286" t="n"/>
      <c r="AN910" s="282" t="n"/>
    </row>
    <row customHeight="1" ht="15.75" r="911" s="452" spans="1:41">
      <c r="A911" s="44" t="n"/>
      <c r="G911" s="282" t="n"/>
      <c r="J911" s="282" t="n"/>
      <c r="M911" s="282" t="n"/>
      <c r="P911" s="282" t="n"/>
      <c r="S911" s="282" t="n"/>
      <c r="V911" s="282" t="n"/>
      <c r="Y911" s="282" t="n"/>
      <c r="AB911" s="282" t="n"/>
      <c r="AC911" s="537" t="n"/>
      <c r="AD911" s="537" t="n"/>
      <c r="AE911" s="282" t="n"/>
      <c r="AF911" s="537" t="n"/>
      <c r="AG911" s="537" t="n"/>
      <c r="AI911" s="537" t="n"/>
      <c r="AJ911" s="537" t="n"/>
      <c r="AK911" s="282" t="n"/>
      <c r="AL911" s="286" t="n"/>
      <c r="AM911" s="286" t="n"/>
      <c r="AN911" s="282" t="n"/>
    </row>
    <row customHeight="1" ht="15.75" r="912" s="452" spans="1:41">
      <c r="A912" s="44" t="n"/>
      <c r="G912" s="282" t="n"/>
      <c r="J912" s="282" t="n"/>
      <c r="M912" s="282" t="n"/>
      <c r="P912" s="282" t="n"/>
      <c r="S912" s="282" t="n"/>
      <c r="V912" s="282" t="n"/>
      <c r="Y912" s="282" t="n"/>
      <c r="AB912" s="282" t="n"/>
      <c r="AC912" s="537" t="n"/>
      <c r="AD912" s="537" t="n"/>
      <c r="AE912" s="282" t="n"/>
      <c r="AF912" s="537" t="n"/>
      <c r="AG912" s="537" t="n"/>
      <c r="AI912" s="537" t="n"/>
      <c r="AJ912" s="537" t="n"/>
      <c r="AK912" s="282" t="n"/>
      <c r="AL912" s="286" t="n"/>
      <c r="AM912" s="286" t="n"/>
      <c r="AN912" s="282" t="n"/>
    </row>
    <row customHeight="1" ht="15.75" r="913" s="452" spans="1:41">
      <c r="A913" s="44" t="n"/>
      <c r="G913" s="282" t="n"/>
      <c r="J913" s="282" t="n"/>
      <c r="M913" s="282" t="n"/>
      <c r="P913" s="282" t="n"/>
      <c r="S913" s="282" t="n"/>
      <c r="V913" s="282" t="n"/>
      <c r="Y913" s="282" t="n"/>
      <c r="AB913" s="282" t="n"/>
      <c r="AC913" s="537" t="n"/>
      <c r="AD913" s="537" t="n"/>
      <c r="AE913" s="282" t="n"/>
      <c r="AF913" s="537" t="n"/>
      <c r="AG913" s="537" t="n"/>
      <c r="AI913" s="537" t="n"/>
      <c r="AJ913" s="537" t="n"/>
      <c r="AK913" s="282" t="n"/>
      <c r="AL913" s="286" t="n"/>
      <c r="AM913" s="286" t="n"/>
      <c r="AN913" s="282" t="n"/>
    </row>
    <row customHeight="1" ht="15.75" r="914" s="452" spans="1:41">
      <c r="A914" s="44" t="n"/>
      <c r="G914" s="282" t="n"/>
      <c r="J914" s="282" t="n"/>
      <c r="M914" s="282" t="n"/>
      <c r="P914" s="282" t="n"/>
      <c r="S914" s="282" t="n"/>
      <c r="V914" s="282" t="n"/>
      <c r="Y914" s="282" t="n"/>
      <c r="AB914" s="282" t="n"/>
      <c r="AC914" s="537" t="n"/>
      <c r="AD914" s="537" t="n"/>
      <c r="AE914" s="282" t="n"/>
      <c r="AF914" s="537" t="n"/>
      <c r="AG914" s="537" t="n"/>
      <c r="AI914" s="537" t="n"/>
      <c r="AJ914" s="537" t="n"/>
      <c r="AK914" s="282" t="n"/>
      <c r="AL914" s="286" t="n"/>
      <c r="AM914" s="286" t="n"/>
      <c r="AN914" s="282" t="n"/>
    </row>
    <row customHeight="1" ht="15.75" r="915" s="452" spans="1:41">
      <c r="A915" s="44" t="n"/>
      <c r="G915" s="282" t="n"/>
      <c r="J915" s="282" t="n"/>
      <c r="M915" s="282" t="n"/>
      <c r="P915" s="282" t="n"/>
      <c r="S915" s="282" t="n"/>
      <c r="V915" s="282" t="n"/>
      <c r="Y915" s="282" t="n"/>
      <c r="AB915" s="282" t="n"/>
      <c r="AC915" s="537" t="n"/>
      <c r="AD915" s="537" t="n"/>
      <c r="AE915" s="282" t="n"/>
      <c r="AF915" s="537" t="n"/>
      <c r="AG915" s="537" t="n"/>
      <c r="AI915" s="537" t="n"/>
      <c r="AJ915" s="537" t="n"/>
      <c r="AK915" s="282" t="n"/>
      <c r="AL915" s="286" t="n"/>
      <c r="AM915" s="286" t="n"/>
      <c r="AN915" s="282" t="n"/>
    </row>
    <row customHeight="1" ht="15.75" r="916" s="452" spans="1:41">
      <c r="A916" s="44" t="n"/>
      <c r="G916" s="282" t="n"/>
      <c r="J916" s="282" t="n"/>
      <c r="M916" s="282" t="n"/>
      <c r="P916" s="282" t="n"/>
      <c r="S916" s="282" t="n"/>
      <c r="V916" s="282" t="n"/>
      <c r="Y916" s="282" t="n"/>
      <c r="AB916" s="282" t="n"/>
      <c r="AC916" s="537" t="n"/>
      <c r="AD916" s="537" t="n"/>
      <c r="AE916" s="282" t="n"/>
      <c r="AF916" s="537" t="n"/>
      <c r="AG916" s="537" t="n"/>
      <c r="AI916" s="537" t="n"/>
      <c r="AJ916" s="537" t="n"/>
      <c r="AK916" s="282" t="n"/>
      <c r="AL916" s="286" t="n"/>
      <c r="AM916" s="286" t="n"/>
      <c r="AN916" s="282" t="n"/>
    </row>
    <row customHeight="1" ht="15.75" r="917" s="452" spans="1:41">
      <c r="A917" s="44" t="n"/>
      <c r="G917" s="282" t="n"/>
      <c r="J917" s="282" t="n"/>
      <c r="M917" s="282" t="n"/>
      <c r="P917" s="282" t="n"/>
      <c r="S917" s="282" t="n"/>
      <c r="V917" s="282" t="n"/>
      <c r="Y917" s="282" t="n"/>
      <c r="AB917" s="282" t="n"/>
      <c r="AC917" s="537" t="n"/>
      <c r="AD917" s="537" t="n"/>
      <c r="AE917" s="282" t="n"/>
      <c r="AF917" s="537" t="n"/>
      <c r="AG917" s="537" t="n"/>
      <c r="AI917" s="537" t="n"/>
      <c r="AJ917" s="537" t="n"/>
      <c r="AK917" s="282" t="n"/>
      <c r="AL917" s="286" t="n"/>
      <c r="AM917" s="286" t="n"/>
      <c r="AN917" s="282" t="n"/>
    </row>
    <row customHeight="1" ht="15.75" r="918" s="452" spans="1:41">
      <c r="A918" s="44" t="n"/>
      <c r="G918" s="282" t="n"/>
      <c r="J918" s="282" t="n"/>
      <c r="M918" s="282" t="n"/>
      <c r="P918" s="282" t="n"/>
      <c r="S918" s="282" t="n"/>
      <c r="V918" s="282" t="n"/>
      <c r="Y918" s="282" t="n"/>
      <c r="AB918" s="282" t="n"/>
      <c r="AC918" s="537" t="n"/>
      <c r="AD918" s="537" t="n"/>
      <c r="AE918" s="282" t="n"/>
      <c r="AF918" s="537" t="n"/>
      <c r="AG918" s="537" t="n"/>
      <c r="AI918" s="537" t="n"/>
      <c r="AJ918" s="537" t="n"/>
      <c r="AK918" s="282" t="n"/>
      <c r="AL918" s="286" t="n"/>
      <c r="AM918" s="286" t="n"/>
      <c r="AN918" s="282" t="n"/>
    </row>
    <row customHeight="1" ht="15.75" r="919" s="452" spans="1:41">
      <c r="A919" s="44" t="n"/>
      <c r="G919" s="282" t="n"/>
      <c r="J919" s="282" t="n"/>
      <c r="M919" s="282" t="n"/>
      <c r="P919" s="282" t="n"/>
      <c r="S919" s="282" t="n"/>
      <c r="V919" s="282" t="n"/>
      <c r="Y919" s="282" t="n"/>
      <c r="AB919" s="282" t="n"/>
      <c r="AC919" s="537" t="n"/>
      <c r="AD919" s="537" t="n"/>
      <c r="AE919" s="282" t="n"/>
      <c r="AF919" s="537" t="n"/>
      <c r="AG919" s="537" t="n"/>
      <c r="AI919" s="537" t="n"/>
      <c r="AJ919" s="537" t="n"/>
      <c r="AK919" s="282" t="n"/>
      <c r="AL919" s="286" t="n"/>
      <c r="AM919" s="286" t="n"/>
      <c r="AN919" s="282" t="n"/>
    </row>
    <row customHeight="1" ht="15.75" r="920" s="452" spans="1:41">
      <c r="A920" s="44" t="n"/>
      <c r="G920" s="282" t="n"/>
      <c r="J920" s="282" t="n"/>
      <c r="M920" s="282" t="n"/>
      <c r="P920" s="282" t="n"/>
      <c r="S920" s="282" t="n"/>
      <c r="V920" s="282" t="n"/>
      <c r="Y920" s="282" t="n"/>
      <c r="AB920" s="282" t="n"/>
      <c r="AC920" s="537" t="n"/>
      <c r="AD920" s="537" t="n"/>
      <c r="AE920" s="282" t="n"/>
      <c r="AF920" s="537" t="n"/>
      <c r="AG920" s="537" t="n"/>
      <c r="AI920" s="537" t="n"/>
      <c r="AJ920" s="537" t="n"/>
      <c r="AK920" s="282" t="n"/>
      <c r="AL920" s="286" t="n"/>
      <c r="AM920" s="286" t="n"/>
      <c r="AN920" s="282" t="n"/>
    </row>
    <row customHeight="1" ht="15.75" r="921" s="452" spans="1:41">
      <c r="A921" s="44" t="n"/>
      <c r="G921" s="282" t="n"/>
      <c r="J921" s="282" t="n"/>
      <c r="M921" s="282" t="n"/>
      <c r="P921" s="282" t="n"/>
      <c r="S921" s="282" t="n"/>
      <c r="V921" s="282" t="n"/>
      <c r="Y921" s="282" t="n"/>
      <c r="AB921" s="282" t="n"/>
      <c r="AC921" s="537" t="n"/>
      <c r="AD921" s="537" t="n"/>
      <c r="AE921" s="282" t="n"/>
      <c r="AF921" s="537" t="n"/>
      <c r="AG921" s="537" t="n"/>
      <c r="AI921" s="537" t="n"/>
      <c r="AJ921" s="537" t="n"/>
      <c r="AK921" s="282" t="n"/>
      <c r="AL921" s="286" t="n"/>
      <c r="AM921" s="286" t="n"/>
      <c r="AN921" s="282" t="n"/>
    </row>
    <row customHeight="1" ht="15.75" r="922" s="452" spans="1:41">
      <c r="A922" s="44" t="n"/>
      <c r="G922" s="282" t="n"/>
      <c r="J922" s="282" t="n"/>
      <c r="M922" s="282" t="n"/>
      <c r="P922" s="282" t="n"/>
      <c r="S922" s="282" t="n"/>
      <c r="V922" s="282" t="n"/>
      <c r="Y922" s="282" t="n"/>
      <c r="AB922" s="282" t="n"/>
      <c r="AC922" s="537" t="n"/>
      <c r="AD922" s="537" t="n"/>
      <c r="AE922" s="282" t="n"/>
      <c r="AF922" s="537" t="n"/>
      <c r="AG922" s="537" t="n"/>
      <c r="AI922" s="537" t="n"/>
      <c r="AJ922" s="537" t="n"/>
      <c r="AK922" s="282" t="n"/>
      <c r="AL922" s="286" t="n"/>
      <c r="AM922" s="286" t="n"/>
      <c r="AN922" s="282" t="n"/>
    </row>
    <row customHeight="1" ht="15.75" r="923" s="452" spans="1:41">
      <c r="A923" s="44" t="n"/>
      <c r="G923" s="282" t="n"/>
      <c r="J923" s="282" t="n"/>
      <c r="M923" s="282" t="n"/>
      <c r="P923" s="282" t="n"/>
      <c r="S923" s="282" t="n"/>
      <c r="V923" s="282" t="n"/>
      <c r="Y923" s="282" t="n"/>
      <c r="AB923" s="282" t="n"/>
      <c r="AC923" s="537" t="n"/>
      <c r="AD923" s="537" t="n"/>
      <c r="AE923" s="282" t="n"/>
      <c r="AF923" s="537" t="n"/>
      <c r="AG923" s="537" t="n"/>
      <c r="AI923" s="537" t="n"/>
      <c r="AJ923" s="537" t="n"/>
      <c r="AK923" s="282" t="n"/>
      <c r="AL923" s="286" t="n"/>
      <c r="AM923" s="286" t="n"/>
      <c r="AN923" s="282" t="n"/>
    </row>
    <row customHeight="1" ht="15.75" r="924" s="452" spans="1:41">
      <c r="A924" s="44" t="n"/>
      <c r="G924" s="282" t="n"/>
      <c r="J924" s="282" t="n"/>
      <c r="M924" s="282" t="n"/>
      <c r="P924" s="282" t="n"/>
      <c r="S924" s="282" t="n"/>
      <c r="V924" s="282" t="n"/>
      <c r="Y924" s="282" t="n"/>
      <c r="AB924" s="282" t="n"/>
      <c r="AC924" s="537" t="n"/>
      <c r="AD924" s="537" t="n"/>
      <c r="AE924" s="282" t="n"/>
      <c r="AF924" s="537" t="n"/>
      <c r="AG924" s="537" t="n"/>
      <c r="AI924" s="537" t="n"/>
      <c r="AJ924" s="537" t="n"/>
      <c r="AK924" s="282" t="n"/>
      <c r="AL924" s="286" t="n"/>
      <c r="AM924" s="286" t="n"/>
      <c r="AN924" s="282" t="n"/>
    </row>
    <row customHeight="1" ht="15.75" r="925" s="452" spans="1:41">
      <c r="A925" s="44" t="n"/>
      <c r="G925" s="282" t="n"/>
      <c r="J925" s="282" t="n"/>
      <c r="M925" s="282" t="n"/>
      <c r="P925" s="282" t="n"/>
      <c r="S925" s="282" t="n"/>
      <c r="V925" s="282" t="n"/>
      <c r="Y925" s="282" t="n"/>
      <c r="AB925" s="282" t="n"/>
      <c r="AC925" s="537" t="n"/>
      <c r="AD925" s="537" t="n"/>
      <c r="AE925" s="282" t="n"/>
      <c r="AF925" s="537" t="n"/>
      <c r="AG925" s="537" t="n"/>
      <c r="AI925" s="537" t="n"/>
      <c r="AJ925" s="537" t="n"/>
      <c r="AK925" s="282" t="n"/>
      <c r="AL925" s="286" t="n"/>
      <c r="AM925" s="286" t="n"/>
      <c r="AN925" s="282" t="n"/>
    </row>
    <row customHeight="1" ht="15.75" r="926" s="452" spans="1:41">
      <c r="A926" s="44" t="n"/>
      <c r="G926" s="282" t="n"/>
      <c r="J926" s="282" t="n"/>
      <c r="M926" s="282" t="n"/>
      <c r="P926" s="282" t="n"/>
      <c r="S926" s="282" t="n"/>
      <c r="V926" s="282" t="n"/>
      <c r="Y926" s="282" t="n"/>
      <c r="AB926" s="282" t="n"/>
      <c r="AC926" s="537" t="n"/>
      <c r="AD926" s="537" t="n"/>
      <c r="AE926" s="282" t="n"/>
      <c r="AF926" s="537" t="n"/>
      <c r="AG926" s="537" t="n"/>
      <c r="AI926" s="537" t="n"/>
      <c r="AJ926" s="537" t="n"/>
      <c r="AK926" s="282" t="n"/>
      <c r="AL926" s="286" t="n"/>
      <c r="AM926" s="286" t="n"/>
      <c r="AN926" s="282" t="n"/>
    </row>
    <row customHeight="1" ht="15.75" r="927" s="452" spans="1:41">
      <c r="A927" s="44" t="n"/>
      <c r="G927" s="282" t="n"/>
      <c r="J927" s="282" t="n"/>
      <c r="M927" s="282" t="n"/>
      <c r="P927" s="282" t="n"/>
      <c r="S927" s="282" t="n"/>
      <c r="V927" s="282" t="n"/>
      <c r="Y927" s="282" t="n"/>
      <c r="AB927" s="282" t="n"/>
      <c r="AC927" s="537" t="n"/>
      <c r="AD927" s="537" t="n"/>
      <c r="AE927" s="282" t="n"/>
      <c r="AF927" s="537" t="n"/>
      <c r="AG927" s="537" t="n"/>
      <c r="AI927" s="537" t="n"/>
      <c r="AJ927" s="537" t="n"/>
      <c r="AK927" s="282" t="n"/>
      <c r="AL927" s="286" t="n"/>
      <c r="AM927" s="286" t="n"/>
      <c r="AN927" s="282" t="n"/>
    </row>
    <row customHeight="1" ht="15.75" r="928" s="452" spans="1:41">
      <c r="A928" s="44" t="n"/>
      <c r="G928" s="282" t="n"/>
      <c r="J928" s="282" t="n"/>
      <c r="M928" s="282" t="n"/>
      <c r="P928" s="282" t="n"/>
      <c r="S928" s="282" t="n"/>
      <c r="V928" s="282" t="n"/>
      <c r="Y928" s="282" t="n"/>
      <c r="AB928" s="282" t="n"/>
      <c r="AC928" s="537" t="n"/>
      <c r="AD928" s="537" t="n"/>
      <c r="AE928" s="282" t="n"/>
      <c r="AF928" s="537" t="n"/>
      <c r="AG928" s="537" t="n"/>
      <c r="AI928" s="537" t="n"/>
      <c r="AJ928" s="537" t="n"/>
      <c r="AK928" s="282" t="n"/>
      <c r="AL928" s="286" t="n"/>
      <c r="AM928" s="286" t="n"/>
      <c r="AN928" s="282" t="n"/>
    </row>
    <row customHeight="1" ht="15.75" r="929" s="452" spans="1:41">
      <c r="A929" s="44" t="n"/>
      <c r="G929" s="282" t="n"/>
      <c r="J929" s="282" t="n"/>
      <c r="M929" s="282" t="n"/>
      <c r="P929" s="282" t="n"/>
      <c r="S929" s="282" t="n"/>
      <c r="V929" s="282" t="n"/>
      <c r="Y929" s="282" t="n"/>
      <c r="AB929" s="282" t="n"/>
      <c r="AC929" s="537" t="n"/>
      <c r="AD929" s="537" t="n"/>
      <c r="AE929" s="282" t="n"/>
      <c r="AF929" s="537" t="n"/>
      <c r="AG929" s="537" t="n"/>
      <c r="AI929" s="537" t="n"/>
      <c r="AJ929" s="537" t="n"/>
      <c r="AK929" s="282" t="n"/>
      <c r="AL929" s="286" t="n"/>
      <c r="AM929" s="286" t="n"/>
      <c r="AN929" s="282" t="n"/>
    </row>
    <row customHeight="1" ht="15.75" r="930" s="452" spans="1:41">
      <c r="A930" s="44" t="n"/>
      <c r="G930" s="282" t="n"/>
      <c r="J930" s="282" t="n"/>
      <c r="M930" s="282" t="n"/>
      <c r="P930" s="282" t="n"/>
      <c r="S930" s="282" t="n"/>
      <c r="V930" s="282" t="n"/>
      <c r="Y930" s="282" t="n"/>
      <c r="AB930" s="282" t="n"/>
      <c r="AC930" s="537" t="n"/>
      <c r="AD930" s="537" t="n"/>
      <c r="AE930" s="282" t="n"/>
      <c r="AF930" s="537" t="n"/>
      <c r="AG930" s="537" t="n"/>
      <c r="AI930" s="537" t="n"/>
      <c r="AJ930" s="537" t="n"/>
      <c r="AK930" s="282" t="n"/>
      <c r="AL930" s="286" t="n"/>
      <c r="AM930" s="286" t="n"/>
      <c r="AN930" s="282" t="n"/>
    </row>
    <row customHeight="1" ht="15.75" r="931" s="452" spans="1:41">
      <c r="A931" s="44" t="n"/>
      <c r="G931" s="282" t="n"/>
      <c r="J931" s="282" t="n"/>
      <c r="M931" s="282" t="n"/>
      <c r="P931" s="282" t="n"/>
      <c r="S931" s="282" t="n"/>
      <c r="V931" s="282" t="n"/>
      <c r="Y931" s="282" t="n"/>
      <c r="AB931" s="282" t="n"/>
      <c r="AC931" s="537" t="n"/>
      <c r="AD931" s="537" t="n"/>
      <c r="AE931" s="282" t="n"/>
      <c r="AF931" s="537" t="n"/>
      <c r="AG931" s="537" t="n"/>
      <c r="AI931" s="537" t="n"/>
      <c r="AJ931" s="537" t="n"/>
      <c r="AK931" s="282" t="n"/>
      <c r="AL931" s="286" t="n"/>
      <c r="AM931" s="286" t="n"/>
      <c r="AN931" s="282" t="n"/>
    </row>
    <row customHeight="1" ht="15.75" r="932" s="452" spans="1:41">
      <c r="A932" s="44" t="n"/>
      <c r="G932" s="282" t="n"/>
      <c r="J932" s="282" t="n"/>
      <c r="M932" s="282" t="n"/>
      <c r="P932" s="282" t="n"/>
      <c r="S932" s="282" t="n"/>
      <c r="V932" s="282" t="n"/>
      <c r="Y932" s="282" t="n"/>
      <c r="AB932" s="282" t="n"/>
      <c r="AC932" s="537" t="n"/>
      <c r="AD932" s="537" t="n"/>
      <c r="AE932" s="282" t="n"/>
      <c r="AF932" s="537" t="n"/>
      <c r="AG932" s="537" t="n"/>
      <c r="AI932" s="537" t="n"/>
      <c r="AJ932" s="537" t="n"/>
      <c r="AK932" s="282" t="n"/>
      <c r="AL932" s="286" t="n"/>
      <c r="AM932" s="286" t="n"/>
      <c r="AN932" s="282" t="n"/>
    </row>
    <row customHeight="1" ht="15.75" r="933" s="452" spans="1:41">
      <c r="A933" s="44" t="n"/>
      <c r="G933" s="282" t="n"/>
      <c r="J933" s="282" t="n"/>
      <c r="M933" s="282" t="n"/>
      <c r="P933" s="282" t="n"/>
      <c r="S933" s="282" t="n"/>
      <c r="V933" s="282" t="n"/>
      <c r="Y933" s="282" t="n"/>
      <c r="AB933" s="282" t="n"/>
      <c r="AC933" s="537" t="n"/>
      <c r="AD933" s="537" t="n"/>
      <c r="AE933" s="282" t="n"/>
      <c r="AF933" s="537" t="n"/>
      <c r="AG933" s="537" t="n"/>
      <c r="AI933" s="537" t="n"/>
      <c r="AJ933" s="537" t="n"/>
      <c r="AK933" s="282" t="n"/>
      <c r="AL933" s="286" t="n"/>
      <c r="AM933" s="286" t="n"/>
      <c r="AN933" s="282" t="n"/>
    </row>
    <row customHeight="1" ht="15.75" r="934" s="452" spans="1:41">
      <c r="A934" s="44" t="n"/>
      <c r="G934" s="282" t="n"/>
      <c r="J934" s="282" t="n"/>
      <c r="M934" s="282" t="n"/>
      <c r="P934" s="282" t="n"/>
      <c r="S934" s="282" t="n"/>
      <c r="V934" s="282" t="n"/>
      <c r="Y934" s="282" t="n"/>
      <c r="AB934" s="282" t="n"/>
      <c r="AC934" s="537" t="n"/>
      <c r="AD934" s="537" t="n"/>
      <c r="AE934" s="282" t="n"/>
      <c r="AF934" s="537" t="n"/>
      <c r="AG934" s="537" t="n"/>
      <c r="AI934" s="537" t="n"/>
      <c r="AJ934" s="537" t="n"/>
      <c r="AK934" s="282" t="n"/>
      <c r="AL934" s="286" t="n"/>
      <c r="AM934" s="286" t="n"/>
      <c r="AN934" s="282" t="n"/>
    </row>
    <row customHeight="1" ht="15.75" r="935" s="452" spans="1:41">
      <c r="A935" s="44" t="n"/>
      <c r="G935" s="282" t="n"/>
      <c r="J935" s="282" t="n"/>
      <c r="M935" s="282" t="n"/>
      <c r="P935" s="282" t="n"/>
      <c r="S935" s="282" t="n"/>
      <c r="V935" s="282" t="n"/>
      <c r="Y935" s="282" t="n"/>
      <c r="AB935" s="282" t="n"/>
      <c r="AC935" s="537" t="n"/>
      <c r="AD935" s="537" t="n"/>
      <c r="AE935" s="282" t="n"/>
      <c r="AF935" s="537" t="n"/>
      <c r="AG935" s="537" t="n"/>
      <c r="AI935" s="537" t="n"/>
      <c r="AJ935" s="537" t="n"/>
      <c r="AK935" s="282" t="n"/>
      <c r="AL935" s="286" t="n"/>
      <c r="AM935" s="286" t="n"/>
      <c r="AN935" s="282" t="n"/>
    </row>
    <row customHeight="1" ht="15.75" r="936" s="452" spans="1:41">
      <c r="A936" s="44" t="n"/>
      <c r="G936" s="282" t="n"/>
      <c r="J936" s="282" t="n"/>
      <c r="M936" s="282" t="n"/>
      <c r="P936" s="282" t="n"/>
      <c r="S936" s="282" t="n"/>
      <c r="V936" s="282" t="n"/>
      <c r="Y936" s="282" t="n"/>
      <c r="AB936" s="282" t="n"/>
      <c r="AC936" s="537" t="n"/>
      <c r="AD936" s="537" t="n"/>
      <c r="AE936" s="282" t="n"/>
      <c r="AF936" s="537" t="n"/>
      <c r="AG936" s="537" t="n"/>
      <c r="AI936" s="537" t="n"/>
      <c r="AJ936" s="537" t="n"/>
      <c r="AK936" s="282" t="n"/>
      <c r="AL936" s="286" t="n"/>
      <c r="AM936" s="286" t="n"/>
      <c r="AN936" s="282" t="n"/>
    </row>
    <row customHeight="1" ht="15.75" r="937" s="452" spans="1:41">
      <c r="A937" s="44" t="n"/>
      <c r="G937" s="282" t="n"/>
      <c r="J937" s="282" t="n"/>
      <c r="M937" s="282" t="n"/>
      <c r="P937" s="282" t="n"/>
      <c r="S937" s="282" t="n"/>
      <c r="V937" s="282" t="n"/>
      <c r="Y937" s="282" t="n"/>
      <c r="AB937" s="282" t="n"/>
      <c r="AC937" s="537" t="n"/>
      <c r="AD937" s="537" t="n"/>
      <c r="AE937" s="282" t="n"/>
      <c r="AF937" s="537" t="n"/>
      <c r="AG937" s="537" t="n"/>
      <c r="AI937" s="537" t="n"/>
      <c r="AJ937" s="537" t="n"/>
      <c r="AK937" s="282" t="n"/>
      <c r="AL937" s="286" t="n"/>
      <c r="AM937" s="286" t="n"/>
      <c r="AN937" s="282" t="n"/>
    </row>
    <row customHeight="1" ht="15.75" r="938" s="452" spans="1:41">
      <c r="A938" s="44" t="n"/>
      <c r="G938" s="282" t="n"/>
      <c r="J938" s="282" t="n"/>
      <c r="M938" s="282" t="n"/>
      <c r="P938" s="282" t="n"/>
      <c r="S938" s="282" t="n"/>
      <c r="V938" s="282" t="n"/>
      <c r="Y938" s="282" t="n"/>
      <c r="AB938" s="282" t="n"/>
      <c r="AC938" s="537" t="n"/>
      <c r="AD938" s="537" t="n"/>
      <c r="AE938" s="282" t="n"/>
      <c r="AF938" s="537" t="n"/>
      <c r="AG938" s="537" t="n"/>
      <c r="AI938" s="537" t="n"/>
      <c r="AJ938" s="537" t="n"/>
      <c r="AK938" s="282" t="n"/>
      <c r="AL938" s="286" t="n"/>
      <c r="AM938" s="286" t="n"/>
      <c r="AN938" s="282" t="n"/>
    </row>
    <row customHeight="1" ht="15.75" r="939" s="452" spans="1:41">
      <c r="A939" s="44" t="n"/>
      <c r="G939" s="282" t="n"/>
      <c r="J939" s="282" t="n"/>
      <c r="M939" s="282" t="n"/>
      <c r="P939" s="282" t="n"/>
      <c r="S939" s="282" t="n"/>
      <c r="V939" s="282" t="n"/>
      <c r="Y939" s="282" t="n"/>
      <c r="AB939" s="282" t="n"/>
      <c r="AC939" s="537" t="n"/>
      <c r="AD939" s="537" t="n"/>
      <c r="AE939" s="282" t="n"/>
      <c r="AF939" s="537" t="n"/>
      <c r="AG939" s="537" t="n"/>
      <c r="AI939" s="537" t="n"/>
      <c r="AJ939" s="537" t="n"/>
      <c r="AK939" s="282" t="n"/>
      <c r="AL939" s="286" t="n"/>
      <c r="AM939" s="286" t="n"/>
      <c r="AN939" s="282" t="n"/>
    </row>
    <row customHeight="1" ht="15.75" r="940" s="452" spans="1:41">
      <c r="A940" s="44" t="n"/>
      <c r="G940" s="282" t="n"/>
      <c r="J940" s="282" t="n"/>
      <c r="M940" s="282" t="n"/>
      <c r="P940" s="282" t="n"/>
      <c r="S940" s="282" t="n"/>
      <c r="V940" s="282" t="n"/>
      <c r="Y940" s="282" t="n"/>
      <c r="AB940" s="282" t="n"/>
      <c r="AC940" s="537" t="n"/>
      <c r="AD940" s="537" t="n"/>
      <c r="AE940" s="282" t="n"/>
      <c r="AF940" s="537" t="n"/>
      <c r="AG940" s="537" t="n"/>
      <c r="AI940" s="537" t="n"/>
      <c r="AJ940" s="537" t="n"/>
      <c r="AK940" s="282" t="n"/>
      <c r="AL940" s="286" t="n"/>
      <c r="AM940" s="286" t="n"/>
      <c r="AN940" s="282" t="n"/>
    </row>
    <row customHeight="1" ht="15.75" r="941" s="452" spans="1:41">
      <c r="A941" s="44" t="n"/>
      <c r="G941" s="282" t="n"/>
      <c r="J941" s="282" t="n"/>
      <c r="M941" s="282" t="n"/>
      <c r="P941" s="282" t="n"/>
      <c r="S941" s="282" t="n"/>
      <c r="V941" s="282" t="n"/>
      <c r="Y941" s="282" t="n"/>
      <c r="AB941" s="282" t="n"/>
      <c r="AC941" s="537" t="n"/>
      <c r="AD941" s="537" t="n"/>
      <c r="AE941" s="282" t="n"/>
      <c r="AF941" s="537" t="n"/>
      <c r="AG941" s="537" t="n"/>
      <c r="AI941" s="537" t="n"/>
      <c r="AJ941" s="537" t="n"/>
      <c r="AK941" s="282" t="n"/>
      <c r="AL941" s="286" t="n"/>
      <c r="AM941" s="286" t="n"/>
      <c r="AN941" s="282" t="n"/>
    </row>
    <row customHeight="1" ht="15.75" r="942" s="452" spans="1:41">
      <c r="A942" s="44" t="n"/>
      <c r="G942" s="282" t="n"/>
      <c r="J942" s="282" t="n"/>
      <c r="M942" s="282" t="n"/>
      <c r="P942" s="282" t="n"/>
      <c r="S942" s="282" t="n"/>
      <c r="V942" s="282" t="n"/>
      <c r="Y942" s="282" t="n"/>
      <c r="AB942" s="282" t="n"/>
      <c r="AC942" s="537" t="n"/>
      <c r="AD942" s="537" t="n"/>
      <c r="AE942" s="282" t="n"/>
      <c r="AF942" s="537" t="n"/>
      <c r="AG942" s="537" t="n"/>
      <c r="AI942" s="537" t="n"/>
      <c r="AJ942" s="537" t="n"/>
      <c r="AK942" s="282" t="n"/>
      <c r="AL942" s="286" t="n"/>
      <c r="AM942" s="286" t="n"/>
      <c r="AN942" s="282" t="n"/>
    </row>
    <row customHeight="1" ht="15.75" r="943" s="452" spans="1:41">
      <c r="A943" s="44" t="n"/>
      <c r="G943" s="282" t="n"/>
      <c r="J943" s="282" t="n"/>
      <c r="M943" s="282" t="n"/>
      <c r="P943" s="282" t="n"/>
      <c r="S943" s="282" t="n"/>
      <c r="V943" s="282" t="n"/>
      <c r="Y943" s="282" t="n"/>
      <c r="AB943" s="282" t="n"/>
      <c r="AC943" s="537" t="n"/>
      <c r="AD943" s="537" t="n"/>
      <c r="AE943" s="282" t="n"/>
      <c r="AF943" s="537" t="n"/>
      <c r="AG943" s="537" t="n"/>
      <c r="AI943" s="537" t="n"/>
      <c r="AJ943" s="537" t="n"/>
      <c r="AK943" s="282" t="n"/>
      <c r="AL943" s="286" t="n"/>
      <c r="AM943" s="286" t="n"/>
      <c r="AN943" s="282" t="n"/>
    </row>
    <row customHeight="1" ht="15.75" r="944" s="452" spans="1:41">
      <c r="A944" s="44" t="n"/>
      <c r="G944" s="282" t="n"/>
      <c r="J944" s="282" t="n"/>
      <c r="M944" s="282" t="n"/>
      <c r="P944" s="282" t="n"/>
      <c r="S944" s="282" t="n"/>
      <c r="V944" s="282" t="n"/>
      <c r="Y944" s="282" t="n"/>
      <c r="AB944" s="282" t="n"/>
      <c r="AC944" s="537" t="n"/>
      <c r="AD944" s="537" t="n"/>
      <c r="AE944" s="282" t="n"/>
      <c r="AF944" s="537" t="n"/>
      <c r="AG944" s="537" t="n"/>
      <c r="AI944" s="537" t="n"/>
      <c r="AJ944" s="537" t="n"/>
      <c r="AK944" s="282" t="n"/>
      <c r="AL944" s="286" t="n"/>
      <c r="AM944" s="286" t="n"/>
      <c r="AN944" s="282" t="n"/>
    </row>
    <row customHeight="1" ht="15.75" r="945" s="452" spans="1:41">
      <c r="A945" s="44" t="n"/>
      <c r="G945" s="282" t="n"/>
      <c r="J945" s="282" t="n"/>
      <c r="M945" s="282" t="n"/>
      <c r="P945" s="282" t="n"/>
      <c r="S945" s="282" t="n"/>
      <c r="V945" s="282" t="n"/>
      <c r="Y945" s="282" t="n"/>
      <c r="AB945" s="282" t="n"/>
      <c r="AC945" s="537" t="n"/>
      <c r="AD945" s="537" t="n"/>
      <c r="AE945" s="282" t="n"/>
      <c r="AF945" s="537" t="n"/>
      <c r="AG945" s="537" t="n"/>
      <c r="AI945" s="537" t="n"/>
      <c r="AJ945" s="537" t="n"/>
      <c r="AK945" s="282" t="n"/>
      <c r="AL945" s="286" t="n"/>
      <c r="AM945" s="286" t="n"/>
      <c r="AN945" s="282" t="n"/>
    </row>
    <row customHeight="1" ht="15.75" r="946" s="452" spans="1:41">
      <c r="A946" s="44" t="n"/>
      <c r="G946" s="282" t="n"/>
      <c r="J946" s="282" t="n"/>
      <c r="M946" s="282" t="n"/>
      <c r="P946" s="282" t="n"/>
      <c r="S946" s="282" t="n"/>
      <c r="V946" s="282" t="n"/>
      <c r="Y946" s="282" t="n"/>
      <c r="AB946" s="282" t="n"/>
      <c r="AC946" s="537" t="n"/>
      <c r="AD946" s="537" t="n"/>
      <c r="AE946" s="282" t="n"/>
      <c r="AF946" s="537" t="n"/>
      <c r="AG946" s="537" t="n"/>
      <c r="AI946" s="537" t="n"/>
      <c r="AJ946" s="537" t="n"/>
      <c r="AK946" s="282" t="n"/>
      <c r="AL946" s="286" t="n"/>
      <c r="AM946" s="286" t="n"/>
      <c r="AN946" s="282" t="n"/>
    </row>
    <row customHeight="1" ht="15.75" r="947" s="452" spans="1:41">
      <c r="A947" s="44" t="n"/>
      <c r="G947" s="282" t="n"/>
      <c r="J947" s="282" t="n"/>
      <c r="M947" s="282" t="n"/>
      <c r="P947" s="282" t="n"/>
      <c r="S947" s="282" t="n"/>
      <c r="V947" s="282" t="n"/>
      <c r="Y947" s="282" t="n"/>
      <c r="AB947" s="282" t="n"/>
      <c r="AC947" s="537" t="n"/>
      <c r="AD947" s="537" t="n"/>
      <c r="AE947" s="282" t="n"/>
      <c r="AF947" s="537" t="n"/>
      <c r="AG947" s="537" t="n"/>
      <c r="AI947" s="537" t="n"/>
      <c r="AJ947" s="537" t="n"/>
      <c r="AK947" s="282" t="n"/>
      <c r="AL947" s="286" t="n"/>
      <c r="AM947" s="286" t="n"/>
      <c r="AN947" s="282" t="n"/>
    </row>
    <row customHeight="1" ht="15.75" r="948" s="452" spans="1:41">
      <c r="A948" s="44" t="n"/>
      <c r="G948" s="282" t="n"/>
      <c r="J948" s="282" t="n"/>
      <c r="M948" s="282" t="n"/>
      <c r="P948" s="282" t="n"/>
      <c r="S948" s="282" t="n"/>
      <c r="V948" s="282" t="n"/>
      <c r="Y948" s="282" t="n"/>
      <c r="AB948" s="282" t="n"/>
      <c r="AC948" s="537" t="n"/>
      <c r="AD948" s="537" t="n"/>
      <c r="AE948" s="282" t="n"/>
      <c r="AF948" s="537" t="n"/>
      <c r="AG948" s="537" t="n"/>
      <c r="AI948" s="537" t="n"/>
      <c r="AJ948" s="537" t="n"/>
      <c r="AK948" s="282" t="n"/>
      <c r="AL948" s="286" t="n"/>
      <c r="AM948" s="286" t="n"/>
      <c r="AN948" s="282" t="n"/>
    </row>
    <row customHeight="1" ht="15.75" r="949" s="452" spans="1:41">
      <c r="A949" s="44" t="n"/>
      <c r="G949" s="282" t="n"/>
      <c r="J949" s="282" t="n"/>
      <c r="M949" s="282" t="n"/>
      <c r="P949" s="282" t="n"/>
      <c r="S949" s="282" t="n"/>
      <c r="V949" s="282" t="n"/>
      <c r="Y949" s="282" t="n"/>
      <c r="AB949" s="282" t="n"/>
      <c r="AC949" s="537" t="n"/>
      <c r="AD949" s="537" t="n"/>
      <c r="AE949" s="282" t="n"/>
      <c r="AF949" s="537" t="n"/>
      <c r="AG949" s="537" t="n"/>
      <c r="AI949" s="537" t="n"/>
      <c r="AJ949" s="537" t="n"/>
      <c r="AK949" s="282" t="n"/>
      <c r="AL949" s="286" t="n"/>
      <c r="AM949" s="286" t="n"/>
      <c r="AN949" s="282" t="n"/>
    </row>
    <row customHeight="1" ht="15.75" r="950" s="452" spans="1:41">
      <c r="A950" s="44" t="n"/>
      <c r="G950" s="282" t="n"/>
      <c r="J950" s="282" t="n"/>
      <c r="M950" s="282" t="n"/>
      <c r="P950" s="282" t="n"/>
      <c r="S950" s="282" t="n"/>
      <c r="V950" s="282" t="n"/>
      <c r="Y950" s="282" t="n"/>
      <c r="AB950" s="282" t="n"/>
      <c r="AC950" s="537" t="n"/>
      <c r="AD950" s="537" t="n"/>
      <c r="AE950" s="282" t="n"/>
      <c r="AF950" s="537" t="n"/>
      <c r="AG950" s="537" t="n"/>
      <c r="AI950" s="537" t="n"/>
      <c r="AJ950" s="537" t="n"/>
      <c r="AK950" s="282" t="n"/>
      <c r="AL950" s="286" t="n"/>
      <c r="AM950" s="286" t="n"/>
      <c r="AN950" s="282" t="n"/>
    </row>
    <row customHeight="1" ht="15.75" r="951" s="452" spans="1:41">
      <c r="A951" s="44" t="n"/>
      <c r="G951" s="282" t="n"/>
      <c r="J951" s="282" t="n"/>
      <c r="M951" s="282" t="n"/>
      <c r="P951" s="282" t="n"/>
      <c r="S951" s="282" t="n"/>
      <c r="V951" s="282" t="n"/>
      <c r="Y951" s="282" t="n"/>
      <c r="AB951" s="282" t="n"/>
      <c r="AC951" s="537" t="n"/>
      <c r="AD951" s="537" t="n"/>
      <c r="AE951" s="282" t="n"/>
      <c r="AF951" s="537" t="n"/>
      <c r="AG951" s="537" t="n"/>
      <c r="AI951" s="537" t="n"/>
      <c r="AJ951" s="537" t="n"/>
      <c r="AK951" s="282" t="n"/>
      <c r="AL951" s="286" t="n"/>
      <c r="AM951" s="286" t="n"/>
      <c r="AN951" s="282" t="n"/>
    </row>
    <row customHeight="1" ht="15.75" r="952" s="452" spans="1:41">
      <c r="A952" s="44" t="n"/>
      <c r="G952" s="282" t="n"/>
      <c r="J952" s="282" t="n"/>
      <c r="M952" s="282" t="n"/>
      <c r="P952" s="282" t="n"/>
      <c r="S952" s="282" t="n"/>
      <c r="V952" s="282" t="n"/>
      <c r="Y952" s="282" t="n"/>
      <c r="AB952" s="282" t="n"/>
      <c r="AC952" s="537" t="n"/>
      <c r="AD952" s="537" t="n"/>
      <c r="AE952" s="282" t="n"/>
      <c r="AF952" s="537" t="n"/>
      <c r="AG952" s="537" t="n"/>
      <c r="AI952" s="537" t="n"/>
      <c r="AJ952" s="537" t="n"/>
      <c r="AK952" s="282" t="n"/>
      <c r="AL952" s="286" t="n"/>
      <c r="AM952" s="286" t="n"/>
      <c r="AN952" s="282" t="n"/>
    </row>
    <row customHeight="1" ht="15.75" r="953" s="452" spans="1:41">
      <c r="A953" s="44" t="n"/>
      <c r="G953" s="282" t="n"/>
      <c r="J953" s="282" t="n"/>
      <c r="M953" s="282" t="n"/>
      <c r="P953" s="282" t="n"/>
      <c r="S953" s="282" t="n"/>
      <c r="V953" s="282" t="n"/>
      <c r="Y953" s="282" t="n"/>
      <c r="AB953" s="282" t="n"/>
      <c r="AC953" s="537" t="n"/>
      <c r="AD953" s="537" t="n"/>
      <c r="AE953" s="282" t="n"/>
      <c r="AF953" s="537" t="n"/>
      <c r="AG953" s="537" t="n"/>
      <c r="AI953" s="537" t="n"/>
      <c r="AJ953" s="537" t="n"/>
      <c r="AK953" s="282" t="n"/>
      <c r="AL953" s="286" t="n"/>
      <c r="AM953" s="286" t="n"/>
      <c r="AN953" s="282" t="n"/>
    </row>
    <row customHeight="1" ht="15.75" r="954" s="452" spans="1:41">
      <c r="A954" s="44" t="n"/>
      <c r="G954" s="282" t="n"/>
      <c r="J954" s="282" t="n"/>
      <c r="M954" s="282" t="n"/>
      <c r="P954" s="282" t="n"/>
      <c r="S954" s="282" t="n"/>
      <c r="V954" s="282" t="n"/>
      <c r="Y954" s="282" t="n"/>
      <c r="AB954" s="282" t="n"/>
      <c r="AC954" s="537" t="n"/>
      <c r="AD954" s="537" t="n"/>
      <c r="AE954" s="282" t="n"/>
      <c r="AF954" s="537" t="n"/>
      <c r="AG954" s="537" t="n"/>
      <c r="AI954" s="537" t="n"/>
      <c r="AJ954" s="537" t="n"/>
      <c r="AK954" s="282" t="n"/>
      <c r="AL954" s="286" t="n"/>
      <c r="AM954" s="286" t="n"/>
      <c r="AN954" s="282" t="n"/>
    </row>
    <row customHeight="1" ht="15.75" r="955" s="452" spans="1:41">
      <c r="A955" s="44" t="n"/>
      <c r="G955" s="282" t="n"/>
      <c r="J955" s="282" t="n"/>
      <c r="M955" s="282" t="n"/>
      <c r="P955" s="282" t="n"/>
      <c r="S955" s="282" t="n"/>
      <c r="V955" s="282" t="n"/>
      <c r="Y955" s="282" t="n"/>
      <c r="AB955" s="282" t="n"/>
      <c r="AC955" s="537" t="n"/>
      <c r="AD955" s="537" t="n"/>
      <c r="AE955" s="282" t="n"/>
      <c r="AF955" s="537" t="n"/>
      <c r="AG955" s="537" t="n"/>
      <c r="AI955" s="537" t="n"/>
      <c r="AJ955" s="537" t="n"/>
      <c r="AK955" s="282" t="n"/>
      <c r="AL955" s="286" t="n"/>
      <c r="AM955" s="286" t="n"/>
      <c r="AN955" s="282" t="n"/>
    </row>
    <row customHeight="1" ht="15.75" r="956" s="452" spans="1:41">
      <c r="A956" s="44" t="n"/>
      <c r="G956" s="282" t="n"/>
      <c r="J956" s="282" t="n"/>
      <c r="M956" s="282" t="n"/>
      <c r="P956" s="282" t="n"/>
      <c r="S956" s="282" t="n"/>
      <c r="V956" s="282" t="n"/>
      <c r="Y956" s="282" t="n"/>
      <c r="AB956" s="282" t="n"/>
      <c r="AC956" s="537" t="n"/>
      <c r="AD956" s="537" t="n"/>
      <c r="AE956" s="282" t="n"/>
      <c r="AF956" s="537" t="n"/>
      <c r="AG956" s="537" t="n"/>
      <c r="AI956" s="537" t="n"/>
      <c r="AJ956" s="537" t="n"/>
      <c r="AK956" s="282" t="n"/>
      <c r="AL956" s="286" t="n"/>
      <c r="AM956" s="286" t="n"/>
      <c r="AN956" s="282" t="n"/>
    </row>
    <row customHeight="1" ht="15.75" r="957" s="452" spans="1:41">
      <c r="A957" s="44" t="n"/>
      <c r="G957" s="282" t="n"/>
      <c r="J957" s="282" t="n"/>
      <c r="M957" s="282" t="n"/>
      <c r="P957" s="282" t="n"/>
      <c r="S957" s="282" t="n"/>
      <c r="V957" s="282" t="n"/>
      <c r="Y957" s="282" t="n"/>
      <c r="AB957" s="282" t="n"/>
      <c r="AC957" s="537" t="n"/>
      <c r="AD957" s="537" t="n"/>
      <c r="AE957" s="282" t="n"/>
      <c r="AF957" s="537" t="n"/>
      <c r="AG957" s="537" t="n"/>
      <c r="AI957" s="537" t="n"/>
      <c r="AJ957" s="537" t="n"/>
      <c r="AK957" s="282" t="n"/>
      <c r="AL957" s="286" t="n"/>
      <c r="AM957" s="286" t="n"/>
      <c r="AN957" s="282" t="n"/>
    </row>
    <row customHeight="1" ht="15.75" r="958" s="452" spans="1:41">
      <c r="A958" s="44" t="n"/>
      <c r="G958" s="282" t="n"/>
      <c r="J958" s="282" t="n"/>
      <c r="M958" s="282" t="n"/>
      <c r="P958" s="282" t="n"/>
      <c r="S958" s="282" t="n"/>
      <c r="V958" s="282" t="n"/>
      <c r="Y958" s="282" t="n"/>
      <c r="AB958" s="282" t="n"/>
      <c r="AC958" s="537" t="n"/>
      <c r="AD958" s="537" t="n"/>
      <c r="AE958" s="282" t="n"/>
      <c r="AF958" s="537" t="n"/>
      <c r="AG958" s="537" t="n"/>
      <c r="AI958" s="537" t="n"/>
      <c r="AJ958" s="537" t="n"/>
      <c r="AK958" s="282" t="n"/>
      <c r="AL958" s="286" t="n"/>
      <c r="AM958" s="286" t="n"/>
      <c r="AN958" s="282" t="n"/>
    </row>
    <row customHeight="1" ht="15.75" r="959" s="452" spans="1:41">
      <c r="A959" s="44" t="n"/>
      <c r="G959" s="282" t="n"/>
      <c r="J959" s="282" t="n"/>
      <c r="M959" s="282" t="n"/>
      <c r="P959" s="282" t="n"/>
      <c r="S959" s="282" t="n"/>
      <c r="V959" s="282" t="n"/>
      <c r="Y959" s="282" t="n"/>
      <c r="AB959" s="282" t="n"/>
      <c r="AC959" s="537" t="n"/>
      <c r="AD959" s="537" t="n"/>
      <c r="AE959" s="282" t="n"/>
      <c r="AF959" s="537" t="n"/>
      <c r="AG959" s="537" t="n"/>
      <c r="AI959" s="537" t="n"/>
      <c r="AJ959" s="537" t="n"/>
      <c r="AK959" s="282" t="n"/>
      <c r="AL959" s="286" t="n"/>
      <c r="AM959" s="286" t="n"/>
      <c r="AN959" s="282" t="n"/>
    </row>
    <row customHeight="1" ht="15.75" r="960" s="452" spans="1:41">
      <c r="A960" s="44" t="n"/>
      <c r="G960" s="282" t="n"/>
      <c r="J960" s="282" t="n"/>
      <c r="M960" s="282" t="n"/>
      <c r="P960" s="282" t="n"/>
      <c r="S960" s="282" t="n"/>
      <c r="V960" s="282" t="n"/>
      <c r="Y960" s="282" t="n"/>
      <c r="AB960" s="282" t="n"/>
      <c r="AC960" s="537" t="n"/>
      <c r="AD960" s="537" t="n"/>
      <c r="AE960" s="282" t="n"/>
      <c r="AF960" s="537" t="n"/>
      <c r="AG960" s="537" t="n"/>
      <c r="AI960" s="537" t="n"/>
      <c r="AJ960" s="537" t="n"/>
      <c r="AK960" s="282" t="n"/>
      <c r="AL960" s="286" t="n"/>
      <c r="AM960" s="286" t="n"/>
      <c r="AN960" s="282" t="n"/>
    </row>
    <row customHeight="1" ht="15.75" r="961" s="452" spans="1:41">
      <c r="A961" s="44" t="n"/>
      <c r="G961" s="282" t="n"/>
      <c r="J961" s="282" t="n"/>
      <c r="M961" s="282" t="n"/>
      <c r="P961" s="282" t="n"/>
      <c r="S961" s="282" t="n"/>
      <c r="V961" s="282" t="n"/>
      <c r="Y961" s="282" t="n"/>
      <c r="AB961" s="282" t="n"/>
      <c r="AC961" s="537" t="n"/>
      <c r="AD961" s="537" t="n"/>
      <c r="AE961" s="282" t="n"/>
      <c r="AF961" s="537" t="n"/>
      <c r="AG961" s="537" t="n"/>
      <c r="AI961" s="537" t="n"/>
      <c r="AJ961" s="537" t="n"/>
      <c r="AK961" s="282" t="n"/>
      <c r="AL961" s="286" t="n"/>
      <c r="AM961" s="286" t="n"/>
      <c r="AN961" s="282" t="n"/>
    </row>
    <row customHeight="1" ht="15.75" r="962" s="452" spans="1:41">
      <c r="A962" s="44" t="n"/>
      <c r="G962" s="282" t="n"/>
      <c r="J962" s="282" t="n"/>
      <c r="M962" s="282" t="n"/>
      <c r="P962" s="282" t="n"/>
      <c r="S962" s="282" t="n"/>
      <c r="V962" s="282" t="n"/>
      <c r="Y962" s="282" t="n"/>
      <c r="AB962" s="282" t="n"/>
      <c r="AC962" s="537" t="n"/>
      <c r="AD962" s="537" t="n"/>
      <c r="AE962" s="282" t="n"/>
      <c r="AF962" s="537" t="n"/>
      <c r="AG962" s="537" t="n"/>
      <c r="AI962" s="537" t="n"/>
      <c r="AJ962" s="537" t="n"/>
      <c r="AK962" s="282" t="n"/>
      <c r="AL962" s="286" t="n"/>
      <c r="AM962" s="286" t="n"/>
      <c r="AN962" s="282" t="n"/>
    </row>
    <row customHeight="1" ht="15.75" r="963" s="452" spans="1:41">
      <c r="A963" s="44" t="n"/>
      <c r="G963" s="282" t="n"/>
      <c r="J963" s="282" t="n"/>
      <c r="M963" s="282" t="n"/>
      <c r="P963" s="282" t="n"/>
      <c r="S963" s="282" t="n"/>
      <c r="V963" s="282" t="n"/>
      <c r="Y963" s="282" t="n"/>
      <c r="AB963" s="282" t="n"/>
      <c r="AC963" s="537" t="n"/>
      <c r="AD963" s="537" t="n"/>
      <c r="AE963" s="282" t="n"/>
      <c r="AF963" s="537" t="n"/>
      <c r="AG963" s="537" t="n"/>
      <c r="AI963" s="537" t="n"/>
      <c r="AJ963" s="537" t="n"/>
      <c r="AK963" s="282" t="n"/>
      <c r="AL963" s="286" t="n"/>
      <c r="AM963" s="286" t="n"/>
      <c r="AN963" s="282" t="n"/>
    </row>
    <row customHeight="1" ht="15.75" r="964" s="452" spans="1:41">
      <c r="A964" s="44" t="n"/>
      <c r="G964" s="282" t="n"/>
      <c r="J964" s="282" t="n"/>
      <c r="M964" s="282" t="n"/>
      <c r="P964" s="282" t="n"/>
      <c r="S964" s="282" t="n"/>
      <c r="V964" s="282" t="n"/>
      <c r="Y964" s="282" t="n"/>
      <c r="AB964" s="282" t="n"/>
      <c r="AC964" s="537" t="n"/>
      <c r="AD964" s="537" t="n"/>
      <c r="AE964" s="282" t="n"/>
      <c r="AF964" s="537" t="n"/>
      <c r="AG964" s="537" t="n"/>
      <c r="AI964" s="537" t="n"/>
      <c r="AJ964" s="537" t="n"/>
      <c r="AK964" s="282" t="n"/>
      <c r="AL964" s="286" t="n"/>
      <c r="AM964" s="286" t="n"/>
      <c r="AN964" s="282" t="n"/>
    </row>
    <row customHeight="1" ht="15.75" r="965" s="452" spans="1:41">
      <c r="A965" s="44" t="n"/>
      <c r="G965" s="282" t="n"/>
      <c r="J965" s="282" t="n"/>
      <c r="M965" s="282" t="n"/>
      <c r="P965" s="282" t="n"/>
      <c r="S965" s="282" t="n"/>
      <c r="V965" s="282" t="n"/>
      <c r="Y965" s="282" t="n"/>
      <c r="AB965" s="282" t="n"/>
      <c r="AC965" s="537" t="n"/>
      <c r="AD965" s="537" t="n"/>
      <c r="AE965" s="282" t="n"/>
      <c r="AF965" s="537" t="n"/>
      <c r="AG965" s="537" t="n"/>
      <c r="AI965" s="537" t="n"/>
      <c r="AJ965" s="537" t="n"/>
      <c r="AK965" s="282" t="n"/>
      <c r="AL965" s="286" t="n"/>
      <c r="AM965" s="286" t="n"/>
      <c r="AN965" s="282" t="n"/>
    </row>
    <row customHeight="1" ht="15.75" r="966" s="452" spans="1:41">
      <c r="A966" s="44" t="n"/>
      <c r="G966" s="282" t="n"/>
      <c r="J966" s="282" t="n"/>
      <c r="M966" s="282" t="n"/>
      <c r="P966" s="282" t="n"/>
      <c r="S966" s="282" t="n"/>
      <c r="V966" s="282" t="n"/>
      <c r="Y966" s="282" t="n"/>
      <c r="AB966" s="282" t="n"/>
      <c r="AC966" s="537" t="n"/>
      <c r="AD966" s="537" t="n"/>
      <c r="AE966" s="282" t="n"/>
      <c r="AF966" s="537" t="n"/>
      <c r="AG966" s="537" t="n"/>
      <c r="AI966" s="537" t="n"/>
      <c r="AJ966" s="537" t="n"/>
      <c r="AK966" s="282" t="n"/>
      <c r="AL966" s="286" t="n"/>
      <c r="AM966" s="286" t="n"/>
      <c r="AN966" s="282" t="n"/>
    </row>
    <row customHeight="1" ht="15.75" r="967" s="452" spans="1:41">
      <c r="A967" s="44" t="n"/>
      <c r="G967" s="282" t="n"/>
      <c r="J967" s="282" t="n"/>
      <c r="M967" s="282" t="n"/>
      <c r="P967" s="282" t="n"/>
      <c r="S967" s="282" t="n"/>
      <c r="V967" s="282" t="n"/>
      <c r="Y967" s="282" t="n"/>
      <c r="AB967" s="282" t="n"/>
      <c r="AC967" s="537" t="n"/>
      <c r="AD967" s="537" t="n"/>
      <c r="AE967" s="282" t="n"/>
      <c r="AF967" s="537" t="n"/>
      <c r="AG967" s="537" t="n"/>
      <c r="AI967" s="537" t="n"/>
      <c r="AJ967" s="537" t="n"/>
      <c r="AK967" s="282" t="n"/>
      <c r="AL967" s="286" t="n"/>
      <c r="AM967" s="286" t="n"/>
      <c r="AN967" s="282" t="n"/>
    </row>
    <row customHeight="1" ht="15.75" r="968" s="452" spans="1:41">
      <c r="A968" s="44" t="n"/>
      <c r="G968" s="282" t="n"/>
      <c r="J968" s="282" t="n"/>
      <c r="M968" s="282" t="n"/>
      <c r="P968" s="282" t="n"/>
      <c r="S968" s="282" t="n"/>
      <c r="V968" s="282" t="n"/>
      <c r="Y968" s="282" t="n"/>
      <c r="AB968" s="282" t="n"/>
      <c r="AC968" s="537" t="n"/>
      <c r="AD968" s="537" t="n"/>
      <c r="AE968" s="282" t="n"/>
      <c r="AF968" s="537" t="n"/>
      <c r="AG968" s="537" t="n"/>
      <c r="AI968" s="537" t="n"/>
      <c r="AJ968" s="537" t="n"/>
      <c r="AK968" s="282" t="n"/>
      <c r="AL968" s="286" t="n"/>
      <c r="AM968" s="286" t="n"/>
      <c r="AN968" s="282" t="n"/>
    </row>
    <row customHeight="1" ht="15.75" r="969" s="452" spans="1:41">
      <c r="A969" s="44" t="n"/>
      <c r="G969" s="282" t="n"/>
      <c r="J969" s="282" t="n"/>
      <c r="M969" s="282" t="n"/>
      <c r="P969" s="282" t="n"/>
      <c r="S969" s="282" t="n"/>
      <c r="V969" s="282" t="n"/>
      <c r="Y969" s="282" t="n"/>
      <c r="AB969" s="282" t="n"/>
      <c r="AC969" s="537" t="n"/>
      <c r="AD969" s="537" t="n"/>
      <c r="AE969" s="282" t="n"/>
      <c r="AF969" s="537" t="n"/>
      <c r="AG969" s="537" t="n"/>
      <c r="AI969" s="537" t="n"/>
      <c r="AJ969" s="537" t="n"/>
      <c r="AK969" s="282" t="n"/>
      <c r="AL969" s="286" t="n"/>
      <c r="AM969" s="286" t="n"/>
      <c r="AN969" s="282" t="n"/>
    </row>
    <row customHeight="1" ht="15.75" r="970" s="452" spans="1:41">
      <c r="A970" s="44" t="n"/>
      <c r="G970" s="282" t="n"/>
      <c r="J970" s="282" t="n"/>
      <c r="M970" s="282" t="n"/>
      <c r="P970" s="282" t="n"/>
      <c r="S970" s="282" t="n"/>
      <c r="V970" s="282" t="n"/>
      <c r="Y970" s="282" t="n"/>
      <c r="AB970" s="282" t="n"/>
      <c r="AC970" s="537" t="n"/>
      <c r="AD970" s="537" t="n"/>
      <c r="AE970" s="282" t="n"/>
      <c r="AF970" s="537" t="n"/>
      <c r="AG970" s="537" t="n"/>
      <c r="AI970" s="537" t="n"/>
      <c r="AJ970" s="537" t="n"/>
      <c r="AK970" s="282" t="n"/>
      <c r="AL970" s="286" t="n"/>
      <c r="AM970" s="286" t="n"/>
      <c r="AN970" s="282" t="n"/>
    </row>
    <row customHeight="1" ht="15.75" r="971" s="452" spans="1:41">
      <c r="A971" s="44" t="n"/>
      <c r="G971" s="282" t="n"/>
      <c r="J971" s="282" t="n"/>
      <c r="M971" s="282" t="n"/>
      <c r="P971" s="282" t="n"/>
      <c r="S971" s="282" t="n"/>
      <c r="V971" s="282" t="n"/>
      <c r="Y971" s="282" t="n"/>
      <c r="AB971" s="282" t="n"/>
      <c r="AC971" s="537" t="n"/>
      <c r="AD971" s="537" t="n"/>
      <c r="AE971" s="282" t="n"/>
      <c r="AF971" s="537" t="n"/>
      <c r="AG971" s="537" t="n"/>
      <c r="AI971" s="537" t="n"/>
      <c r="AJ971" s="537" t="n"/>
      <c r="AK971" s="282" t="n"/>
      <c r="AL971" s="286" t="n"/>
      <c r="AM971" s="286" t="n"/>
      <c r="AN971" s="282" t="n"/>
    </row>
    <row customHeight="1" ht="15.75" r="972" s="452" spans="1:41">
      <c r="A972" s="44" t="n"/>
      <c r="G972" s="282" t="n"/>
      <c r="J972" s="282" t="n"/>
      <c r="M972" s="282" t="n"/>
      <c r="P972" s="282" t="n"/>
      <c r="S972" s="282" t="n"/>
      <c r="V972" s="282" t="n"/>
      <c r="Y972" s="282" t="n"/>
      <c r="AB972" s="282" t="n"/>
      <c r="AC972" s="537" t="n"/>
      <c r="AD972" s="537" t="n"/>
      <c r="AE972" s="282" t="n"/>
      <c r="AF972" s="537" t="n"/>
      <c r="AG972" s="537" t="n"/>
      <c r="AI972" s="537" t="n"/>
      <c r="AJ972" s="537" t="n"/>
      <c r="AK972" s="282" t="n"/>
      <c r="AL972" s="286" t="n"/>
      <c r="AM972" s="286" t="n"/>
      <c r="AN972" s="282" t="n"/>
    </row>
    <row customHeight="1" ht="15.75" r="973" s="452" spans="1:41">
      <c r="A973" s="44" t="n"/>
      <c r="G973" s="282" t="n"/>
      <c r="J973" s="282" t="n"/>
      <c r="M973" s="282" t="n"/>
      <c r="P973" s="282" t="n"/>
      <c r="S973" s="282" t="n"/>
      <c r="V973" s="282" t="n"/>
      <c r="Y973" s="282" t="n"/>
      <c r="AB973" s="282" t="n"/>
      <c r="AC973" s="537" t="n"/>
      <c r="AD973" s="537" t="n"/>
      <c r="AE973" s="282" t="n"/>
      <c r="AF973" s="537" t="n"/>
      <c r="AG973" s="537" t="n"/>
      <c r="AI973" s="537" t="n"/>
      <c r="AJ973" s="537" t="n"/>
      <c r="AK973" s="282" t="n"/>
      <c r="AL973" s="286" t="n"/>
      <c r="AM973" s="286" t="n"/>
      <c r="AN973" s="282" t="n"/>
    </row>
    <row customHeight="1" ht="15.75" r="974" s="452" spans="1:41">
      <c r="A974" s="44" t="n"/>
      <c r="G974" s="282" t="n"/>
      <c r="J974" s="282" t="n"/>
      <c r="M974" s="282" t="n"/>
      <c r="P974" s="282" t="n"/>
      <c r="S974" s="282" t="n"/>
      <c r="V974" s="282" t="n"/>
      <c r="Y974" s="282" t="n"/>
      <c r="AB974" s="282" t="n"/>
      <c r="AC974" s="537" t="n"/>
      <c r="AD974" s="537" t="n"/>
      <c r="AE974" s="282" t="n"/>
      <c r="AF974" s="537" t="n"/>
      <c r="AG974" s="537" t="n"/>
      <c r="AI974" s="537" t="n"/>
      <c r="AJ974" s="537" t="n"/>
      <c r="AK974" s="282" t="n"/>
      <c r="AL974" s="286" t="n"/>
      <c r="AM974" s="286" t="n"/>
      <c r="AN974" s="282" t="n"/>
    </row>
    <row customHeight="1" ht="15.75" r="975" s="452" spans="1:41">
      <c r="A975" s="44" t="n"/>
      <c r="G975" s="282" t="n"/>
      <c r="J975" s="282" t="n"/>
      <c r="M975" s="282" t="n"/>
      <c r="P975" s="282" t="n"/>
      <c r="S975" s="282" t="n"/>
      <c r="V975" s="282" t="n"/>
      <c r="Y975" s="282" t="n"/>
      <c r="AB975" s="282" t="n"/>
      <c r="AC975" s="537" t="n"/>
      <c r="AD975" s="537" t="n"/>
      <c r="AE975" s="282" t="n"/>
      <c r="AF975" s="537" t="n"/>
      <c r="AG975" s="537" t="n"/>
      <c r="AI975" s="537" t="n"/>
      <c r="AJ975" s="537" t="n"/>
      <c r="AK975" s="282" t="n"/>
      <c r="AL975" s="286" t="n"/>
      <c r="AM975" s="286" t="n"/>
      <c r="AN975" s="282" t="n"/>
    </row>
    <row customHeight="1" ht="15.75" r="976" s="452" spans="1:41">
      <c r="A976" s="44" t="n"/>
      <c r="G976" s="282" t="n"/>
      <c r="J976" s="282" t="n"/>
      <c r="M976" s="282" t="n"/>
      <c r="P976" s="282" t="n"/>
      <c r="S976" s="282" t="n"/>
      <c r="V976" s="282" t="n"/>
      <c r="Y976" s="282" t="n"/>
      <c r="AB976" s="282" t="n"/>
      <c r="AC976" s="537" t="n"/>
      <c r="AD976" s="537" t="n"/>
      <c r="AE976" s="282" t="n"/>
      <c r="AF976" s="537" t="n"/>
      <c r="AG976" s="537" t="n"/>
      <c r="AI976" s="537" t="n"/>
      <c r="AJ976" s="537" t="n"/>
      <c r="AK976" s="282" t="n"/>
      <c r="AL976" s="286" t="n"/>
      <c r="AM976" s="286" t="n"/>
      <c r="AN976" s="282" t="n"/>
    </row>
    <row customHeight="1" ht="15.75" r="977" s="452" spans="1:41">
      <c r="A977" s="44" t="n"/>
      <c r="G977" s="282" t="n"/>
      <c r="J977" s="282" t="n"/>
      <c r="M977" s="282" t="n"/>
      <c r="P977" s="282" t="n"/>
      <c r="S977" s="282" t="n"/>
      <c r="V977" s="282" t="n"/>
      <c r="Y977" s="282" t="n"/>
      <c r="AB977" s="282" t="n"/>
      <c r="AC977" s="537" t="n"/>
      <c r="AD977" s="537" t="n"/>
      <c r="AE977" s="282" t="n"/>
      <c r="AF977" s="537" t="n"/>
      <c r="AG977" s="537" t="n"/>
      <c r="AI977" s="537" t="n"/>
      <c r="AJ977" s="537" t="n"/>
      <c r="AK977" s="282" t="n"/>
      <c r="AL977" s="286" t="n"/>
      <c r="AM977" s="286" t="n"/>
      <c r="AN977" s="282" t="n"/>
    </row>
    <row customHeight="1" ht="15.75" r="978" s="452" spans="1:41">
      <c r="A978" s="44" t="n"/>
      <c r="G978" s="282" t="n"/>
      <c r="J978" s="282" t="n"/>
      <c r="M978" s="282" t="n"/>
      <c r="P978" s="282" t="n"/>
      <c r="S978" s="282" t="n"/>
      <c r="V978" s="282" t="n"/>
      <c r="Y978" s="282" t="n"/>
      <c r="AB978" s="282" t="n"/>
      <c r="AC978" s="537" t="n"/>
      <c r="AD978" s="537" t="n"/>
      <c r="AE978" s="282" t="n"/>
      <c r="AF978" s="537" t="n"/>
      <c r="AG978" s="537" t="n"/>
      <c r="AI978" s="537" t="n"/>
      <c r="AJ978" s="537" t="n"/>
      <c r="AK978" s="282" t="n"/>
      <c r="AL978" s="286" t="n"/>
      <c r="AM978" s="286" t="n"/>
      <c r="AN978" s="282" t="n"/>
    </row>
    <row customHeight="1" ht="15.75" r="979" s="452" spans="1:41">
      <c r="A979" s="44" t="n"/>
      <c r="G979" s="282" t="n"/>
      <c r="J979" s="282" t="n"/>
      <c r="M979" s="282" t="n"/>
      <c r="P979" s="282" t="n"/>
      <c r="S979" s="282" t="n"/>
      <c r="V979" s="282" t="n"/>
      <c r="Y979" s="282" t="n"/>
      <c r="AB979" s="282" t="n"/>
      <c r="AC979" s="537" t="n"/>
      <c r="AD979" s="537" t="n"/>
      <c r="AE979" s="282" t="n"/>
      <c r="AF979" s="537" t="n"/>
      <c r="AG979" s="537" t="n"/>
      <c r="AI979" s="537" t="n"/>
      <c r="AJ979" s="537" t="n"/>
      <c r="AK979" s="282" t="n"/>
      <c r="AL979" s="286" t="n"/>
      <c r="AM979" s="286" t="n"/>
      <c r="AN979" s="282" t="n"/>
    </row>
    <row customHeight="1" ht="15.75" r="980" s="452" spans="1:41">
      <c r="A980" s="44" t="n"/>
      <c r="G980" s="282" t="n"/>
      <c r="J980" s="282" t="n"/>
      <c r="M980" s="282" t="n"/>
      <c r="P980" s="282" t="n"/>
      <c r="S980" s="282" t="n"/>
      <c r="V980" s="282" t="n"/>
      <c r="Y980" s="282" t="n"/>
      <c r="AB980" s="282" t="n"/>
      <c r="AC980" s="537" t="n"/>
      <c r="AD980" s="537" t="n"/>
      <c r="AE980" s="282" t="n"/>
      <c r="AF980" s="537" t="n"/>
      <c r="AG980" s="537" t="n"/>
      <c r="AI980" s="537" t="n"/>
      <c r="AJ980" s="537" t="n"/>
      <c r="AK980" s="282" t="n"/>
      <c r="AL980" s="286" t="n"/>
      <c r="AM980" s="286" t="n"/>
      <c r="AN980" s="282" t="n"/>
    </row>
    <row customHeight="1" ht="15.75" r="981" s="452" spans="1:41">
      <c r="A981" s="44" t="n"/>
      <c r="G981" s="282" t="n"/>
      <c r="J981" s="282" t="n"/>
      <c r="M981" s="282" t="n"/>
      <c r="P981" s="282" t="n"/>
      <c r="S981" s="282" t="n"/>
      <c r="V981" s="282" t="n"/>
      <c r="Y981" s="282" t="n"/>
      <c r="AB981" s="282" t="n"/>
      <c r="AC981" s="537" t="n"/>
      <c r="AD981" s="537" t="n"/>
      <c r="AE981" s="282" t="n"/>
      <c r="AF981" s="537" t="n"/>
      <c r="AG981" s="537" t="n"/>
      <c r="AI981" s="537" t="n"/>
      <c r="AJ981" s="537" t="n"/>
      <c r="AK981" s="282" t="n"/>
      <c r="AL981" s="286" t="n"/>
      <c r="AM981" s="286" t="n"/>
      <c r="AN981" s="282" t="n"/>
    </row>
    <row customHeight="1" ht="15.75" r="982" s="452" spans="1:41">
      <c r="A982" s="44" t="n"/>
      <c r="G982" s="282" t="n"/>
      <c r="J982" s="282" t="n"/>
      <c r="M982" s="282" t="n"/>
      <c r="P982" s="282" t="n"/>
      <c r="S982" s="282" t="n"/>
      <c r="V982" s="282" t="n"/>
      <c r="Y982" s="282" t="n"/>
      <c r="AB982" s="282" t="n"/>
      <c r="AC982" s="537" t="n"/>
      <c r="AD982" s="537" t="n"/>
      <c r="AE982" s="282" t="n"/>
      <c r="AF982" s="537" t="n"/>
      <c r="AG982" s="537" t="n"/>
      <c r="AI982" s="537" t="n"/>
      <c r="AJ982" s="537" t="n"/>
      <c r="AK982" s="282" t="n"/>
      <c r="AL982" s="286" t="n"/>
      <c r="AM982" s="286" t="n"/>
      <c r="AN982" s="282" t="n"/>
    </row>
    <row customHeight="1" ht="15.75" r="983" s="452" spans="1:41">
      <c r="A983" s="44" t="n"/>
      <c r="G983" s="282" t="n"/>
      <c r="J983" s="282" t="n"/>
      <c r="M983" s="282" t="n"/>
      <c r="P983" s="282" t="n"/>
      <c r="S983" s="282" t="n"/>
      <c r="V983" s="282" t="n"/>
      <c r="Y983" s="282" t="n"/>
      <c r="AB983" s="282" t="n"/>
      <c r="AC983" s="537" t="n"/>
      <c r="AD983" s="537" t="n"/>
      <c r="AE983" s="282" t="n"/>
      <c r="AF983" s="537" t="n"/>
      <c r="AG983" s="537" t="n"/>
      <c r="AI983" s="537" t="n"/>
      <c r="AJ983" s="537" t="n"/>
      <c r="AK983" s="282" t="n"/>
      <c r="AL983" s="286" t="n"/>
      <c r="AM983" s="286" t="n"/>
      <c r="AN983" s="282" t="n"/>
    </row>
    <row customHeight="1" ht="15.75" r="984" s="452" spans="1:41">
      <c r="A984" s="44" t="n"/>
      <c r="G984" s="282" t="n"/>
      <c r="J984" s="282" t="n"/>
      <c r="M984" s="282" t="n"/>
      <c r="P984" s="282" t="n"/>
      <c r="S984" s="282" t="n"/>
      <c r="V984" s="282" t="n"/>
      <c r="Y984" s="282" t="n"/>
      <c r="AB984" s="282" t="n"/>
      <c r="AC984" s="537" t="n"/>
      <c r="AD984" s="537" t="n"/>
      <c r="AE984" s="282" t="n"/>
      <c r="AF984" s="537" t="n"/>
      <c r="AG984" s="537" t="n"/>
      <c r="AI984" s="537" t="n"/>
      <c r="AJ984" s="537" t="n"/>
      <c r="AK984" s="282" t="n"/>
      <c r="AL984" s="286" t="n"/>
      <c r="AM984" s="286" t="n"/>
      <c r="AN984" s="282" t="n"/>
    </row>
    <row customHeight="1" ht="15.75" r="985" s="452" spans="1:41">
      <c r="A985" s="44" t="n"/>
      <c r="G985" s="282" t="n"/>
      <c r="J985" s="282" t="n"/>
      <c r="M985" s="282" t="n"/>
      <c r="P985" s="282" t="n"/>
      <c r="S985" s="282" t="n"/>
      <c r="V985" s="282" t="n"/>
      <c r="Y985" s="282" t="n"/>
      <c r="AB985" s="282" t="n"/>
      <c r="AC985" s="537" t="n"/>
      <c r="AD985" s="537" t="n"/>
      <c r="AE985" s="282" t="n"/>
      <c r="AF985" s="537" t="n"/>
      <c r="AG985" s="537" t="n"/>
      <c r="AI985" s="537" t="n"/>
      <c r="AJ985" s="537" t="n"/>
      <c r="AK985" s="282" t="n"/>
      <c r="AL985" s="286" t="n"/>
      <c r="AM985" s="286" t="n"/>
      <c r="AN985" s="282" t="n"/>
    </row>
    <row customHeight="1" ht="15.75" r="986" s="452" spans="1:41">
      <c r="A986" s="44" t="n"/>
      <c r="G986" s="282" t="n"/>
      <c r="J986" s="282" t="n"/>
      <c r="M986" s="282" t="n"/>
      <c r="P986" s="282" t="n"/>
      <c r="S986" s="282" t="n"/>
      <c r="V986" s="282" t="n"/>
      <c r="Y986" s="282" t="n"/>
      <c r="AB986" s="282" t="n"/>
      <c r="AC986" s="537" t="n"/>
      <c r="AD986" s="537" t="n"/>
      <c r="AE986" s="282" t="n"/>
      <c r="AF986" s="537" t="n"/>
      <c r="AG986" s="537" t="n"/>
      <c r="AI986" s="537" t="n"/>
      <c r="AJ986" s="537" t="n"/>
      <c r="AK986" s="282" t="n"/>
      <c r="AL986" s="286" t="n"/>
      <c r="AM986" s="286" t="n"/>
      <c r="AN986" s="282" t="n"/>
    </row>
    <row customHeight="1" ht="15.75" r="987" s="452" spans="1:41">
      <c r="A987" s="44" t="n"/>
      <c r="G987" s="282" t="n"/>
      <c r="J987" s="282" t="n"/>
      <c r="M987" s="282" t="n"/>
      <c r="P987" s="282" t="n"/>
      <c r="S987" s="282" t="n"/>
      <c r="V987" s="282" t="n"/>
      <c r="Y987" s="282" t="n"/>
      <c r="AB987" s="282" t="n"/>
      <c r="AC987" s="537" t="n"/>
      <c r="AD987" s="537" t="n"/>
      <c r="AE987" s="282" t="n"/>
      <c r="AF987" s="537" t="n"/>
      <c r="AG987" s="537" t="n"/>
      <c r="AI987" s="537" t="n"/>
      <c r="AJ987" s="537" t="n"/>
      <c r="AK987" s="282" t="n"/>
      <c r="AL987" s="286" t="n"/>
      <c r="AM987" s="286" t="n"/>
      <c r="AN987" s="282" t="n"/>
    </row>
    <row customHeight="1" ht="15.75" r="988" s="452" spans="1:41">
      <c r="A988" s="44" t="n"/>
      <c r="G988" s="282" t="n"/>
      <c r="J988" s="282" t="n"/>
      <c r="M988" s="282" t="n"/>
      <c r="P988" s="282" t="n"/>
      <c r="S988" s="282" t="n"/>
      <c r="V988" s="282" t="n"/>
      <c r="Y988" s="282" t="n"/>
      <c r="AB988" s="282" t="n"/>
      <c r="AC988" s="537" t="n"/>
      <c r="AD988" s="537" t="n"/>
      <c r="AE988" s="282" t="n"/>
      <c r="AF988" s="537" t="n"/>
      <c r="AG988" s="537" t="n"/>
      <c r="AI988" s="537" t="n"/>
      <c r="AJ988" s="537" t="n"/>
      <c r="AK988" s="282" t="n"/>
      <c r="AL988" s="286" t="n"/>
      <c r="AM988" s="286" t="n"/>
      <c r="AN988" s="282" t="n"/>
    </row>
    <row customHeight="1" ht="15.75" r="989" s="452" spans="1:41">
      <c r="A989" s="44" t="n"/>
      <c r="G989" s="282" t="n"/>
      <c r="J989" s="282" t="n"/>
      <c r="M989" s="282" t="n"/>
      <c r="P989" s="282" t="n"/>
      <c r="S989" s="282" t="n"/>
      <c r="V989" s="282" t="n"/>
      <c r="Y989" s="282" t="n"/>
      <c r="AB989" s="282" t="n"/>
      <c r="AC989" s="537" t="n"/>
      <c r="AD989" s="537" t="n"/>
      <c r="AE989" s="282" t="n"/>
      <c r="AF989" s="537" t="n"/>
      <c r="AG989" s="537" t="n"/>
      <c r="AI989" s="537" t="n"/>
      <c r="AJ989" s="537" t="n"/>
      <c r="AK989" s="282" t="n"/>
      <c r="AL989" s="286" t="n"/>
      <c r="AM989" s="286" t="n"/>
      <c r="AN989" s="282" t="n"/>
    </row>
    <row customHeight="1" ht="15.75" r="990" s="452" spans="1:41">
      <c r="A990" s="44" t="n"/>
      <c r="G990" s="282" t="n"/>
      <c r="J990" s="282" t="n"/>
      <c r="M990" s="282" t="n"/>
      <c r="P990" s="282" t="n"/>
      <c r="S990" s="282" t="n"/>
      <c r="V990" s="282" t="n"/>
      <c r="Y990" s="282" t="n"/>
      <c r="AB990" s="282" t="n"/>
      <c r="AC990" s="537" t="n"/>
      <c r="AD990" s="537" t="n"/>
      <c r="AE990" s="282" t="n"/>
      <c r="AF990" s="537" t="n"/>
      <c r="AG990" s="537" t="n"/>
      <c r="AI990" s="537" t="n"/>
      <c r="AJ990" s="537" t="n"/>
      <c r="AK990" s="282" t="n"/>
      <c r="AL990" s="286" t="n"/>
      <c r="AM990" s="286" t="n"/>
      <c r="AN990" s="282" t="n"/>
    </row>
    <row customHeight="1" ht="15.75" r="991" s="452" spans="1:41">
      <c r="A991" s="44" t="n"/>
      <c r="G991" s="282" t="n"/>
      <c r="J991" s="282" t="n"/>
      <c r="M991" s="282" t="n"/>
      <c r="P991" s="282" t="n"/>
      <c r="S991" s="282" t="n"/>
      <c r="V991" s="282" t="n"/>
      <c r="Y991" s="282" t="n"/>
      <c r="AB991" s="282" t="n"/>
      <c r="AC991" s="537" t="n"/>
      <c r="AD991" s="537" t="n"/>
      <c r="AE991" s="282" t="n"/>
      <c r="AF991" s="537" t="n"/>
      <c r="AG991" s="537" t="n"/>
      <c r="AI991" s="537" t="n"/>
      <c r="AJ991" s="537" t="n"/>
      <c r="AK991" s="282" t="n"/>
      <c r="AL991" s="286" t="n"/>
      <c r="AM991" s="286" t="n"/>
      <c r="AN991" s="282" t="n"/>
    </row>
    <row customHeight="1" ht="15.75" r="992" s="452" spans="1:41">
      <c r="A992" s="44" t="n"/>
      <c r="G992" s="282" t="n"/>
      <c r="J992" s="282" t="n"/>
      <c r="M992" s="282" t="n"/>
      <c r="P992" s="282" t="n"/>
      <c r="S992" s="282" t="n"/>
      <c r="V992" s="282" t="n"/>
      <c r="Y992" s="282" t="n"/>
      <c r="AB992" s="282" t="n"/>
      <c r="AC992" s="537" t="n"/>
      <c r="AD992" s="537" t="n"/>
      <c r="AE992" s="282" t="n"/>
      <c r="AF992" s="537" t="n"/>
      <c r="AG992" s="537" t="n"/>
      <c r="AI992" s="537" t="n"/>
      <c r="AJ992" s="537" t="n"/>
      <c r="AK992" s="282" t="n"/>
      <c r="AL992" s="286" t="n"/>
      <c r="AM992" s="286" t="n"/>
      <c r="AN992" s="282" t="n"/>
    </row>
    <row customHeight="1" ht="15.75" r="993" s="452" spans="1:41">
      <c r="A993" s="44" t="n"/>
      <c r="G993" s="282" t="n"/>
      <c r="J993" s="282" t="n"/>
      <c r="M993" s="282" t="n"/>
      <c r="P993" s="282" t="n"/>
      <c r="S993" s="282" t="n"/>
      <c r="V993" s="282" t="n"/>
      <c r="Y993" s="282" t="n"/>
      <c r="AB993" s="282" t="n"/>
      <c r="AC993" s="537" t="n"/>
      <c r="AD993" s="537" t="n"/>
      <c r="AE993" s="282" t="n"/>
      <c r="AF993" s="537" t="n"/>
      <c r="AG993" s="537" t="n"/>
      <c r="AI993" s="537" t="n"/>
      <c r="AJ993" s="537" t="n"/>
      <c r="AK993" s="282" t="n"/>
      <c r="AL993" s="286" t="n"/>
      <c r="AM993" s="286" t="n"/>
      <c r="AN993" s="282" t="n"/>
    </row>
    <row customHeight="1" ht="15.75" r="994" s="452" spans="1:41">
      <c r="A994" s="44" t="n"/>
      <c r="G994" s="282" t="n"/>
      <c r="J994" s="282" t="n"/>
      <c r="M994" s="282" t="n"/>
      <c r="P994" s="282" t="n"/>
      <c r="S994" s="282" t="n"/>
      <c r="V994" s="282" t="n"/>
      <c r="Y994" s="282" t="n"/>
      <c r="AB994" s="282" t="n"/>
      <c r="AC994" s="537" t="n"/>
      <c r="AD994" s="537" t="n"/>
      <c r="AE994" s="282" t="n"/>
      <c r="AF994" s="537" t="n"/>
      <c r="AG994" s="537" t="n"/>
      <c r="AI994" s="537" t="n"/>
      <c r="AJ994" s="537" t="n"/>
      <c r="AK994" s="282" t="n"/>
      <c r="AL994" s="286" t="n"/>
      <c r="AM994" s="286" t="n"/>
      <c r="AN994" s="282" t="n"/>
    </row>
    <row customHeight="1" ht="15.75" r="995" s="452" spans="1:41">
      <c r="A995" s="44" t="n"/>
      <c r="G995" s="282" t="n"/>
      <c r="J995" s="282" t="n"/>
      <c r="M995" s="282" t="n"/>
      <c r="P995" s="282" t="n"/>
      <c r="S995" s="282" t="n"/>
      <c r="V995" s="282" t="n"/>
      <c r="Y995" s="282" t="n"/>
      <c r="AB995" s="282" t="n"/>
      <c r="AC995" s="537" t="n"/>
      <c r="AD995" s="537" t="n"/>
      <c r="AE995" s="282" t="n"/>
      <c r="AF995" s="537" t="n"/>
      <c r="AG995" s="537" t="n"/>
      <c r="AI995" s="537" t="n"/>
      <c r="AJ995" s="537" t="n"/>
      <c r="AK995" s="282" t="n"/>
      <c r="AL995" s="286" t="n"/>
      <c r="AM995" s="286" t="n"/>
      <c r="AN995" s="282" t="n"/>
    </row>
    <row customHeight="1" ht="15.75" r="996" s="452" spans="1:41">
      <c r="A996" s="44" t="n"/>
      <c r="G996" s="282" t="n"/>
      <c r="J996" s="282" t="n"/>
      <c r="M996" s="282" t="n"/>
      <c r="P996" s="282" t="n"/>
      <c r="S996" s="282" t="n"/>
      <c r="V996" s="282" t="n"/>
      <c r="Y996" s="282" t="n"/>
      <c r="AB996" s="282" t="n"/>
      <c r="AC996" s="537" t="n"/>
      <c r="AD996" s="537" t="n"/>
      <c r="AE996" s="282" t="n"/>
      <c r="AF996" s="537" t="n"/>
      <c r="AG996" s="537" t="n"/>
      <c r="AI996" s="537" t="n"/>
      <c r="AJ996" s="537" t="n"/>
      <c r="AK996" s="282" t="n"/>
      <c r="AL996" s="286" t="n"/>
      <c r="AM996" s="286" t="n"/>
      <c r="AN996" s="282" t="n"/>
    </row>
    <row customHeight="1" ht="15.75" r="997" s="452" spans="1:41">
      <c r="A997" s="44" t="n"/>
      <c r="G997" s="282" t="n"/>
      <c r="J997" s="282" t="n"/>
      <c r="M997" s="282" t="n"/>
      <c r="P997" s="282" t="n"/>
      <c r="S997" s="282" t="n"/>
      <c r="V997" s="282" t="n"/>
      <c r="Y997" s="282" t="n"/>
      <c r="AB997" s="282" t="n"/>
      <c r="AC997" s="537" t="n"/>
      <c r="AD997" s="537" t="n"/>
      <c r="AE997" s="282" t="n"/>
      <c r="AF997" s="537" t="n"/>
      <c r="AG997" s="537" t="n"/>
      <c r="AI997" s="537" t="n"/>
      <c r="AJ997" s="537" t="n"/>
      <c r="AK997" s="282" t="n"/>
      <c r="AL997" s="286" t="n"/>
      <c r="AM997" s="286" t="n"/>
      <c r="AN997" s="282" t="n"/>
    </row>
    <row customHeight="1" ht="15.75" r="998" s="452" spans="1:41">
      <c r="A998" s="44" t="n"/>
      <c r="G998" s="282" t="n"/>
      <c r="J998" s="282" t="n"/>
      <c r="M998" s="282" t="n"/>
      <c r="P998" s="282" t="n"/>
      <c r="S998" s="282" t="n"/>
      <c r="V998" s="282" t="n"/>
      <c r="Y998" s="282" t="n"/>
      <c r="AB998" s="282" t="n"/>
      <c r="AC998" s="537" t="n"/>
      <c r="AD998" s="537" t="n"/>
      <c r="AE998" s="282" t="n"/>
      <c r="AF998" s="537" t="n"/>
      <c r="AG998" s="537" t="n"/>
      <c r="AI998" s="537" t="n"/>
      <c r="AJ998" s="537" t="n"/>
      <c r="AK998" s="282" t="n"/>
      <c r="AL998" s="286" t="n"/>
      <c r="AM998" s="286" t="n"/>
      <c r="AN998" s="282" t="n"/>
    </row>
    <row customHeight="1" ht="15.75" r="999" s="452" spans="1:41">
      <c r="A999" s="44" t="n"/>
      <c r="G999" s="282" t="n"/>
      <c r="J999" s="282" t="n"/>
      <c r="M999" s="282" t="n"/>
      <c r="P999" s="282" t="n"/>
      <c r="S999" s="282" t="n"/>
      <c r="V999" s="282" t="n"/>
      <c r="Y999" s="282" t="n"/>
      <c r="AB999" s="282" t="n"/>
      <c r="AC999" s="537" t="n"/>
      <c r="AD999" s="537" t="n"/>
      <c r="AE999" s="282" t="n"/>
      <c r="AF999" s="537" t="n"/>
      <c r="AG999" s="537" t="n"/>
      <c r="AI999" s="537" t="n"/>
      <c r="AJ999" s="537" t="n"/>
      <c r="AK999" s="282" t="n"/>
      <c r="AL999" s="286" t="n"/>
      <c r="AM999" s="286" t="n"/>
      <c r="AN999" s="282" t="n"/>
    </row>
    <row customHeight="1" ht="15.75" r="1000" s="452" spans="1:41">
      <c r="A1000" s="44" t="n"/>
      <c r="G1000" s="282" t="n"/>
      <c r="J1000" s="282" t="n"/>
      <c r="M1000" s="282" t="n"/>
      <c r="P1000" s="282" t="n"/>
      <c r="S1000" s="282" t="n"/>
      <c r="V1000" s="282" t="n"/>
      <c r="Y1000" s="282" t="n"/>
      <c r="AB1000" s="282" t="n"/>
      <c r="AC1000" s="537" t="n"/>
      <c r="AD1000" s="537" t="n"/>
      <c r="AE1000" s="282" t="n"/>
      <c r="AF1000" s="537" t="n"/>
      <c r="AG1000" s="537" t="n"/>
      <c r="AI1000" s="537" t="n"/>
      <c r="AJ1000" s="537" t="n"/>
      <c r="AK1000" s="282" t="n"/>
      <c r="AL1000" s="286" t="n"/>
      <c r="AM1000" s="286" t="n"/>
      <c r="AN1000" s="282" t="n"/>
    </row>
    <row customHeight="1" ht="15.75" r="1001" s="452" spans="1:41">
      <c r="A1001" s="44" t="n"/>
      <c r="G1001" s="282" t="n"/>
      <c r="J1001" s="282" t="n"/>
      <c r="M1001" s="282" t="n"/>
      <c r="P1001" s="282" t="n"/>
      <c r="S1001" s="282" t="n"/>
      <c r="V1001" s="282" t="n"/>
      <c r="Y1001" s="282" t="n"/>
      <c r="AB1001" s="282" t="n"/>
      <c r="AC1001" s="537" t="n"/>
      <c r="AD1001" s="537" t="n"/>
      <c r="AE1001" s="282" t="n"/>
      <c r="AF1001" s="537" t="n"/>
      <c r="AG1001" s="537" t="n"/>
      <c r="AI1001" s="537" t="n"/>
      <c r="AJ1001" s="537" t="n"/>
      <c r="AK1001" s="282" t="n"/>
      <c r="AL1001" s="286" t="n"/>
      <c r="AM1001" s="286" t="n"/>
      <c r="AN1001" s="282" t="n"/>
    </row>
    <row customHeight="1" ht="15.75" r="1002" s="452" spans="1:41">
      <c r="A1002" s="44" t="n"/>
      <c r="G1002" s="282" t="n"/>
      <c r="J1002" s="282" t="n"/>
      <c r="M1002" s="282" t="n"/>
      <c r="P1002" s="282" t="n"/>
      <c r="S1002" s="282" t="n"/>
      <c r="V1002" s="282" t="n"/>
      <c r="Y1002" s="282" t="n"/>
      <c r="AB1002" s="282" t="n"/>
      <c r="AC1002" s="537" t="n"/>
      <c r="AD1002" s="537" t="n"/>
      <c r="AE1002" s="282" t="n"/>
      <c r="AF1002" s="537" t="n"/>
      <c r="AG1002" s="537" t="n"/>
      <c r="AI1002" s="537" t="n"/>
      <c r="AJ1002" s="537" t="n"/>
      <c r="AK1002" s="282" t="n"/>
      <c r="AL1002" s="286" t="n"/>
      <c r="AM1002" s="286" t="n"/>
      <c r="AN1002" s="282" t="n"/>
    </row>
    <row customHeight="1" ht="15.75" r="1003" s="452" spans="1:41">
      <c r="A1003" s="44" t="n"/>
      <c r="G1003" s="282" t="n"/>
      <c r="J1003" s="282" t="n"/>
      <c r="M1003" s="282" t="n"/>
      <c r="P1003" s="282" t="n"/>
      <c r="S1003" s="282" t="n"/>
      <c r="V1003" s="282" t="n"/>
      <c r="Y1003" s="282" t="n"/>
      <c r="AB1003" s="282" t="n"/>
      <c r="AC1003" s="537" t="n"/>
      <c r="AD1003" s="537" t="n"/>
      <c r="AE1003" s="282" t="n"/>
      <c r="AF1003" s="537" t="n"/>
      <c r="AG1003" s="537" t="n"/>
      <c r="AI1003" s="537" t="n"/>
      <c r="AJ1003" s="537" t="n"/>
      <c r="AK1003" s="282" t="n"/>
      <c r="AL1003" s="286" t="n"/>
      <c r="AM1003" s="286" t="n"/>
      <c r="AN1003" s="282" t="n"/>
    </row>
    <row customHeight="1" ht="15.75" r="1004" s="452" spans="1:41">
      <c r="A1004" s="44" t="n"/>
      <c r="G1004" s="282" t="n"/>
      <c r="J1004" s="282" t="n"/>
      <c r="M1004" s="282" t="n"/>
      <c r="P1004" s="282" t="n"/>
      <c r="S1004" s="282" t="n"/>
      <c r="V1004" s="282" t="n"/>
      <c r="Y1004" s="282" t="n"/>
      <c r="AB1004" s="282" t="n"/>
      <c r="AC1004" s="537" t="n"/>
      <c r="AD1004" s="537" t="n"/>
      <c r="AE1004" s="282" t="n"/>
      <c r="AF1004" s="537" t="n"/>
      <c r="AG1004" s="537" t="n"/>
      <c r="AI1004" s="537" t="n"/>
      <c r="AJ1004" s="537" t="n"/>
      <c r="AK1004" s="282" t="n"/>
      <c r="AL1004" s="286" t="n"/>
      <c r="AM1004" s="286" t="n"/>
      <c r="AN1004" s="282" t="n"/>
    </row>
    <row customHeight="1" ht="15.75" r="1005" s="452" spans="1:41">
      <c r="A1005" s="44" t="n"/>
      <c r="G1005" s="282" t="n"/>
      <c r="J1005" s="282" t="n"/>
      <c r="M1005" s="282" t="n"/>
      <c r="P1005" s="282" t="n"/>
      <c r="S1005" s="282" t="n"/>
      <c r="V1005" s="282" t="n"/>
      <c r="Y1005" s="282" t="n"/>
      <c r="AB1005" s="282" t="n"/>
      <c r="AC1005" s="537" t="n"/>
      <c r="AD1005" s="537" t="n"/>
      <c r="AE1005" s="282" t="n"/>
      <c r="AF1005" s="537" t="n"/>
      <c r="AG1005" s="537" t="n"/>
      <c r="AI1005" s="537" t="n"/>
      <c r="AJ1005" s="537" t="n"/>
      <c r="AK1005" s="282" t="n"/>
      <c r="AL1005" s="286" t="n"/>
      <c r="AM1005" s="286" t="n"/>
      <c r="AN1005" s="282" t="n"/>
    </row>
    <row customHeight="1" ht="15.75" r="1006" s="452" spans="1:41">
      <c r="A1006" s="44" t="n"/>
      <c r="G1006" s="282" t="n"/>
      <c r="J1006" s="282" t="n"/>
      <c r="M1006" s="282" t="n"/>
      <c r="P1006" s="282" t="n"/>
      <c r="S1006" s="282" t="n"/>
      <c r="V1006" s="282" t="n"/>
      <c r="Y1006" s="282" t="n"/>
      <c r="AB1006" s="282" t="n"/>
      <c r="AC1006" s="537" t="n"/>
      <c r="AD1006" s="537" t="n"/>
      <c r="AE1006" s="282" t="n"/>
      <c r="AF1006" s="537" t="n"/>
      <c r="AG1006" s="537" t="n"/>
      <c r="AI1006" s="537" t="n"/>
      <c r="AJ1006" s="537" t="n"/>
      <c r="AK1006" s="282" t="n"/>
      <c r="AL1006" s="286" t="n"/>
      <c r="AM1006" s="286" t="n"/>
      <c r="AN1006" s="282" t="n"/>
    </row>
    <row customHeight="1" ht="15.75" r="1007" s="452" spans="1:41">
      <c r="A1007" s="44" t="n"/>
      <c r="G1007" s="282" t="n"/>
      <c r="J1007" s="282" t="n"/>
      <c r="M1007" s="282" t="n"/>
      <c r="P1007" s="282" t="n"/>
      <c r="S1007" s="282" t="n"/>
      <c r="V1007" s="282" t="n"/>
      <c r="Y1007" s="282" t="n"/>
      <c r="AB1007" s="282" t="n"/>
      <c r="AC1007" s="537" t="n"/>
      <c r="AD1007" s="537" t="n"/>
      <c r="AE1007" s="282" t="n"/>
      <c r="AF1007" s="537" t="n"/>
      <c r="AG1007" s="537" t="n"/>
      <c r="AI1007" s="537" t="n"/>
      <c r="AJ1007" s="537" t="n"/>
      <c r="AK1007" s="282" t="n"/>
      <c r="AL1007" s="286" t="n"/>
      <c r="AM1007" s="286" t="n"/>
      <c r="AN1007" s="282" t="n"/>
    </row>
    <row customHeight="1" ht="15.75" r="1008" s="452" spans="1:41">
      <c r="A1008" s="44" t="n"/>
      <c r="G1008" s="282" t="n"/>
      <c r="J1008" s="282" t="n"/>
      <c r="M1008" s="282" t="n"/>
      <c r="P1008" s="282" t="n"/>
      <c r="S1008" s="282" t="n"/>
      <c r="V1008" s="282" t="n"/>
      <c r="Y1008" s="282" t="n"/>
      <c r="AB1008" s="282" t="n"/>
      <c r="AC1008" s="537" t="n"/>
      <c r="AD1008" s="537" t="n"/>
      <c r="AE1008" s="282" t="n"/>
      <c r="AF1008" s="537" t="n"/>
      <c r="AG1008" s="537" t="n"/>
      <c r="AI1008" s="537" t="n"/>
      <c r="AJ1008" s="537" t="n"/>
      <c r="AK1008" s="282" t="n"/>
      <c r="AL1008" s="286" t="n"/>
      <c r="AM1008" s="286" t="n"/>
      <c r="AN1008" s="282" t="n"/>
    </row>
    <row customHeight="1" ht="15.75" r="1009" s="452" spans="1:41">
      <c r="A1009" s="44" t="n"/>
      <c r="G1009" s="282" t="n"/>
      <c r="J1009" s="282" t="n"/>
      <c r="M1009" s="282" t="n"/>
      <c r="P1009" s="282" t="n"/>
      <c r="S1009" s="282" t="n"/>
      <c r="V1009" s="282" t="n"/>
      <c r="Y1009" s="282" t="n"/>
      <c r="AB1009" s="282" t="n"/>
      <c r="AC1009" s="537" t="n"/>
      <c r="AD1009" s="537" t="n"/>
      <c r="AE1009" s="282" t="n"/>
      <c r="AF1009" s="537" t="n"/>
      <c r="AG1009" s="537" t="n"/>
      <c r="AI1009" s="537" t="n"/>
      <c r="AJ1009" s="537" t="n"/>
      <c r="AK1009" s="282" t="n"/>
      <c r="AL1009" s="286" t="n"/>
      <c r="AM1009" s="286" t="n"/>
      <c r="AN1009" s="282" t="n"/>
    </row>
    <row customHeight="1" ht="15.75" r="1010" s="452" spans="1:41">
      <c r="A1010" s="44" t="n"/>
      <c r="G1010" s="282" t="n"/>
      <c r="J1010" s="282" t="n"/>
      <c r="M1010" s="282" t="n"/>
      <c r="P1010" s="282" t="n"/>
      <c r="S1010" s="282" t="n"/>
      <c r="V1010" s="282" t="n"/>
      <c r="Y1010" s="282" t="n"/>
      <c r="AB1010" s="282" t="n"/>
      <c r="AC1010" s="537" t="n"/>
      <c r="AD1010" s="537" t="n"/>
      <c r="AE1010" s="282" t="n"/>
      <c r="AF1010" s="537" t="n"/>
      <c r="AG1010" s="537" t="n"/>
      <c r="AI1010" s="537" t="n"/>
      <c r="AJ1010" s="537" t="n"/>
      <c r="AK1010" s="282" t="n"/>
      <c r="AL1010" s="286" t="n"/>
      <c r="AM1010" s="286" t="n"/>
      <c r="AN1010" s="282" t="n"/>
    </row>
    <row customHeight="1" ht="15.75" r="1011" s="452" spans="1:41">
      <c r="A1011" s="44" t="n"/>
      <c r="G1011" s="282" t="n"/>
      <c r="J1011" s="282" t="n"/>
      <c r="M1011" s="282" t="n"/>
      <c r="P1011" s="282" t="n"/>
      <c r="S1011" s="282" t="n"/>
      <c r="V1011" s="282" t="n"/>
      <c r="Y1011" s="282" t="n"/>
      <c r="AB1011" s="282" t="n"/>
      <c r="AC1011" s="537" t="n"/>
      <c r="AD1011" s="537" t="n"/>
      <c r="AE1011" s="282" t="n"/>
      <c r="AF1011" s="537" t="n"/>
      <c r="AG1011" s="537" t="n"/>
      <c r="AI1011" s="537" t="n"/>
      <c r="AJ1011" s="537" t="n"/>
      <c r="AK1011" s="282" t="n"/>
      <c r="AL1011" s="286" t="n"/>
      <c r="AM1011" s="286" t="n"/>
      <c r="AN1011" s="282" t="n"/>
    </row>
    <row customHeight="1" ht="15.75" r="1012" s="452" spans="1:41">
      <c r="A1012" s="44" t="n"/>
      <c r="G1012" s="282" t="n"/>
      <c r="J1012" s="282" t="n"/>
      <c r="M1012" s="282" t="n"/>
      <c r="P1012" s="282" t="n"/>
      <c r="S1012" s="282" t="n"/>
      <c r="V1012" s="282" t="n"/>
      <c r="Y1012" s="282" t="n"/>
      <c r="AB1012" s="282" t="n"/>
      <c r="AC1012" s="537" t="n"/>
      <c r="AD1012" s="537" t="n"/>
      <c r="AE1012" s="282" t="n"/>
      <c r="AF1012" s="537" t="n"/>
      <c r="AG1012" s="537" t="n"/>
      <c r="AI1012" s="537" t="n"/>
      <c r="AJ1012" s="537" t="n"/>
      <c r="AK1012" s="282" t="n"/>
      <c r="AL1012" s="286" t="n"/>
      <c r="AM1012" s="286" t="n"/>
      <c r="AN1012" s="282" t="n"/>
    </row>
    <row customHeight="1" ht="15.75" r="1013" s="452" spans="1:41">
      <c r="A1013" s="44" t="n"/>
      <c r="G1013" s="282" t="n"/>
      <c r="J1013" s="282" t="n"/>
      <c r="M1013" s="282" t="n"/>
      <c r="P1013" s="282" t="n"/>
      <c r="S1013" s="282" t="n"/>
      <c r="V1013" s="282" t="n"/>
      <c r="Y1013" s="282" t="n"/>
      <c r="AB1013" s="282" t="n"/>
      <c r="AC1013" s="537" t="n"/>
      <c r="AD1013" s="537" t="n"/>
      <c r="AE1013" s="282" t="n"/>
      <c r="AF1013" s="537" t="n"/>
      <c r="AG1013" s="537" t="n"/>
      <c r="AI1013" s="537" t="n"/>
      <c r="AJ1013" s="537" t="n"/>
      <c r="AK1013" s="282" t="n"/>
      <c r="AL1013" s="286" t="n"/>
      <c r="AM1013" s="286" t="n"/>
      <c r="AN1013" s="282" t="n"/>
    </row>
    <row customHeight="1" ht="15.75" r="1014" s="452" spans="1:41">
      <c r="A1014" s="44" t="n"/>
      <c r="G1014" s="282" t="n"/>
      <c r="J1014" s="282" t="n"/>
      <c r="M1014" s="282" t="n"/>
      <c r="P1014" s="282" t="n"/>
      <c r="S1014" s="282" t="n"/>
      <c r="V1014" s="282" t="n"/>
      <c r="Y1014" s="282" t="n"/>
      <c r="AB1014" s="282" t="n"/>
      <c r="AC1014" s="537" t="n"/>
      <c r="AD1014" s="537" t="n"/>
      <c r="AE1014" s="282" t="n"/>
      <c r="AF1014" s="537" t="n"/>
      <c r="AG1014" s="537" t="n"/>
      <c r="AI1014" s="537" t="n"/>
      <c r="AJ1014" s="537" t="n"/>
      <c r="AK1014" s="282" t="n"/>
      <c r="AL1014" s="286" t="n"/>
      <c r="AM1014" s="286" t="n"/>
      <c r="AN1014" s="282" t="n"/>
    </row>
    <row customHeight="1" ht="15.75" r="1015" s="452" spans="1:41">
      <c r="A1015" s="44" t="n"/>
      <c r="G1015" s="282" t="n"/>
      <c r="J1015" s="282" t="n"/>
      <c r="M1015" s="282" t="n"/>
      <c r="P1015" s="282" t="n"/>
      <c r="S1015" s="282" t="n"/>
      <c r="V1015" s="282" t="n"/>
      <c r="Y1015" s="282" t="n"/>
      <c r="AB1015" s="282" t="n"/>
      <c r="AC1015" s="537" t="n"/>
      <c r="AD1015" s="537" t="n"/>
      <c r="AE1015" s="282" t="n"/>
      <c r="AF1015" s="537" t="n"/>
      <c r="AG1015" s="537" t="n"/>
      <c r="AI1015" s="537" t="n"/>
      <c r="AJ1015" s="537" t="n"/>
      <c r="AK1015" s="282" t="n"/>
      <c r="AL1015" s="286" t="n"/>
      <c r="AM1015" s="286" t="n"/>
      <c r="AN1015" s="282" t="n"/>
    </row>
    <row customHeight="1" ht="15.75" r="1016" s="452" spans="1:41">
      <c r="A1016" s="44" t="n"/>
      <c r="G1016" s="282" t="n"/>
      <c r="J1016" s="282" t="n"/>
      <c r="M1016" s="282" t="n"/>
      <c r="P1016" s="282" t="n"/>
      <c r="S1016" s="282" t="n"/>
      <c r="V1016" s="282" t="n"/>
      <c r="Y1016" s="282" t="n"/>
      <c r="AB1016" s="282" t="n"/>
      <c r="AC1016" s="537" t="n"/>
      <c r="AD1016" s="537" t="n"/>
      <c r="AE1016" s="282" t="n"/>
      <c r="AF1016" s="537" t="n"/>
      <c r="AG1016" s="537" t="n"/>
      <c r="AI1016" s="537" t="n"/>
      <c r="AJ1016" s="537" t="n"/>
      <c r="AK1016" s="282" t="n"/>
      <c r="AL1016" s="286" t="n"/>
      <c r="AM1016" s="286" t="n"/>
      <c r="AN1016" s="282" t="n"/>
    </row>
    <row customHeight="1" ht="15.75" r="1017" s="452" spans="1:41">
      <c r="A1017" s="44" t="n"/>
      <c r="G1017" s="282" t="n"/>
      <c r="J1017" s="282" t="n"/>
      <c r="M1017" s="282" t="n"/>
      <c r="P1017" s="282" t="n"/>
      <c r="S1017" s="282" t="n"/>
      <c r="V1017" s="282" t="n"/>
      <c r="Y1017" s="282" t="n"/>
      <c r="AB1017" s="282" t="n"/>
      <c r="AC1017" s="537" t="n"/>
      <c r="AD1017" s="537" t="n"/>
      <c r="AE1017" s="282" t="n"/>
      <c r="AF1017" s="537" t="n"/>
      <c r="AG1017" s="537" t="n"/>
      <c r="AI1017" s="537" t="n"/>
      <c r="AJ1017" s="537" t="n"/>
      <c r="AK1017" s="282" t="n"/>
      <c r="AL1017" s="286" t="n"/>
      <c r="AM1017" s="286" t="n"/>
      <c r="AN1017" s="282" t="n"/>
    </row>
    <row customHeight="1" ht="15.75" r="1018" s="452" spans="1:41">
      <c r="A1018" s="44" t="n"/>
      <c r="G1018" s="282" t="n"/>
      <c r="J1018" s="282" t="n"/>
      <c r="M1018" s="282" t="n"/>
      <c r="P1018" s="282" t="n"/>
      <c r="S1018" s="282" t="n"/>
      <c r="V1018" s="282" t="n"/>
      <c r="Y1018" s="282" t="n"/>
      <c r="AB1018" s="282" t="n"/>
      <c r="AC1018" s="537" t="n"/>
      <c r="AD1018" s="537" t="n"/>
      <c r="AE1018" s="282" t="n"/>
      <c r="AF1018" s="537" t="n"/>
      <c r="AG1018" s="537" t="n"/>
      <c r="AI1018" s="537" t="n"/>
      <c r="AJ1018" s="537" t="n"/>
      <c r="AK1018" s="282" t="n"/>
      <c r="AL1018" s="286" t="n"/>
      <c r="AM1018" s="286" t="n"/>
      <c r="AN1018" s="282" t="n"/>
    </row>
    <row customHeight="1" ht="15.75" r="1019" s="452" spans="1:41">
      <c r="A1019" s="44" t="n"/>
      <c r="G1019" s="282" t="n"/>
      <c r="J1019" s="282" t="n"/>
      <c r="M1019" s="282" t="n"/>
      <c r="P1019" s="282" t="n"/>
      <c r="S1019" s="282" t="n"/>
      <c r="V1019" s="282" t="n"/>
      <c r="Y1019" s="282" t="n"/>
      <c r="AB1019" s="282" t="n"/>
      <c r="AC1019" s="537" t="n"/>
      <c r="AD1019" s="537" t="n"/>
      <c r="AE1019" s="282" t="n"/>
      <c r="AF1019" s="537" t="n"/>
      <c r="AG1019" s="537" t="n"/>
      <c r="AI1019" s="537" t="n"/>
      <c r="AJ1019" s="537" t="n"/>
      <c r="AK1019" s="282" t="n"/>
      <c r="AL1019" s="286" t="n"/>
      <c r="AM1019" s="286" t="n"/>
      <c r="AN1019" s="282" t="n"/>
    </row>
    <row customHeight="1" ht="15.75" r="1020" s="452" spans="1:41">
      <c r="A1020" s="44" t="n"/>
      <c r="G1020" s="282" t="n"/>
      <c r="J1020" s="282" t="n"/>
      <c r="M1020" s="282" t="n"/>
      <c r="P1020" s="282" t="n"/>
      <c r="S1020" s="282" t="n"/>
      <c r="V1020" s="282" t="n"/>
      <c r="Y1020" s="282" t="n"/>
      <c r="AB1020" s="282" t="n"/>
      <c r="AC1020" s="537" t="n"/>
      <c r="AD1020" s="537" t="n"/>
      <c r="AE1020" s="282" t="n"/>
      <c r="AF1020" s="537" t="n"/>
      <c r="AG1020" s="537" t="n"/>
      <c r="AI1020" s="537" t="n"/>
      <c r="AJ1020" s="537" t="n"/>
      <c r="AK1020" s="282" t="n"/>
      <c r="AL1020" s="286" t="n"/>
      <c r="AM1020" s="286" t="n"/>
      <c r="AN1020" s="282" t="n"/>
    </row>
    <row customHeight="1" ht="15.75" r="1021" s="452" spans="1:41">
      <c r="A1021" s="44" t="n"/>
      <c r="G1021" s="282" t="n"/>
      <c r="J1021" s="282" t="n"/>
      <c r="M1021" s="282" t="n"/>
      <c r="P1021" s="282" t="n"/>
      <c r="S1021" s="282" t="n"/>
      <c r="V1021" s="282" t="n"/>
      <c r="Y1021" s="282" t="n"/>
      <c r="AB1021" s="282" t="n"/>
      <c r="AC1021" s="537" t="n"/>
      <c r="AD1021" s="537" t="n"/>
      <c r="AE1021" s="282" t="n"/>
      <c r="AF1021" s="537" t="n"/>
      <c r="AG1021" s="537" t="n"/>
      <c r="AI1021" s="537" t="n"/>
      <c r="AJ1021" s="537" t="n"/>
      <c r="AK1021" s="282" t="n"/>
      <c r="AL1021" s="286" t="n"/>
      <c r="AM1021" s="286" t="n"/>
      <c r="AN1021" s="282" t="n"/>
    </row>
    <row customHeight="1" ht="15.75" r="1022" s="452" spans="1:41">
      <c r="A1022" s="44" t="n"/>
      <c r="G1022" s="282" t="n"/>
      <c r="J1022" s="282" t="n"/>
      <c r="M1022" s="282" t="n"/>
      <c r="P1022" s="282" t="n"/>
      <c r="S1022" s="282" t="n"/>
      <c r="V1022" s="282" t="n"/>
      <c r="Y1022" s="282" t="n"/>
      <c r="AB1022" s="282" t="n"/>
      <c r="AC1022" s="537" t="n"/>
      <c r="AD1022" s="537" t="n"/>
      <c r="AE1022" s="282" t="n"/>
      <c r="AF1022" s="537" t="n"/>
      <c r="AG1022" s="537" t="n"/>
      <c r="AI1022" s="537" t="n"/>
      <c r="AJ1022" s="537" t="n"/>
      <c r="AK1022" s="282" t="n"/>
      <c r="AL1022" s="286" t="n"/>
      <c r="AM1022" s="286" t="n"/>
      <c r="AN1022" s="282" t="n"/>
    </row>
    <row customHeight="1" ht="15.75" r="1023" s="452" spans="1:41">
      <c r="A1023" s="44" t="n"/>
      <c r="G1023" s="282" t="n"/>
      <c r="J1023" s="282" t="n"/>
      <c r="M1023" s="282" t="n"/>
      <c r="P1023" s="282" t="n"/>
      <c r="S1023" s="282" t="n"/>
      <c r="V1023" s="282" t="n"/>
      <c r="Y1023" s="282" t="n"/>
      <c r="AB1023" s="282" t="n"/>
      <c r="AC1023" s="537" t="n"/>
      <c r="AD1023" s="537" t="n"/>
      <c r="AE1023" s="282" t="n"/>
      <c r="AF1023" s="537" t="n"/>
      <c r="AG1023" s="537" t="n"/>
      <c r="AI1023" s="537" t="n"/>
      <c r="AJ1023" s="537" t="n"/>
      <c r="AK1023" s="282" t="n"/>
      <c r="AL1023" s="286" t="n"/>
      <c r="AM1023" s="286" t="n"/>
      <c r="AN1023" s="282" t="n"/>
    </row>
    <row customHeight="1" ht="15.75" r="1024" s="452" spans="1:41">
      <c r="A1024" s="44" t="n"/>
      <c r="G1024" s="282" t="n"/>
      <c r="J1024" s="282" t="n"/>
      <c r="M1024" s="282" t="n"/>
      <c r="P1024" s="282" t="n"/>
      <c r="S1024" s="282" t="n"/>
      <c r="V1024" s="282" t="n"/>
      <c r="Y1024" s="282" t="n"/>
      <c r="AB1024" s="282" t="n"/>
      <c r="AC1024" s="537" t="n"/>
      <c r="AD1024" s="537" t="n"/>
      <c r="AE1024" s="282" t="n"/>
      <c r="AF1024" s="537" t="n"/>
      <c r="AG1024" s="537" t="n"/>
      <c r="AI1024" s="537" t="n"/>
      <c r="AJ1024" s="537" t="n"/>
      <c r="AK1024" s="282" t="n"/>
      <c r="AL1024" s="286" t="n"/>
      <c r="AM1024" s="286" t="n"/>
      <c r="AN1024" s="282" t="n"/>
    </row>
    <row customHeight="1" ht="15.75" r="1025" s="452" spans="1:41">
      <c r="A1025" s="44" t="n"/>
      <c r="G1025" s="282" t="n"/>
      <c r="J1025" s="282" t="n"/>
      <c r="M1025" s="282" t="n"/>
      <c r="P1025" s="282" t="n"/>
      <c r="S1025" s="282" t="n"/>
      <c r="V1025" s="282" t="n"/>
      <c r="Y1025" s="282" t="n"/>
      <c r="AB1025" s="282" t="n"/>
      <c r="AC1025" s="537" t="n"/>
      <c r="AD1025" s="537" t="n"/>
      <c r="AE1025" s="282" t="n"/>
      <c r="AF1025" s="537" t="n"/>
      <c r="AG1025" s="537" t="n"/>
      <c r="AI1025" s="537" t="n"/>
      <c r="AJ1025" s="537" t="n"/>
      <c r="AK1025" s="282" t="n"/>
      <c r="AL1025" s="286" t="n"/>
      <c r="AM1025" s="286" t="n"/>
      <c r="AN1025" s="282" t="n"/>
    </row>
    <row customHeight="1" ht="15.75" r="1026" s="452" spans="1:41">
      <c r="A1026" s="44" t="n"/>
      <c r="G1026" s="282" t="n"/>
      <c r="J1026" s="282" t="n"/>
      <c r="M1026" s="282" t="n"/>
      <c r="P1026" s="282" t="n"/>
      <c r="S1026" s="282" t="n"/>
      <c r="V1026" s="282" t="n"/>
      <c r="Y1026" s="282" t="n"/>
      <c r="AB1026" s="282" t="n"/>
      <c r="AC1026" s="537" t="n"/>
      <c r="AD1026" s="537" t="n"/>
      <c r="AE1026" s="282" t="n"/>
      <c r="AF1026" s="537" t="n"/>
      <c r="AG1026" s="537" t="n"/>
      <c r="AI1026" s="537" t="n"/>
      <c r="AJ1026" s="537" t="n"/>
      <c r="AK1026" s="282" t="n"/>
      <c r="AL1026" s="286" t="n"/>
      <c r="AM1026" s="286" t="n"/>
      <c r="AN1026" s="282" t="n"/>
    </row>
    <row customHeight="1" ht="15.75" r="1027" s="452" spans="1:41">
      <c r="A1027" s="44" t="n"/>
      <c r="G1027" s="282" t="n"/>
      <c r="J1027" s="282" t="n"/>
      <c r="M1027" s="282" t="n"/>
      <c r="P1027" s="282" t="n"/>
      <c r="S1027" s="282" t="n"/>
      <c r="V1027" s="282" t="n"/>
      <c r="Y1027" s="282" t="n"/>
      <c r="AB1027" s="282" t="n"/>
      <c r="AC1027" s="537" t="n"/>
      <c r="AD1027" s="537" t="n"/>
      <c r="AE1027" s="282" t="n"/>
      <c r="AF1027" s="537" t="n"/>
      <c r="AG1027" s="537" t="n"/>
      <c r="AI1027" s="537" t="n"/>
      <c r="AJ1027" s="537" t="n"/>
      <c r="AK1027" s="282" t="n"/>
      <c r="AL1027" s="286" t="n"/>
      <c r="AM1027" s="286" t="n"/>
      <c r="AN1027" s="282" t="n"/>
    </row>
    <row customHeight="1" ht="15.75" r="1028" s="452" spans="1:41">
      <c r="A1028" s="44" t="n"/>
      <c r="G1028" s="282" t="n"/>
      <c r="J1028" s="282" t="n"/>
      <c r="M1028" s="282" t="n"/>
      <c r="P1028" s="282" t="n"/>
      <c r="S1028" s="282" t="n"/>
      <c r="V1028" s="282" t="n"/>
      <c r="Y1028" s="282" t="n"/>
      <c r="AB1028" s="282" t="n"/>
      <c r="AC1028" s="537" t="n"/>
      <c r="AD1028" s="537" t="n"/>
      <c r="AE1028" s="282" t="n"/>
      <c r="AF1028" s="537" t="n"/>
      <c r="AG1028" s="537" t="n"/>
      <c r="AI1028" s="537" t="n"/>
      <c r="AJ1028" s="537" t="n"/>
      <c r="AK1028" s="282" t="n"/>
      <c r="AL1028" s="286" t="n"/>
      <c r="AM1028" s="286" t="n"/>
      <c r="AN1028" s="282" t="n"/>
    </row>
    <row customHeight="1" ht="15.75" r="1029" s="452" spans="1:41">
      <c r="A1029" s="44" t="n"/>
      <c r="G1029" s="282" t="n"/>
      <c r="J1029" s="282" t="n"/>
      <c r="M1029" s="282" t="n"/>
      <c r="P1029" s="282" t="n"/>
      <c r="S1029" s="282" t="n"/>
      <c r="V1029" s="282" t="n"/>
      <c r="Y1029" s="282" t="n"/>
      <c r="AB1029" s="282" t="n"/>
      <c r="AC1029" s="537" t="n"/>
      <c r="AD1029" s="537" t="n"/>
      <c r="AE1029" s="282" t="n"/>
      <c r="AF1029" s="537" t="n"/>
      <c r="AG1029" s="537" t="n"/>
      <c r="AI1029" s="537" t="n"/>
      <c r="AJ1029" s="537" t="n"/>
      <c r="AK1029" s="282" t="n"/>
      <c r="AL1029" s="286" t="n"/>
      <c r="AM1029" s="286" t="n"/>
      <c r="AN1029" s="282" t="n"/>
    </row>
    <row customHeight="1" ht="15.75" r="1030" s="452" spans="1:41">
      <c r="A1030" s="44" t="n"/>
      <c r="G1030" s="282" t="n"/>
      <c r="J1030" s="282" t="n"/>
      <c r="M1030" s="282" t="n"/>
      <c r="P1030" s="282" t="n"/>
      <c r="S1030" s="282" t="n"/>
      <c r="V1030" s="282" t="n"/>
      <c r="Y1030" s="282" t="n"/>
      <c r="AB1030" s="282" t="n"/>
      <c r="AC1030" s="537" t="n"/>
      <c r="AD1030" s="537" t="n"/>
      <c r="AE1030" s="282" t="n"/>
      <c r="AF1030" s="537" t="n"/>
      <c r="AG1030" s="537" t="n"/>
      <c r="AI1030" s="537" t="n"/>
      <c r="AJ1030" s="537" t="n"/>
      <c r="AK1030" s="282" t="n"/>
      <c r="AL1030" s="286" t="n"/>
      <c r="AM1030" s="286" t="n"/>
      <c r="AN1030" s="282" t="n"/>
    </row>
    <row customHeight="1" ht="15.75" r="1031" s="452" spans="1:41">
      <c r="A1031" s="44" t="n"/>
      <c r="G1031" s="282" t="n"/>
      <c r="J1031" s="282" t="n"/>
      <c r="M1031" s="282" t="n"/>
      <c r="P1031" s="282" t="n"/>
      <c r="S1031" s="282" t="n"/>
      <c r="V1031" s="282" t="n"/>
      <c r="Y1031" s="282" t="n"/>
      <c r="AB1031" s="282" t="n"/>
      <c r="AC1031" s="537" t="n"/>
      <c r="AD1031" s="537" t="n"/>
      <c r="AE1031" s="282" t="n"/>
      <c r="AF1031" s="537" t="n"/>
      <c r="AG1031" s="537" t="n"/>
      <c r="AI1031" s="537" t="n"/>
      <c r="AJ1031" s="537" t="n"/>
      <c r="AK1031" s="282" t="n"/>
      <c r="AL1031" s="286" t="n"/>
      <c r="AM1031" s="286" t="n"/>
      <c r="AN1031" s="282" t="n"/>
    </row>
    <row customHeight="1" ht="15.75" r="1032" s="452" spans="1:41">
      <c r="A1032" s="44" t="n"/>
      <c r="G1032" s="282" t="n"/>
      <c r="J1032" s="282" t="n"/>
      <c r="M1032" s="282" t="n"/>
      <c r="P1032" s="282" t="n"/>
      <c r="S1032" s="282" t="n"/>
      <c r="V1032" s="282" t="n"/>
      <c r="Y1032" s="282" t="n"/>
      <c r="AB1032" s="282" t="n"/>
      <c r="AC1032" s="537" t="n"/>
      <c r="AD1032" s="537" t="n"/>
      <c r="AE1032" s="282" t="n"/>
      <c r="AF1032" s="537" t="n"/>
      <c r="AG1032" s="537" t="n"/>
      <c r="AI1032" s="537" t="n"/>
      <c r="AJ1032" s="537" t="n"/>
      <c r="AK1032" s="282" t="n"/>
      <c r="AL1032" s="286" t="n"/>
      <c r="AM1032" s="286" t="n"/>
      <c r="AN1032" s="282" t="n"/>
    </row>
    <row customHeight="1" ht="15.75" r="1033" s="452" spans="1:41">
      <c r="A1033" s="44" t="n"/>
      <c r="G1033" s="282" t="n"/>
      <c r="J1033" s="282" t="n"/>
      <c r="M1033" s="282" t="n"/>
      <c r="P1033" s="282" t="n"/>
      <c r="S1033" s="282" t="n"/>
      <c r="V1033" s="282" t="n"/>
      <c r="Y1033" s="282" t="n"/>
      <c r="AB1033" s="282" t="n"/>
      <c r="AC1033" s="537" t="n"/>
      <c r="AD1033" s="537" t="n"/>
      <c r="AE1033" s="282" t="n"/>
      <c r="AF1033" s="537" t="n"/>
      <c r="AG1033" s="537" t="n"/>
      <c r="AI1033" s="537" t="n"/>
      <c r="AJ1033" s="537" t="n"/>
      <c r="AK1033" s="282" t="n"/>
      <c r="AL1033" s="286" t="n"/>
      <c r="AM1033" s="286" t="n"/>
      <c r="AN1033" s="282" t="n"/>
    </row>
    <row customHeight="1" ht="15.75" r="1034" s="452" spans="1:41">
      <c r="A1034" s="44" t="n"/>
      <c r="G1034" s="282" t="n"/>
      <c r="J1034" s="282" t="n"/>
      <c r="M1034" s="282" t="n"/>
      <c r="P1034" s="282" t="n"/>
      <c r="S1034" s="282" t="n"/>
      <c r="V1034" s="282" t="n"/>
      <c r="Y1034" s="282" t="n"/>
      <c r="AB1034" s="282" t="n"/>
      <c r="AC1034" s="537" t="n"/>
      <c r="AD1034" s="537" t="n"/>
      <c r="AE1034" s="282" t="n"/>
      <c r="AF1034" s="537" t="n"/>
      <c r="AG1034" s="537" t="n"/>
      <c r="AI1034" s="537" t="n"/>
      <c r="AJ1034" s="537" t="n"/>
      <c r="AK1034" s="282" t="n"/>
      <c r="AL1034" s="286" t="n"/>
      <c r="AM1034" s="286" t="n"/>
      <c r="AN1034" s="282" t="n"/>
    </row>
    <row customHeight="1" ht="15.75" r="1035" s="452" spans="1:41">
      <c r="A1035" s="44" t="n"/>
      <c r="G1035" s="282" t="n"/>
      <c r="J1035" s="282" t="n"/>
      <c r="M1035" s="282" t="n"/>
      <c r="P1035" s="282" t="n"/>
      <c r="S1035" s="282" t="n"/>
      <c r="V1035" s="282" t="n"/>
      <c r="Y1035" s="282" t="n"/>
      <c r="AB1035" s="282" t="n"/>
      <c r="AC1035" s="537" t="n"/>
      <c r="AD1035" s="537" t="n"/>
      <c r="AE1035" s="282" t="n"/>
      <c r="AF1035" s="537" t="n"/>
      <c r="AG1035" s="537" t="n"/>
      <c r="AI1035" s="537" t="n"/>
      <c r="AJ1035" s="537" t="n"/>
      <c r="AK1035" s="282" t="n"/>
      <c r="AL1035" s="286" t="n"/>
      <c r="AM1035" s="286" t="n"/>
      <c r="AN1035" s="282" t="n"/>
    </row>
    <row customHeight="1" ht="15.75" r="1036" s="452" spans="1:41">
      <c r="A1036" s="44" t="n"/>
      <c r="G1036" s="282" t="n"/>
      <c r="J1036" s="282" t="n"/>
      <c r="M1036" s="282" t="n"/>
      <c r="P1036" s="282" t="n"/>
      <c r="S1036" s="282" t="n"/>
      <c r="V1036" s="282" t="n"/>
      <c r="Y1036" s="282" t="n"/>
      <c r="AB1036" s="282" t="n"/>
      <c r="AC1036" s="537" t="n"/>
      <c r="AD1036" s="537" t="n"/>
      <c r="AE1036" s="282" t="n"/>
      <c r="AF1036" s="537" t="n"/>
      <c r="AG1036" s="537" t="n"/>
      <c r="AI1036" s="537" t="n"/>
      <c r="AJ1036" s="537" t="n"/>
      <c r="AK1036" s="282" t="n"/>
      <c r="AL1036" s="286" t="n"/>
      <c r="AM1036" s="286" t="n"/>
      <c r="AN1036" s="282" t="n"/>
    </row>
    <row customHeight="1" ht="15.75" r="1037" s="452" spans="1:41">
      <c r="A1037" s="44" t="n"/>
      <c r="G1037" s="282" t="n"/>
      <c r="J1037" s="282" t="n"/>
      <c r="M1037" s="282" t="n"/>
      <c r="P1037" s="282" t="n"/>
      <c r="S1037" s="282" t="n"/>
      <c r="V1037" s="282" t="n"/>
      <c r="Y1037" s="282" t="n"/>
      <c r="AB1037" s="282" t="n"/>
      <c r="AC1037" s="537" t="n"/>
      <c r="AD1037" s="537" t="n"/>
      <c r="AE1037" s="282" t="n"/>
      <c r="AF1037" s="537" t="n"/>
      <c r="AG1037" s="537" t="n"/>
      <c r="AI1037" s="537" t="n"/>
      <c r="AJ1037" s="537" t="n"/>
      <c r="AK1037" s="282" t="n"/>
      <c r="AL1037" s="286" t="n"/>
      <c r="AM1037" s="286" t="n"/>
      <c r="AN1037" s="282" t="n"/>
    </row>
    <row customHeight="1" ht="15.75" r="1038" s="452" spans="1:41">
      <c r="A1038" s="44" t="n"/>
      <c r="G1038" s="282" t="n"/>
      <c r="J1038" s="282" t="n"/>
      <c r="M1038" s="282" t="n"/>
      <c r="P1038" s="282" t="n"/>
      <c r="S1038" s="282" t="n"/>
      <c r="V1038" s="282" t="n"/>
      <c r="Y1038" s="282" t="n"/>
      <c r="AB1038" s="282" t="n"/>
      <c r="AC1038" s="537" t="n"/>
      <c r="AD1038" s="537" t="n"/>
      <c r="AE1038" s="282" t="n"/>
      <c r="AF1038" s="537" t="n"/>
      <c r="AG1038" s="537" t="n"/>
      <c r="AI1038" s="537" t="n"/>
      <c r="AJ1038" s="537" t="n"/>
      <c r="AK1038" s="282" t="n"/>
      <c r="AL1038" s="286" t="n"/>
      <c r="AM1038" s="286" t="n"/>
      <c r="AN1038" s="282" t="n"/>
    </row>
    <row customHeight="1" ht="15.75" r="1039" s="452" spans="1:41">
      <c r="A1039" s="44" t="n"/>
      <c r="G1039" s="282" t="n"/>
      <c r="J1039" s="282" t="n"/>
      <c r="M1039" s="282" t="n"/>
      <c r="P1039" s="282" t="n"/>
      <c r="S1039" s="282" t="n"/>
      <c r="V1039" s="282" t="n"/>
      <c r="Y1039" s="282" t="n"/>
      <c r="AB1039" s="282" t="n"/>
      <c r="AC1039" s="537" t="n"/>
      <c r="AD1039" s="537" t="n"/>
      <c r="AE1039" s="282" t="n"/>
      <c r="AF1039" s="537" t="n"/>
      <c r="AG1039" s="537" t="n"/>
      <c r="AI1039" s="537" t="n"/>
      <c r="AJ1039" s="537" t="n"/>
      <c r="AK1039" s="282" t="n"/>
      <c r="AL1039" s="286" t="n"/>
      <c r="AM1039" s="286" t="n"/>
      <c r="AN1039" s="282" t="n"/>
    </row>
    <row customHeight="1" ht="15.75" r="1040" s="452" spans="1:41">
      <c r="A1040" s="44" t="n"/>
      <c r="G1040" s="282" t="n"/>
      <c r="J1040" s="282" t="n"/>
      <c r="M1040" s="282" t="n"/>
      <c r="P1040" s="282" t="n"/>
      <c r="S1040" s="282" t="n"/>
      <c r="V1040" s="282" t="n"/>
      <c r="Y1040" s="282" t="n"/>
      <c r="AB1040" s="282" t="n"/>
      <c r="AC1040" s="537" t="n"/>
      <c r="AD1040" s="537" t="n"/>
      <c r="AE1040" s="282" t="n"/>
      <c r="AF1040" s="537" t="n"/>
      <c r="AG1040" s="537" t="n"/>
      <c r="AI1040" s="537" t="n"/>
      <c r="AJ1040" s="537" t="n"/>
      <c r="AK1040" s="282" t="n"/>
      <c r="AL1040" s="286" t="n"/>
      <c r="AM1040" s="286" t="n"/>
      <c r="AN1040" s="282" t="n"/>
    </row>
    <row customHeight="1" ht="15.75" r="1041" s="452" spans="1:41">
      <c r="A1041" s="44" t="n"/>
      <c r="G1041" s="282" t="n"/>
      <c r="J1041" s="282" t="n"/>
      <c r="M1041" s="282" t="n"/>
      <c r="P1041" s="282" t="n"/>
      <c r="S1041" s="282" t="n"/>
      <c r="V1041" s="282" t="n"/>
      <c r="Y1041" s="282" t="n"/>
      <c r="AB1041" s="282" t="n"/>
      <c r="AC1041" s="537" t="n"/>
      <c r="AD1041" s="537" t="n"/>
      <c r="AE1041" s="282" t="n"/>
      <c r="AF1041" s="537" t="n"/>
      <c r="AG1041" s="537" t="n"/>
      <c r="AI1041" s="537" t="n"/>
      <c r="AJ1041" s="537" t="n"/>
      <c r="AK1041" s="282" t="n"/>
      <c r="AL1041" s="286" t="n"/>
      <c r="AM1041" s="286" t="n"/>
      <c r="AN1041" s="282" t="n"/>
    </row>
    <row customHeight="1" ht="15.75" r="1042" s="452" spans="1:41">
      <c r="A1042" s="44" t="n"/>
      <c r="G1042" s="282" t="n"/>
      <c r="J1042" s="282" t="n"/>
      <c r="M1042" s="282" t="n"/>
      <c r="P1042" s="282" t="n"/>
      <c r="S1042" s="282" t="n"/>
      <c r="V1042" s="282" t="n"/>
      <c r="Y1042" s="282" t="n"/>
      <c r="AB1042" s="282" t="n"/>
      <c r="AC1042" s="537" t="n"/>
      <c r="AD1042" s="537" t="n"/>
      <c r="AE1042" s="282" t="n"/>
      <c r="AF1042" s="537" t="n"/>
      <c r="AG1042" s="537" t="n"/>
      <c r="AI1042" s="537" t="n"/>
      <c r="AJ1042" s="537" t="n"/>
      <c r="AK1042" s="282" t="n"/>
      <c r="AL1042" s="286" t="n"/>
      <c r="AM1042" s="286" t="n"/>
      <c r="AN1042" s="282" t="n"/>
    </row>
    <row customHeight="1" ht="15.75" r="1043" s="452" spans="1:41">
      <c r="A1043" s="44" t="n"/>
      <c r="G1043" s="282" t="n"/>
      <c r="J1043" s="282" t="n"/>
      <c r="M1043" s="282" t="n"/>
      <c r="P1043" s="282" t="n"/>
      <c r="S1043" s="282" t="n"/>
      <c r="V1043" s="282" t="n"/>
      <c r="Y1043" s="282" t="n"/>
      <c r="AB1043" s="282" t="n"/>
      <c r="AC1043" s="537" t="n"/>
      <c r="AD1043" s="537" t="n"/>
      <c r="AE1043" s="282" t="n"/>
      <c r="AF1043" s="537" t="n"/>
      <c r="AG1043" s="537" t="n"/>
      <c r="AI1043" s="537" t="n"/>
      <c r="AJ1043" s="537" t="n"/>
      <c r="AK1043" s="282" t="n"/>
      <c r="AL1043" s="286" t="n"/>
      <c r="AM1043" s="286" t="n"/>
      <c r="AN1043" s="282" t="n"/>
    </row>
    <row customHeight="1" ht="15.75" r="1044" s="452" spans="1:41">
      <c r="A1044" s="44" t="n"/>
      <c r="G1044" s="282" t="n"/>
      <c r="J1044" s="282" t="n"/>
      <c r="M1044" s="282" t="n"/>
      <c r="P1044" s="282" t="n"/>
      <c r="S1044" s="282" t="n"/>
      <c r="V1044" s="282" t="n"/>
      <c r="Y1044" s="282" t="n"/>
      <c r="AB1044" s="282" t="n"/>
      <c r="AC1044" s="537" t="n"/>
      <c r="AD1044" s="537" t="n"/>
      <c r="AE1044" s="282" t="n"/>
      <c r="AF1044" s="537" t="n"/>
      <c r="AG1044" s="537" t="n"/>
      <c r="AI1044" s="537" t="n"/>
      <c r="AJ1044" s="537" t="n"/>
      <c r="AK1044" s="282" t="n"/>
      <c r="AL1044" s="286" t="n"/>
      <c r="AM1044" s="286" t="n"/>
      <c r="AN1044" s="282" t="n"/>
    </row>
    <row customHeight="1" ht="15.75" r="1045" s="452" spans="1:41">
      <c r="A1045" s="44" t="n"/>
      <c r="G1045" s="282" t="n"/>
      <c r="J1045" s="282" t="n"/>
      <c r="M1045" s="282" t="n"/>
      <c r="P1045" s="282" t="n"/>
      <c r="S1045" s="282" t="n"/>
      <c r="V1045" s="282" t="n"/>
      <c r="Y1045" s="282" t="n"/>
      <c r="AB1045" s="282" t="n"/>
      <c r="AC1045" s="537" t="n"/>
      <c r="AD1045" s="537" t="n"/>
      <c r="AE1045" s="282" t="n"/>
      <c r="AF1045" s="537" t="n"/>
      <c r="AG1045" s="537" t="n"/>
      <c r="AI1045" s="537" t="n"/>
      <c r="AJ1045" s="537" t="n"/>
      <c r="AK1045" s="282" t="n"/>
      <c r="AL1045" s="286" t="n"/>
      <c r="AM1045" s="286" t="n"/>
      <c r="AN1045" s="282" t="n"/>
    </row>
    <row customHeight="1" ht="15.75" r="1046" s="452" spans="1:41">
      <c r="A1046" s="44" t="n"/>
      <c r="G1046" s="282" t="n"/>
      <c r="J1046" s="282" t="n"/>
      <c r="M1046" s="282" t="n"/>
      <c r="P1046" s="282" t="n"/>
      <c r="S1046" s="282" t="n"/>
      <c r="V1046" s="282" t="n"/>
      <c r="Y1046" s="282" t="n"/>
      <c r="AB1046" s="282" t="n"/>
      <c r="AC1046" s="537" t="n"/>
      <c r="AD1046" s="537" t="n"/>
      <c r="AE1046" s="282" t="n"/>
      <c r="AF1046" s="537" t="n"/>
      <c r="AG1046" s="537" t="n"/>
      <c r="AI1046" s="537" t="n"/>
      <c r="AJ1046" s="537" t="n"/>
      <c r="AK1046" s="282" t="n"/>
      <c r="AL1046" s="286" t="n"/>
      <c r="AM1046" s="286" t="n"/>
      <c r="AN1046" s="282" t="n"/>
    </row>
    <row customHeight="1" ht="15.75" r="1047" s="452" spans="1:41">
      <c r="A1047" s="44" t="n"/>
      <c r="G1047" s="282" t="n"/>
      <c r="J1047" s="282" t="n"/>
      <c r="M1047" s="282" t="n"/>
      <c r="P1047" s="282" t="n"/>
      <c r="S1047" s="282" t="n"/>
      <c r="V1047" s="282" t="n"/>
      <c r="Y1047" s="282" t="n"/>
      <c r="AB1047" s="282" t="n"/>
      <c r="AC1047" s="537" t="n"/>
      <c r="AD1047" s="537" t="n"/>
      <c r="AE1047" s="282" t="n"/>
      <c r="AF1047" s="537" t="n"/>
      <c r="AG1047" s="537" t="n"/>
      <c r="AI1047" s="537" t="n"/>
      <c r="AJ1047" s="537" t="n"/>
      <c r="AK1047" s="282" t="n"/>
      <c r="AL1047" s="286" t="n"/>
      <c r="AM1047" s="286" t="n"/>
      <c r="AN1047" s="282" t="n"/>
    </row>
    <row customHeight="1" ht="15.75" r="1048" s="452" spans="1:41">
      <c r="A1048" s="44" t="n"/>
      <c r="G1048" s="282" t="n"/>
      <c r="J1048" s="282" t="n"/>
      <c r="M1048" s="282" t="n"/>
      <c r="P1048" s="282" t="n"/>
      <c r="S1048" s="282" t="n"/>
      <c r="V1048" s="282" t="n"/>
      <c r="Y1048" s="282" t="n"/>
      <c r="AB1048" s="282" t="n"/>
      <c r="AC1048" s="537" t="n"/>
      <c r="AD1048" s="537" t="n"/>
      <c r="AE1048" s="282" t="n"/>
      <c r="AF1048" s="537" t="n"/>
      <c r="AG1048" s="537" t="n"/>
      <c r="AI1048" s="537" t="n"/>
      <c r="AJ1048" s="537" t="n"/>
      <c r="AK1048" s="282" t="n"/>
      <c r="AL1048" s="286" t="n"/>
      <c r="AM1048" s="286" t="n"/>
      <c r="AN1048" s="282" t="n"/>
    </row>
    <row customHeight="1" ht="15.75" r="1049" s="452" spans="1:41">
      <c r="A1049" s="44" t="n"/>
      <c r="G1049" s="282" t="n"/>
      <c r="J1049" s="282" t="n"/>
      <c r="M1049" s="282" t="n"/>
      <c r="P1049" s="282" t="n"/>
      <c r="S1049" s="282" t="n"/>
      <c r="V1049" s="282" t="n"/>
      <c r="Y1049" s="282" t="n"/>
      <c r="AB1049" s="282" t="n"/>
      <c r="AC1049" s="537" t="n"/>
      <c r="AD1049" s="537" t="n"/>
      <c r="AE1049" s="282" t="n"/>
      <c r="AF1049" s="537" t="n"/>
      <c r="AG1049" s="537" t="n"/>
      <c r="AI1049" s="537" t="n"/>
      <c r="AJ1049" s="537" t="n"/>
      <c r="AK1049" s="282" t="n"/>
      <c r="AL1049" s="286" t="n"/>
      <c r="AM1049" s="286" t="n"/>
      <c r="AN1049" s="282" t="n"/>
    </row>
    <row customHeight="1" ht="15.75" r="1050" s="452" spans="1:41">
      <c r="A1050" s="44" t="n"/>
      <c r="G1050" s="282" t="n"/>
      <c r="J1050" s="282" t="n"/>
      <c r="M1050" s="282" t="n"/>
      <c r="P1050" s="282" t="n"/>
      <c r="S1050" s="282" t="n"/>
      <c r="V1050" s="282" t="n"/>
      <c r="Y1050" s="282" t="n"/>
      <c r="AB1050" s="282" t="n"/>
      <c r="AC1050" s="537" t="n"/>
      <c r="AD1050" s="537" t="n"/>
      <c r="AE1050" s="282" t="n"/>
      <c r="AF1050" s="537" t="n"/>
      <c r="AG1050" s="537" t="n"/>
      <c r="AI1050" s="537" t="n"/>
      <c r="AJ1050" s="537" t="n"/>
      <c r="AK1050" s="282" t="n"/>
      <c r="AL1050" s="286" t="n"/>
      <c r="AM1050" s="286" t="n"/>
      <c r="AN1050" s="282" t="n"/>
    </row>
    <row customHeight="1" ht="15.75" r="1051" s="452" spans="1:41">
      <c r="A1051" s="44" t="n"/>
      <c r="G1051" s="282" t="n"/>
      <c r="J1051" s="282" t="n"/>
      <c r="M1051" s="282" t="n"/>
      <c r="P1051" s="282" t="n"/>
      <c r="S1051" s="282" t="n"/>
      <c r="V1051" s="282" t="n"/>
      <c r="Y1051" s="282" t="n"/>
      <c r="AB1051" s="282" t="n"/>
      <c r="AC1051" s="537" t="n"/>
      <c r="AD1051" s="537" t="n"/>
      <c r="AE1051" s="282" t="n"/>
      <c r="AF1051" s="537" t="n"/>
      <c r="AG1051" s="537" t="n"/>
      <c r="AI1051" s="537" t="n"/>
      <c r="AJ1051" s="537" t="n"/>
      <c r="AK1051" s="282" t="n"/>
      <c r="AL1051" s="286" t="n"/>
      <c r="AM1051" s="286" t="n"/>
      <c r="AN1051" s="282" t="n"/>
    </row>
    <row customHeight="1" ht="15.75" r="1052" s="452" spans="1:41">
      <c r="A1052" s="44" t="n"/>
      <c r="G1052" s="282" t="n"/>
      <c r="J1052" s="282" t="n"/>
      <c r="M1052" s="282" t="n"/>
      <c r="P1052" s="282" t="n"/>
      <c r="S1052" s="282" t="n"/>
      <c r="V1052" s="282" t="n"/>
      <c r="Y1052" s="282" t="n"/>
      <c r="AB1052" s="282" t="n"/>
      <c r="AC1052" s="537" t="n"/>
      <c r="AD1052" s="537" t="n"/>
      <c r="AE1052" s="282" t="n"/>
      <c r="AF1052" s="537" t="n"/>
      <c r="AG1052" s="537" t="n"/>
      <c r="AI1052" s="537" t="n"/>
      <c r="AJ1052" s="537" t="n"/>
      <c r="AK1052" s="282" t="n"/>
      <c r="AL1052" s="286" t="n"/>
      <c r="AM1052" s="286" t="n"/>
      <c r="AN1052" s="282" t="n"/>
    </row>
    <row customHeight="1" ht="15.75" r="1053" s="452" spans="1:41">
      <c r="A1053" s="44" t="n"/>
      <c r="G1053" s="282" t="n"/>
      <c r="J1053" s="282" t="n"/>
      <c r="M1053" s="282" t="n"/>
      <c r="P1053" s="282" t="n"/>
      <c r="S1053" s="282" t="n"/>
      <c r="V1053" s="282" t="n"/>
      <c r="Y1053" s="282" t="n"/>
      <c r="AB1053" s="282" t="n"/>
      <c r="AC1053" s="537" t="n"/>
      <c r="AD1053" s="537" t="n"/>
      <c r="AE1053" s="282" t="n"/>
      <c r="AF1053" s="537" t="n"/>
      <c r="AG1053" s="537" t="n"/>
      <c r="AI1053" s="537" t="n"/>
      <c r="AJ1053" s="537" t="n"/>
      <c r="AK1053" s="282" t="n"/>
      <c r="AL1053" s="286" t="n"/>
      <c r="AM1053" s="286" t="n"/>
      <c r="AN1053" s="282" t="n"/>
    </row>
    <row customHeight="1" ht="15.75" r="1054" s="452" spans="1:41">
      <c r="A1054" s="44" t="n"/>
      <c r="G1054" s="282" t="n"/>
      <c r="J1054" s="282" t="n"/>
      <c r="M1054" s="282" t="n"/>
      <c r="P1054" s="282" t="n"/>
      <c r="S1054" s="282" t="n"/>
      <c r="V1054" s="282" t="n"/>
      <c r="Y1054" s="282" t="n"/>
      <c r="AB1054" s="282" t="n"/>
      <c r="AC1054" s="537" t="n"/>
      <c r="AD1054" s="537" t="n"/>
      <c r="AE1054" s="282" t="n"/>
      <c r="AF1054" s="537" t="n"/>
      <c r="AG1054" s="537" t="n"/>
      <c r="AI1054" s="537" t="n"/>
      <c r="AJ1054" s="537" t="n"/>
      <c r="AK1054" s="282" t="n"/>
      <c r="AL1054" s="286" t="n"/>
      <c r="AM1054" s="286" t="n"/>
      <c r="AN1054" s="282" t="n"/>
    </row>
    <row customHeight="1" ht="15.75" r="1055" s="452" spans="1:41">
      <c r="A1055" s="44" t="n"/>
      <c r="G1055" s="282" t="n"/>
      <c r="J1055" s="282" t="n"/>
      <c r="M1055" s="282" t="n"/>
      <c r="P1055" s="282" t="n"/>
      <c r="S1055" s="282" t="n"/>
      <c r="V1055" s="282" t="n"/>
      <c r="Y1055" s="282" t="n"/>
      <c r="AB1055" s="282" t="n"/>
      <c r="AC1055" s="537" t="n"/>
      <c r="AD1055" s="537" t="n"/>
      <c r="AE1055" s="282" t="n"/>
      <c r="AF1055" s="537" t="n"/>
      <c r="AG1055" s="537" t="n"/>
      <c r="AI1055" s="537" t="n"/>
      <c r="AJ1055" s="537" t="n"/>
      <c r="AK1055" s="282" t="n"/>
      <c r="AL1055" s="286" t="n"/>
      <c r="AM1055" s="286" t="n"/>
      <c r="AN1055" s="282" t="n"/>
    </row>
    <row customHeight="1" ht="15.75" r="1056" s="452" spans="1:41">
      <c r="A1056" s="44" t="n"/>
      <c r="G1056" s="282" t="n"/>
      <c r="J1056" s="282" t="n"/>
      <c r="M1056" s="282" t="n"/>
      <c r="P1056" s="282" t="n"/>
      <c r="S1056" s="282" t="n"/>
      <c r="V1056" s="282" t="n"/>
      <c r="Y1056" s="282" t="n"/>
      <c r="AB1056" s="282" t="n"/>
      <c r="AC1056" s="537" t="n"/>
      <c r="AD1056" s="537" t="n"/>
      <c r="AE1056" s="282" t="n"/>
      <c r="AF1056" s="537" t="n"/>
      <c r="AG1056" s="537" t="n"/>
      <c r="AI1056" s="537" t="n"/>
      <c r="AJ1056" s="537" t="n"/>
      <c r="AK1056" s="282" t="n"/>
      <c r="AL1056" s="286" t="n"/>
      <c r="AM1056" s="286" t="n"/>
      <c r="AN1056" s="282" t="n"/>
    </row>
    <row customHeight="1" ht="15.75" r="1057" s="452" spans="1:41">
      <c r="A1057" s="44" t="n"/>
      <c r="G1057" s="282" t="n"/>
      <c r="J1057" s="282" t="n"/>
      <c r="M1057" s="282" t="n"/>
      <c r="P1057" s="282" t="n"/>
      <c r="S1057" s="282" t="n"/>
      <c r="V1057" s="282" t="n"/>
      <c r="Y1057" s="282" t="n"/>
      <c r="AB1057" s="282" t="n"/>
      <c r="AC1057" s="537" t="n"/>
      <c r="AD1057" s="537" t="n"/>
      <c r="AE1057" s="282" t="n"/>
      <c r="AF1057" s="537" t="n"/>
      <c r="AG1057" s="537" t="n"/>
      <c r="AI1057" s="537" t="n"/>
      <c r="AJ1057" s="537" t="n"/>
      <c r="AK1057" s="282" t="n"/>
      <c r="AL1057" s="286" t="n"/>
      <c r="AM1057" s="286" t="n"/>
      <c r="AN1057" s="282" t="n"/>
    </row>
    <row customHeight="1" ht="15.75" r="1058" s="452" spans="1:41">
      <c r="A1058" s="44" t="n"/>
      <c r="G1058" s="282" t="n"/>
      <c r="J1058" s="282" t="n"/>
      <c r="M1058" s="282" t="n"/>
      <c r="P1058" s="282" t="n"/>
      <c r="S1058" s="282" t="n"/>
      <c r="V1058" s="282" t="n"/>
      <c r="Y1058" s="282" t="n"/>
      <c r="AB1058" s="282" t="n"/>
      <c r="AC1058" s="537" t="n"/>
      <c r="AD1058" s="537" t="n"/>
      <c r="AE1058" s="282" t="n"/>
      <c r="AF1058" s="537" t="n"/>
      <c r="AG1058" s="537" t="n"/>
      <c r="AI1058" s="537" t="n"/>
      <c r="AJ1058" s="537" t="n"/>
      <c r="AK1058" s="282" t="n"/>
      <c r="AL1058" s="286" t="n"/>
      <c r="AM1058" s="286" t="n"/>
      <c r="AN1058" s="282" t="n"/>
    </row>
    <row customHeight="1" ht="15.75" r="1059" s="452" spans="1:41">
      <c r="A1059" s="44" t="n"/>
      <c r="G1059" s="282" t="n"/>
      <c r="J1059" s="282" t="n"/>
      <c r="M1059" s="282" t="n"/>
      <c r="P1059" s="282" t="n"/>
      <c r="S1059" s="282" t="n"/>
      <c r="V1059" s="282" t="n"/>
      <c r="Y1059" s="282" t="n"/>
      <c r="AB1059" s="282" t="n"/>
      <c r="AC1059" s="537" t="n"/>
      <c r="AD1059" s="537" t="n"/>
      <c r="AE1059" s="282" t="n"/>
      <c r="AF1059" s="537" t="n"/>
      <c r="AG1059" s="537" t="n"/>
      <c r="AI1059" s="537" t="n"/>
      <c r="AJ1059" s="537" t="n"/>
      <c r="AK1059" s="282" t="n"/>
      <c r="AL1059" s="286" t="n"/>
      <c r="AM1059" s="286" t="n"/>
      <c r="AN1059" s="282" t="n"/>
    </row>
    <row customHeight="1" ht="15.75" r="1060" s="452" spans="1:41">
      <c r="A1060" s="44" t="n"/>
      <c r="G1060" s="282" t="n"/>
      <c r="J1060" s="282" t="n"/>
      <c r="M1060" s="282" t="n"/>
      <c r="P1060" s="282" t="n"/>
      <c r="S1060" s="282" t="n"/>
      <c r="V1060" s="282" t="n"/>
      <c r="Y1060" s="282" t="n"/>
      <c r="AB1060" s="282" t="n"/>
      <c r="AC1060" s="537" t="n"/>
      <c r="AD1060" s="537" t="n"/>
      <c r="AE1060" s="282" t="n"/>
      <c r="AF1060" s="537" t="n"/>
      <c r="AG1060" s="537" t="n"/>
      <c r="AI1060" s="537" t="n"/>
      <c r="AJ1060" s="537" t="n"/>
      <c r="AK1060" s="282" t="n"/>
      <c r="AL1060" s="286" t="n"/>
      <c r="AM1060" s="286" t="n"/>
      <c r="AN1060" s="282" t="n"/>
    </row>
    <row customHeight="1" ht="15.75" r="1061" s="452" spans="1:41">
      <c r="A1061" s="44" t="n"/>
      <c r="G1061" s="282" t="n"/>
      <c r="J1061" s="282" t="n"/>
      <c r="M1061" s="282" t="n"/>
      <c r="P1061" s="282" t="n"/>
      <c r="S1061" s="282" t="n"/>
      <c r="V1061" s="282" t="n"/>
      <c r="Y1061" s="282" t="n"/>
      <c r="AB1061" s="282" t="n"/>
      <c r="AC1061" s="537" t="n"/>
      <c r="AD1061" s="537" t="n"/>
      <c r="AE1061" s="282" t="n"/>
      <c r="AF1061" s="537" t="n"/>
      <c r="AG1061" s="537" t="n"/>
      <c r="AI1061" s="537" t="n"/>
      <c r="AJ1061" s="537" t="n"/>
      <c r="AK1061" s="282" t="n"/>
      <c r="AL1061" s="286" t="n"/>
      <c r="AM1061" s="286" t="n"/>
      <c r="AN1061" s="282" t="n"/>
    </row>
    <row customHeight="1" ht="15.75" r="1062" s="452" spans="1:41">
      <c r="A1062" s="44" t="n"/>
      <c r="G1062" s="282" t="n"/>
      <c r="J1062" s="282" t="n"/>
      <c r="M1062" s="282" t="n"/>
      <c r="P1062" s="282" t="n"/>
      <c r="S1062" s="282" t="n"/>
      <c r="V1062" s="282" t="n"/>
      <c r="Y1062" s="282" t="n"/>
      <c r="AB1062" s="282" t="n"/>
      <c r="AC1062" s="537" t="n"/>
      <c r="AD1062" s="537" t="n"/>
      <c r="AE1062" s="282" t="n"/>
      <c r="AF1062" s="537" t="n"/>
      <c r="AG1062" s="537" t="n"/>
      <c r="AI1062" s="537" t="n"/>
      <c r="AJ1062" s="537" t="n"/>
      <c r="AK1062" s="282" t="n"/>
      <c r="AL1062" s="286" t="n"/>
      <c r="AM1062" s="286" t="n"/>
      <c r="AN1062" s="282" t="n"/>
    </row>
    <row customHeight="1" ht="15.75" r="1063" s="452" spans="1:41">
      <c r="A1063" s="44" t="n"/>
      <c r="G1063" s="282" t="n"/>
      <c r="J1063" s="282" t="n"/>
      <c r="M1063" s="282" t="n"/>
      <c r="P1063" s="282" t="n"/>
      <c r="S1063" s="282" t="n"/>
      <c r="V1063" s="282" t="n"/>
      <c r="Y1063" s="282" t="n"/>
      <c r="AB1063" s="282" t="n"/>
      <c r="AC1063" s="537" t="n"/>
      <c r="AD1063" s="537" t="n"/>
      <c r="AE1063" s="282" t="n"/>
      <c r="AF1063" s="537" t="n"/>
      <c r="AG1063" s="537" t="n"/>
      <c r="AI1063" s="537" t="n"/>
      <c r="AJ1063" s="537" t="n"/>
      <c r="AK1063" s="282" t="n"/>
      <c r="AL1063" s="286" t="n"/>
      <c r="AM1063" s="286" t="n"/>
      <c r="AN1063" s="282" t="n"/>
    </row>
    <row customHeight="1" ht="15.75" r="1064" s="452" spans="1:41">
      <c r="A1064" s="44" t="n"/>
      <c r="G1064" s="282" t="n"/>
      <c r="J1064" s="282" t="n"/>
      <c r="M1064" s="282" t="n"/>
      <c r="P1064" s="282" t="n"/>
      <c r="S1064" s="282" t="n"/>
      <c r="V1064" s="282" t="n"/>
      <c r="Y1064" s="282" t="n"/>
      <c r="AB1064" s="282" t="n"/>
      <c r="AC1064" s="537" t="n"/>
      <c r="AD1064" s="537" t="n"/>
      <c r="AE1064" s="282" t="n"/>
      <c r="AF1064" s="537" t="n"/>
      <c r="AG1064" s="537" t="n"/>
      <c r="AI1064" s="537" t="n"/>
      <c r="AJ1064" s="537" t="n"/>
      <c r="AK1064" s="282" t="n"/>
      <c r="AL1064" s="286" t="n"/>
      <c r="AM1064" s="286" t="n"/>
      <c r="AN1064" s="282" t="n"/>
    </row>
    <row customHeight="1" ht="15.75" r="1065" s="452" spans="1:41">
      <c r="A1065" s="44" t="n"/>
      <c r="G1065" s="282" t="n"/>
      <c r="J1065" s="282" t="n"/>
      <c r="M1065" s="282" t="n"/>
      <c r="P1065" s="282" t="n"/>
      <c r="S1065" s="282" t="n"/>
      <c r="V1065" s="282" t="n"/>
      <c r="Y1065" s="282" t="n"/>
      <c r="AB1065" s="282" t="n"/>
      <c r="AC1065" s="537" t="n"/>
      <c r="AD1065" s="537" t="n"/>
      <c r="AE1065" s="282" t="n"/>
      <c r="AF1065" s="537" t="n"/>
      <c r="AG1065" s="537" t="n"/>
      <c r="AI1065" s="537" t="n"/>
      <c r="AJ1065" s="537" t="n"/>
      <c r="AK1065" s="282" t="n"/>
      <c r="AL1065" s="286" t="n"/>
      <c r="AM1065" s="286" t="n"/>
      <c r="AN1065" s="282" t="n"/>
    </row>
    <row customHeight="1" ht="15.75" r="1066" s="452" spans="1:41">
      <c r="A1066" s="44" t="n"/>
      <c r="G1066" s="282" t="n"/>
      <c r="J1066" s="282" t="n"/>
      <c r="M1066" s="282" t="n"/>
      <c r="P1066" s="282" t="n"/>
      <c r="S1066" s="282" t="n"/>
      <c r="V1066" s="282" t="n"/>
      <c r="Y1066" s="282" t="n"/>
      <c r="AB1066" s="282" t="n"/>
      <c r="AC1066" s="537" t="n"/>
      <c r="AD1066" s="537" t="n"/>
      <c r="AE1066" s="282" t="n"/>
      <c r="AF1066" s="537" t="n"/>
      <c r="AG1066" s="537" t="n"/>
      <c r="AI1066" s="537" t="n"/>
      <c r="AJ1066" s="537" t="n"/>
      <c r="AK1066" s="282" t="n"/>
      <c r="AL1066" s="286" t="n"/>
      <c r="AM1066" s="286" t="n"/>
      <c r="AN1066" s="282" t="n"/>
    </row>
    <row customHeight="1" ht="15.75" r="1067" s="452" spans="1:41">
      <c r="A1067" s="44" t="n"/>
      <c r="G1067" s="282" t="n"/>
      <c r="J1067" s="282" t="n"/>
      <c r="M1067" s="282" t="n"/>
      <c r="P1067" s="282" t="n"/>
      <c r="S1067" s="282" t="n"/>
      <c r="V1067" s="282" t="n"/>
      <c r="Y1067" s="282" t="n"/>
      <c r="AB1067" s="282" t="n"/>
      <c r="AC1067" s="537" t="n"/>
      <c r="AD1067" s="537" t="n"/>
      <c r="AE1067" s="282" t="n"/>
      <c r="AF1067" s="537" t="n"/>
      <c r="AG1067" s="537" t="n"/>
      <c r="AI1067" s="537" t="n"/>
      <c r="AJ1067" s="537" t="n"/>
      <c r="AK1067" s="282" t="n"/>
      <c r="AL1067" s="286" t="n"/>
      <c r="AM1067" s="286" t="n"/>
      <c r="AN1067" s="282" t="n"/>
    </row>
    <row customHeight="1" ht="15.75" r="1068" s="452" spans="1:41">
      <c r="A1068" s="44" t="n"/>
      <c r="G1068" s="282" t="n"/>
      <c r="J1068" s="282" t="n"/>
      <c r="M1068" s="282" t="n"/>
      <c r="P1068" s="282" t="n"/>
      <c r="S1068" s="282" t="n"/>
      <c r="V1068" s="282" t="n"/>
      <c r="Y1068" s="282" t="n"/>
      <c r="AB1068" s="282" t="n"/>
      <c r="AC1068" s="537" t="n"/>
      <c r="AD1068" s="537" t="n"/>
      <c r="AE1068" s="282" t="n"/>
      <c r="AF1068" s="537" t="n"/>
      <c r="AG1068" s="537" t="n"/>
      <c r="AI1068" s="537" t="n"/>
      <c r="AJ1068" s="537" t="n"/>
      <c r="AK1068" s="282" t="n"/>
      <c r="AL1068" s="286" t="n"/>
      <c r="AM1068" s="286" t="n"/>
      <c r="AN1068" s="282" t="n"/>
    </row>
    <row customHeight="1" ht="15.75" r="1069" s="452" spans="1:41">
      <c r="A1069" s="44" t="n"/>
      <c r="G1069" s="282" t="n"/>
      <c r="J1069" s="282" t="n"/>
      <c r="M1069" s="282" t="n"/>
      <c r="P1069" s="282" t="n"/>
      <c r="S1069" s="282" t="n"/>
      <c r="V1069" s="282" t="n"/>
      <c r="Y1069" s="282" t="n"/>
      <c r="AB1069" s="282" t="n"/>
      <c r="AC1069" s="537" t="n"/>
      <c r="AD1069" s="537" t="n"/>
      <c r="AE1069" s="282" t="n"/>
      <c r="AF1069" s="537" t="n"/>
      <c r="AG1069" s="537" t="n"/>
      <c r="AI1069" s="537" t="n"/>
      <c r="AJ1069" s="537" t="n"/>
      <c r="AK1069" s="282" t="n"/>
      <c r="AL1069" s="286" t="n"/>
      <c r="AM1069" s="286" t="n"/>
      <c r="AN1069" s="282" t="n"/>
    </row>
    <row customHeight="1" ht="15.75" r="1070" s="452" spans="1:41">
      <c r="A1070" s="44" t="n"/>
      <c r="G1070" s="282" t="n"/>
      <c r="J1070" s="282" t="n"/>
      <c r="M1070" s="282" t="n"/>
      <c r="P1070" s="282" t="n"/>
      <c r="S1070" s="282" t="n"/>
      <c r="V1070" s="282" t="n"/>
      <c r="Y1070" s="282" t="n"/>
      <c r="AB1070" s="282" t="n"/>
      <c r="AC1070" s="537" t="n"/>
      <c r="AD1070" s="537" t="n"/>
      <c r="AE1070" s="282" t="n"/>
      <c r="AF1070" s="537" t="n"/>
      <c r="AG1070" s="537" t="n"/>
      <c r="AI1070" s="537" t="n"/>
      <c r="AJ1070" s="537" t="n"/>
      <c r="AK1070" s="282" t="n"/>
      <c r="AL1070" s="286" t="n"/>
      <c r="AM1070" s="286" t="n"/>
      <c r="AN1070" s="282" t="n"/>
    </row>
    <row customHeight="1" ht="15.75" r="1071" s="452" spans="1:41">
      <c r="A1071" s="44" t="n"/>
      <c r="G1071" s="282" t="n"/>
      <c r="J1071" s="282" t="n"/>
      <c r="M1071" s="282" t="n"/>
      <c r="P1071" s="282" t="n"/>
      <c r="S1071" s="282" t="n"/>
      <c r="V1071" s="282" t="n"/>
      <c r="Y1071" s="282" t="n"/>
      <c r="AB1071" s="282" t="n"/>
      <c r="AC1071" s="537" t="n"/>
      <c r="AD1071" s="537" t="n"/>
      <c r="AE1071" s="282" t="n"/>
      <c r="AF1071" s="537" t="n"/>
      <c r="AG1071" s="537" t="n"/>
      <c r="AI1071" s="537" t="n"/>
      <c r="AJ1071" s="537" t="n"/>
      <c r="AK1071" s="282" t="n"/>
      <c r="AL1071" s="286" t="n"/>
      <c r="AM1071" s="286" t="n"/>
      <c r="AN1071" s="282" t="n"/>
    </row>
    <row customHeight="1" ht="15.75" r="1072" s="452" spans="1:41">
      <c r="A1072" s="44" t="n"/>
      <c r="G1072" s="282" t="n"/>
      <c r="J1072" s="282" t="n"/>
      <c r="M1072" s="282" t="n"/>
      <c r="P1072" s="282" t="n"/>
      <c r="S1072" s="282" t="n"/>
      <c r="V1072" s="282" t="n"/>
      <c r="Y1072" s="282" t="n"/>
      <c r="AB1072" s="282" t="n"/>
      <c r="AC1072" s="537" t="n"/>
      <c r="AD1072" s="537" t="n"/>
      <c r="AE1072" s="282" t="n"/>
      <c r="AF1072" s="537" t="n"/>
      <c r="AG1072" s="537" t="n"/>
      <c r="AI1072" s="537" t="n"/>
      <c r="AJ1072" s="537" t="n"/>
      <c r="AK1072" s="282" t="n"/>
      <c r="AL1072" s="286" t="n"/>
      <c r="AM1072" s="286" t="n"/>
      <c r="AN1072" s="282" t="n"/>
    </row>
    <row customHeight="1" ht="15.75" r="1073" s="452" spans="1:41">
      <c r="A1073" s="44" t="n"/>
      <c r="G1073" s="282" t="n"/>
      <c r="J1073" s="282" t="n"/>
      <c r="M1073" s="282" t="n"/>
      <c r="P1073" s="282" t="n"/>
      <c r="S1073" s="282" t="n"/>
      <c r="V1073" s="282" t="n"/>
      <c r="Y1073" s="282" t="n"/>
      <c r="AB1073" s="282" t="n"/>
      <c r="AC1073" s="537" t="n"/>
      <c r="AD1073" s="537" t="n"/>
      <c r="AE1073" s="282" t="n"/>
      <c r="AF1073" s="537" t="n"/>
      <c r="AG1073" s="537" t="n"/>
      <c r="AI1073" s="537" t="n"/>
      <c r="AJ1073" s="537" t="n"/>
      <c r="AK1073" s="282" t="n"/>
      <c r="AL1073" s="286" t="n"/>
      <c r="AM1073" s="286" t="n"/>
      <c r="AN1073" s="282" t="n"/>
    </row>
    <row customHeight="1" ht="15.75" r="1074" s="452" spans="1:41">
      <c r="A1074" s="44" t="n"/>
      <c r="G1074" s="282" t="n"/>
      <c r="J1074" s="282" t="n"/>
      <c r="M1074" s="282" t="n"/>
      <c r="P1074" s="282" t="n"/>
      <c r="S1074" s="282" t="n"/>
      <c r="V1074" s="282" t="n"/>
      <c r="Y1074" s="282" t="n"/>
      <c r="AB1074" s="282" t="n"/>
      <c r="AC1074" s="537" t="n"/>
      <c r="AD1074" s="537" t="n"/>
      <c r="AE1074" s="282" t="n"/>
      <c r="AF1074" s="537" t="n"/>
      <c r="AG1074" s="537" t="n"/>
      <c r="AI1074" s="537" t="n"/>
      <c r="AJ1074" s="537" t="n"/>
      <c r="AK1074" s="282" t="n"/>
      <c r="AL1074" s="286" t="n"/>
      <c r="AM1074" s="286" t="n"/>
      <c r="AN1074" s="282" t="n"/>
    </row>
    <row customHeight="1" ht="15.75" r="1075" s="452" spans="1:41">
      <c r="A1075" s="44" t="n"/>
      <c r="G1075" s="282" t="n"/>
      <c r="J1075" s="282" t="n"/>
      <c r="M1075" s="282" t="n"/>
      <c r="P1075" s="282" t="n"/>
      <c r="S1075" s="282" t="n"/>
      <c r="V1075" s="282" t="n"/>
      <c r="Y1075" s="282" t="n"/>
      <c r="AB1075" s="282" t="n"/>
      <c r="AC1075" s="537" t="n"/>
      <c r="AD1075" s="537" t="n"/>
      <c r="AE1075" s="282" t="n"/>
      <c r="AF1075" s="537" t="n"/>
      <c r="AG1075" s="537" t="n"/>
      <c r="AI1075" s="537" t="n"/>
      <c r="AJ1075" s="537" t="n"/>
      <c r="AK1075" s="282" t="n"/>
      <c r="AL1075" s="286" t="n"/>
      <c r="AM1075" s="286" t="n"/>
      <c r="AN1075" s="282" t="n"/>
    </row>
    <row customHeight="1" ht="15.75" r="1076" s="452" spans="1:41">
      <c r="A1076" s="44" t="n"/>
      <c r="G1076" s="282" t="n"/>
      <c r="J1076" s="282" t="n"/>
      <c r="M1076" s="282" t="n"/>
      <c r="P1076" s="282" t="n"/>
      <c r="S1076" s="282" t="n"/>
      <c r="V1076" s="282" t="n"/>
      <c r="Y1076" s="282" t="n"/>
      <c r="AB1076" s="282" t="n"/>
      <c r="AC1076" s="537" t="n"/>
      <c r="AD1076" s="537" t="n"/>
      <c r="AE1076" s="282" t="n"/>
      <c r="AF1076" s="537" t="n"/>
      <c r="AG1076" s="537" t="n"/>
      <c r="AI1076" s="537" t="n"/>
      <c r="AJ1076" s="537" t="n"/>
      <c r="AK1076" s="282" t="n"/>
      <c r="AL1076" s="286" t="n"/>
      <c r="AM1076" s="286" t="n"/>
      <c r="AN1076" s="282" t="n"/>
    </row>
    <row customHeight="1" ht="15.75" r="1077" s="452" spans="1:41">
      <c r="A1077" s="44" t="n"/>
      <c r="G1077" s="282" t="n"/>
      <c r="J1077" s="282" t="n"/>
      <c r="M1077" s="282" t="n"/>
      <c r="P1077" s="282" t="n"/>
      <c r="S1077" s="282" t="n"/>
      <c r="V1077" s="282" t="n"/>
      <c r="Y1077" s="282" t="n"/>
      <c r="AB1077" s="282" t="n"/>
      <c r="AC1077" s="537" t="n"/>
      <c r="AD1077" s="537" t="n"/>
      <c r="AE1077" s="282" t="n"/>
      <c r="AF1077" s="537" t="n"/>
      <c r="AG1077" s="537" t="n"/>
      <c r="AI1077" s="537" t="n"/>
      <c r="AJ1077" s="537" t="n"/>
      <c r="AK1077" s="282" t="n"/>
      <c r="AL1077" s="286" t="n"/>
      <c r="AM1077" s="286" t="n"/>
      <c r="AN1077" s="282" t="n"/>
    </row>
    <row customHeight="1" ht="15.75" r="1078" s="452" spans="1:41">
      <c r="A1078" s="44" t="n"/>
      <c r="G1078" s="282" t="n"/>
      <c r="J1078" s="282" t="n"/>
      <c r="M1078" s="282" t="n"/>
      <c r="P1078" s="282" t="n"/>
      <c r="S1078" s="282" t="n"/>
      <c r="V1078" s="282" t="n"/>
      <c r="Y1078" s="282" t="n"/>
      <c r="AB1078" s="282" t="n"/>
      <c r="AC1078" s="537" t="n"/>
      <c r="AD1078" s="537" t="n"/>
      <c r="AE1078" s="282" t="n"/>
      <c r="AF1078" s="537" t="n"/>
      <c r="AG1078" s="537" t="n"/>
      <c r="AI1078" s="537" t="n"/>
      <c r="AJ1078" s="537" t="n"/>
      <c r="AK1078" s="282" t="n"/>
      <c r="AL1078" s="286" t="n"/>
      <c r="AM1078" s="286" t="n"/>
      <c r="AN1078" s="282" t="n"/>
    </row>
    <row customHeight="1" ht="15.75" r="1079" s="452" spans="1:41">
      <c r="A1079" s="44" t="n"/>
      <c r="G1079" s="282" t="n"/>
      <c r="J1079" s="282" t="n"/>
      <c r="M1079" s="282" t="n"/>
      <c r="P1079" s="282" t="n"/>
      <c r="S1079" s="282" t="n"/>
      <c r="V1079" s="282" t="n"/>
      <c r="Y1079" s="282" t="n"/>
      <c r="AB1079" s="282" t="n"/>
      <c r="AC1079" s="537" t="n"/>
      <c r="AD1079" s="537" t="n"/>
      <c r="AE1079" s="282" t="n"/>
      <c r="AF1079" s="537" t="n"/>
      <c r="AG1079" s="537" t="n"/>
      <c r="AI1079" s="537" t="n"/>
      <c r="AJ1079" s="537" t="n"/>
      <c r="AK1079" s="282" t="n"/>
      <c r="AL1079" s="286" t="n"/>
      <c r="AM1079" s="286" t="n"/>
      <c r="AN1079" s="282" t="n"/>
    </row>
    <row customHeight="1" ht="15.75" r="1080" s="452" spans="1:41">
      <c r="A1080" s="44" t="n"/>
      <c r="G1080" s="282" t="n"/>
      <c r="J1080" s="282" t="n"/>
      <c r="M1080" s="282" t="n"/>
      <c r="P1080" s="282" t="n"/>
      <c r="S1080" s="282" t="n"/>
      <c r="V1080" s="282" t="n"/>
      <c r="Y1080" s="282" t="n"/>
      <c r="AB1080" s="282" t="n"/>
      <c r="AC1080" s="537" t="n"/>
      <c r="AD1080" s="537" t="n"/>
      <c r="AE1080" s="282" t="n"/>
      <c r="AF1080" s="537" t="n"/>
      <c r="AG1080" s="537" t="n"/>
      <c r="AI1080" s="537" t="n"/>
      <c r="AJ1080" s="537" t="n"/>
      <c r="AK1080" s="282" t="n"/>
      <c r="AL1080" s="286" t="n"/>
      <c r="AM1080" s="286" t="n"/>
      <c r="AN1080" s="282" t="n"/>
    </row>
    <row customHeight="1" ht="15.75" r="1081" s="452" spans="1:41">
      <c r="A1081" s="44" t="n"/>
      <c r="G1081" s="282" t="n"/>
      <c r="J1081" s="282" t="n"/>
      <c r="M1081" s="282" t="n"/>
      <c r="P1081" s="282" t="n"/>
      <c r="S1081" s="282" t="n"/>
      <c r="V1081" s="282" t="n"/>
      <c r="Y1081" s="282" t="n"/>
      <c r="AB1081" s="282" t="n"/>
      <c r="AC1081" s="537" t="n"/>
      <c r="AD1081" s="537" t="n"/>
      <c r="AE1081" s="282" t="n"/>
      <c r="AF1081" s="537" t="n"/>
      <c r="AG1081" s="537" t="n"/>
      <c r="AI1081" s="537" t="n"/>
      <c r="AJ1081" s="537" t="n"/>
      <c r="AK1081" s="282" t="n"/>
      <c r="AL1081" s="286" t="n"/>
      <c r="AM1081" s="286" t="n"/>
      <c r="AN1081" s="282" t="n"/>
    </row>
    <row customHeight="1" ht="15.75" r="1082" s="452" spans="1:41">
      <c r="A1082" s="44" t="n"/>
      <c r="G1082" s="282" t="n"/>
      <c r="J1082" s="282" t="n"/>
      <c r="M1082" s="282" t="n"/>
      <c r="P1082" s="282" t="n"/>
      <c r="S1082" s="282" t="n"/>
      <c r="V1082" s="282" t="n"/>
      <c r="Y1082" s="282" t="n"/>
      <c r="AB1082" s="282" t="n"/>
      <c r="AC1082" s="537" t="n"/>
      <c r="AD1082" s="537" t="n"/>
      <c r="AE1082" s="282" t="n"/>
      <c r="AF1082" s="537" t="n"/>
      <c r="AG1082" s="537" t="n"/>
      <c r="AI1082" s="537" t="n"/>
      <c r="AJ1082" s="537" t="n"/>
      <c r="AK1082" s="282" t="n"/>
      <c r="AL1082" s="286" t="n"/>
      <c r="AM1082" s="286" t="n"/>
      <c r="AN1082" s="282" t="n"/>
    </row>
    <row customHeight="1" ht="15.75" r="1083" s="452" spans="1:41">
      <c r="A1083" s="44" t="n"/>
      <c r="G1083" s="282" t="n"/>
      <c r="J1083" s="282" t="n"/>
      <c r="M1083" s="282" t="n"/>
      <c r="P1083" s="282" t="n"/>
      <c r="S1083" s="282" t="n"/>
      <c r="V1083" s="282" t="n"/>
      <c r="Y1083" s="282" t="n"/>
      <c r="AB1083" s="282" t="n"/>
      <c r="AC1083" s="537" t="n"/>
      <c r="AD1083" s="537" t="n"/>
      <c r="AE1083" s="282" t="n"/>
      <c r="AF1083" s="537" t="n"/>
      <c r="AG1083" s="537" t="n"/>
      <c r="AI1083" s="537" t="n"/>
      <c r="AJ1083" s="537" t="n"/>
      <c r="AK1083" s="282" t="n"/>
      <c r="AL1083" s="286" t="n"/>
      <c r="AM1083" s="286" t="n"/>
      <c r="AN1083" s="282" t="n"/>
    </row>
    <row customHeight="1" ht="15.75" r="1084" s="452" spans="1:41">
      <c r="A1084" s="44" t="n"/>
      <c r="G1084" s="282" t="n"/>
      <c r="J1084" s="282" t="n"/>
      <c r="M1084" s="282" t="n"/>
      <c r="P1084" s="282" t="n"/>
      <c r="S1084" s="282" t="n"/>
      <c r="V1084" s="282" t="n"/>
      <c r="Y1084" s="282" t="n"/>
      <c r="AB1084" s="282" t="n"/>
      <c r="AC1084" s="537" t="n"/>
      <c r="AD1084" s="537" t="n"/>
      <c r="AE1084" s="282" t="n"/>
      <c r="AF1084" s="537" t="n"/>
      <c r="AG1084" s="537" t="n"/>
      <c r="AI1084" s="537" t="n"/>
      <c r="AJ1084" s="537" t="n"/>
      <c r="AK1084" s="282" t="n"/>
      <c r="AL1084" s="286" t="n"/>
      <c r="AM1084" s="286" t="n"/>
      <c r="AN1084" s="282" t="n"/>
    </row>
    <row customHeight="1" ht="15.75" r="1085" s="452" spans="1:41">
      <c r="A1085" s="44" t="n"/>
      <c r="G1085" s="282" t="n"/>
      <c r="J1085" s="282" t="n"/>
      <c r="M1085" s="282" t="n"/>
      <c r="P1085" s="282" t="n"/>
      <c r="S1085" s="282" t="n"/>
      <c r="V1085" s="282" t="n"/>
      <c r="Y1085" s="282" t="n"/>
      <c r="AB1085" s="282" t="n"/>
      <c r="AC1085" s="537" t="n"/>
      <c r="AD1085" s="537" t="n"/>
      <c r="AE1085" s="282" t="n"/>
      <c r="AF1085" s="537" t="n"/>
      <c r="AG1085" s="537" t="n"/>
      <c r="AI1085" s="537" t="n"/>
      <c r="AJ1085" s="537" t="n"/>
      <c r="AK1085" s="282" t="n"/>
      <c r="AL1085" s="286" t="n"/>
      <c r="AM1085" s="286" t="n"/>
      <c r="AN1085" s="282" t="n"/>
    </row>
    <row customHeight="1" ht="15.75" r="1086" s="452" spans="1:41">
      <c r="A1086" s="44" t="n"/>
      <c r="G1086" s="282" t="n"/>
      <c r="J1086" s="282" t="n"/>
      <c r="M1086" s="282" t="n"/>
      <c r="P1086" s="282" t="n"/>
      <c r="S1086" s="282" t="n"/>
      <c r="V1086" s="282" t="n"/>
      <c r="Y1086" s="282" t="n"/>
      <c r="AB1086" s="282" t="n"/>
      <c r="AC1086" s="537" t="n"/>
      <c r="AD1086" s="537" t="n"/>
      <c r="AE1086" s="282" t="n"/>
      <c r="AF1086" s="537" t="n"/>
      <c r="AG1086" s="537" t="n"/>
      <c r="AI1086" s="537" t="n"/>
      <c r="AJ1086" s="537" t="n"/>
      <c r="AK1086" s="282" t="n"/>
      <c r="AL1086" s="286" t="n"/>
      <c r="AM1086" s="286" t="n"/>
      <c r="AN1086" s="282" t="n"/>
    </row>
    <row customHeight="1" ht="15.75" r="1087" s="452" spans="1:41">
      <c r="A1087" s="44" t="n"/>
      <c r="G1087" s="282" t="n"/>
      <c r="J1087" s="282" t="n"/>
      <c r="M1087" s="282" t="n"/>
      <c r="P1087" s="282" t="n"/>
      <c r="S1087" s="282" t="n"/>
      <c r="V1087" s="282" t="n"/>
      <c r="Y1087" s="282" t="n"/>
      <c r="AB1087" s="282" t="n"/>
      <c r="AC1087" s="537" t="n"/>
      <c r="AD1087" s="537" t="n"/>
      <c r="AE1087" s="282" t="n"/>
      <c r="AF1087" s="537" t="n"/>
      <c r="AG1087" s="537" t="n"/>
      <c r="AI1087" s="537" t="n"/>
      <c r="AJ1087" s="537" t="n"/>
      <c r="AK1087" s="282" t="n"/>
      <c r="AL1087" s="286" t="n"/>
      <c r="AM1087" s="286" t="n"/>
      <c r="AN1087" s="282" t="n"/>
    </row>
    <row customHeight="1" ht="15.75" r="1088" s="452" spans="1:41">
      <c r="A1088" s="44" t="n"/>
      <c r="G1088" s="282" t="n"/>
      <c r="J1088" s="282" t="n"/>
      <c r="M1088" s="282" t="n"/>
      <c r="P1088" s="282" t="n"/>
      <c r="S1088" s="282" t="n"/>
      <c r="V1088" s="282" t="n"/>
      <c r="Y1088" s="282" t="n"/>
      <c r="AB1088" s="282" t="n"/>
      <c r="AC1088" s="537" t="n"/>
      <c r="AD1088" s="537" t="n"/>
      <c r="AE1088" s="282" t="n"/>
      <c r="AF1088" s="537" t="n"/>
      <c r="AG1088" s="537" t="n"/>
      <c r="AI1088" s="537" t="n"/>
      <c r="AJ1088" s="537" t="n"/>
      <c r="AK1088" s="282" t="n"/>
      <c r="AL1088" s="286" t="n"/>
      <c r="AM1088" s="286" t="n"/>
      <c r="AN1088" s="282" t="n"/>
    </row>
    <row customHeight="1" ht="15.75" r="1089" s="452" spans="1:41">
      <c r="A1089" s="44" t="n"/>
      <c r="G1089" s="282" t="n"/>
      <c r="J1089" s="282" t="n"/>
      <c r="M1089" s="282" t="n"/>
      <c r="P1089" s="282" t="n"/>
      <c r="S1089" s="282" t="n"/>
      <c r="V1089" s="282" t="n"/>
      <c r="Y1089" s="282" t="n"/>
      <c r="AB1089" s="282" t="n"/>
      <c r="AC1089" s="537" t="n"/>
      <c r="AD1089" s="537" t="n"/>
      <c r="AE1089" s="282" t="n"/>
      <c r="AF1089" s="537" t="n"/>
      <c r="AG1089" s="537" t="n"/>
      <c r="AI1089" s="537" t="n"/>
      <c r="AJ1089" s="537" t="n"/>
      <c r="AK1089" s="282" t="n"/>
      <c r="AL1089" s="286" t="n"/>
      <c r="AM1089" s="286" t="n"/>
      <c r="AN1089" s="282" t="n"/>
    </row>
    <row customHeight="1" ht="15.75" r="1090" s="452" spans="1:41">
      <c r="A1090" s="44" t="n"/>
      <c r="G1090" s="282" t="n"/>
      <c r="J1090" s="282" t="n"/>
      <c r="M1090" s="282" t="n"/>
      <c r="P1090" s="282" t="n"/>
      <c r="S1090" s="282" t="n"/>
      <c r="V1090" s="282" t="n"/>
      <c r="Y1090" s="282" t="n"/>
      <c r="AB1090" s="282" t="n"/>
      <c r="AC1090" s="537" t="n"/>
      <c r="AD1090" s="537" t="n"/>
      <c r="AE1090" s="282" t="n"/>
      <c r="AF1090" s="537" t="n"/>
      <c r="AG1090" s="537" t="n"/>
      <c r="AI1090" s="537" t="n"/>
      <c r="AJ1090" s="537" t="n"/>
      <c r="AK1090" s="282" t="n"/>
      <c r="AL1090" s="286" t="n"/>
      <c r="AM1090" s="286" t="n"/>
      <c r="AN1090" s="282" t="n"/>
    </row>
    <row customHeight="1" ht="15.75" r="1091" s="452" spans="1:41">
      <c r="A1091" s="44" t="n"/>
      <c r="G1091" s="282" t="n"/>
      <c r="J1091" s="282" t="n"/>
      <c r="M1091" s="282" t="n"/>
      <c r="P1091" s="282" t="n"/>
      <c r="S1091" s="282" t="n"/>
      <c r="V1091" s="282" t="n"/>
      <c r="Y1091" s="282" t="n"/>
      <c r="AB1091" s="282" t="n"/>
      <c r="AC1091" s="537" t="n"/>
      <c r="AD1091" s="537" t="n"/>
      <c r="AE1091" s="282" t="n"/>
      <c r="AF1091" s="537" t="n"/>
      <c r="AG1091" s="537" t="n"/>
      <c r="AI1091" s="537" t="n"/>
      <c r="AJ1091" s="537" t="n"/>
      <c r="AK1091" s="282" t="n"/>
      <c r="AL1091" s="286" t="n"/>
      <c r="AM1091" s="286" t="n"/>
      <c r="AN1091" s="282" t="n"/>
    </row>
    <row customHeight="1" ht="15.75" r="1092" s="452" spans="1:41">
      <c r="A1092" s="44" t="n"/>
      <c r="G1092" s="282" t="n"/>
      <c r="J1092" s="282" t="n"/>
      <c r="M1092" s="282" t="n"/>
      <c r="P1092" s="282" t="n"/>
      <c r="S1092" s="282" t="n"/>
      <c r="V1092" s="282" t="n"/>
      <c r="Y1092" s="282" t="n"/>
      <c r="AB1092" s="282" t="n"/>
      <c r="AC1092" s="537" t="n"/>
      <c r="AD1092" s="537" t="n"/>
      <c r="AE1092" s="282" t="n"/>
      <c r="AF1092" s="537" t="n"/>
      <c r="AG1092" s="537" t="n"/>
      <c r="AI1092" s="537" t="n"/>
      <c r="AJ1092" s="537" t="n"/>
      <c r="AK1092" s="282" t="n"/>
      <c r="AL1092" s="286" t="n"/>
      <c r="AM1092" s="286" t="n"/>
      <c r="AN1092" s="282" t="n"/>
    </row>
    <row customHeight="1" ht="15.75" r="1093" s="452" spans="1:41">
      <c r="A1093" s="44" t="n"/>
      <c r="G1093" s="282" t="n"/>
      <c r="J1093" s="282" t="n"/>
      <c r="M1093" s="282" t="n"/>
      <c r="P1093" s="282" t="n"/>
      <c r="S1093" s="282" t="n"/>
      <c r="V1093" s="282" t="n"/>
      <c r="Y1093" s="282" t="n"/>
      <c r="AB1093" s="282" t="n"/>
      <c r="AC1093" s="537" t="n"/>
      <c r="AD1093" s="537" t="n"/>
      <c r="AE1093" s="282" t="n"/>
      <c r="AF1093" s="537" t="n"/>
      <c r="AG1093" s="537" t="n"/>
      <c r="AI1093" s="537" t="n"/>
      <c r="AJ1093" s="537" t="n"/>
      <c r="AK1093" s="282" t="n"/>
      <c r="AL1093" s="286" t="n"/>
      <c r="AM1093" s="286" t="n"/>
      <c r="AN1093" s="282" t="n"/>
    </row>
    <row customHeight="1" ht="15.75" r="1094" s="452" spans="1:41">
      <c r="A1094" s="44" t="n"/>
      <c r="G1094" s="282" t="n"/>
      <c r="J1094" s="282" t="n"/>
      <c r="M1094" s="282" t="n"/>
      <c r="P1094" s="282" t="n"/>
      <c r="S1094" s="282" t="n"/>
      <c r="V1094" s="282" t="n"/>
      <c r="Y1094" s="282" t="n"/>
      <c r="AB1094" s="282" t="n"/>
      <c r="AC1094" s="537" t="n"/>
      <c r="AD1094" s="537" t="n"/>
      <c r="AE1094" s="282" t="n"/>
      <c r="AF1094" s="537" t="n"/>
      <c r="AG1094" s="537" t="n"/>
      <c r="AI1094" s="537" t="n"/>
      <c r="AJ1094" s="537" t="n"/>
      <c r="AK1094" s="282" t="n"/>
      <c r="AL1094" s="286" t="n"/>
      <c r="AM1094" s="286" t="n"/>
      <c r="AN1094" s="282" t="n"/>
    </row>
    <row customHeight="1" ht="15.75" r="1095" s="452" spans="1:41">
      <c r="A1095" s="44" t="n"/>
      <c r="G1095" s="282" t="n"/>
      <c r="J1095" s="282" t="n"/>
      <c r="M1095" s="282" t="n"/>
      <c r="P1095" s="282" t="n"/>
      <c r="S1095" s="282" t="n"/>
      <c r="V1095" s="282" t="n"/>
      <c r="Y1095" s="282" t="n"/>
      <c r="AB1095" s="282" t="n"/>
      <c r="AC1095" s="537" t="n"/>
      <c r="AD1095" s="537" t="n"/>
      <c r="AE1095" s="282" t="n"/>
      <c r="AF1095" s="537" t="n"/>
      <c r="AG1095" s="537" t="n"/>
      <c r="AI1095" s="537" t="n"/>
      <c r="AJ1095" s="537" t="n"/>
      <c r="AK1095" s="282" t="n"/>
      <c r="AL1095" s="286" t="n"/>
      <c r="AM1095" s="286" t="n"/>
      <c r="AN1095" s="282" t="n"/>
    </row>
    <row customHeight="1" ht="15.75" r="1096" s="452" spans="1:41">
      <c r="A1096" s="44" t="n"/>
      <c r="G1096" s="282" t="n"/>
      <c r="J1096" s="282" t="n"/>
      <c r="M1096" s="282" t="n"/>
      <c r="P1096" s="282" t="n"/>
      <c r="S1096" s="282" t="n"/>
      <c r="V1096" s="282" t="n"/>
      <c r="Y1096" s="282" t="n"/>
      <c r="AB1096" s="282" t="n"/>
      <c r="AC1096" s="537" t="n"/>
      <c r="AD1096" s="537" t="n"/>
      <c r="AE1096" s="282" t="n"/>
      <c r="AF1096" s="537" t="n"/>
      <c r="AG1096" s="537" t="n"/>
      <c r="AI1096" s="537" t="n"/>
      <c r="AJ1096" s="537" t="n"/>
      <c r="AK1096" s="282" t="n"/>
      <c r="AL1096" s="286" t="n"/>
      <c r="AM1096" s="286" t="n"/>
      <c r="AN1096" s="282" t="n"/>
    </row>
    <row customHeight="1" ht="15.75" r="1097" s="452" spans="1:41">
      <c r="A1097" s="44" t="n"/>
      <c r="G1097" s="282" t="n"/>
      <c r="J1097" s="282" t="n"/>
      <c r="M1097" s="282" t="n"/>
      <c r="P1097" s="282" t="n"/>
      <c r="S1097" s="282" t="n"/>
      <c r="V1097" s="282" t="n"/>
      <c r="Y1097" s="282" t="n"/>
      <c r="AB1097" s="282" t="n"/>
      <c r="AC1097" s="537" t="n"/>
      <c r="AD1097" s="537" t="n"/>
      <c r="AE1097" s="282" t="n"/>
      <c r="AF1097" s="537" t="n"/>
      <c r="AG1097" s="537" t="n"/>
      <c r="AI1097" s="537" t="n"/>
      <c r="AJ1097" s="537" t="n"/>
      <c r="AK1097" s="282" t="n"/>
      <c r="AL1097" s="286" t="n"/>
      <c r="AM1097" s="286" t="n"/>
      <c r="AN1097" s="282" t="n"/>
    </row>
    <row customHeight="1" ht="15.75" r="1098" s="452" spans="1:41">
      <c r="A1098" s="44" t="n"/>
      <c r="G1098" s="282" t="n"/>
      <c r="J1098" s="282" t="n"/>
      <c r="M1098" s="282" t="n"/>
      <c r="P1098" s="282" t="n"/>
      <c r="S1098" s="282" t="n"/>
      <c r="V1098" s="282" t="n"/>
      <c r="Y1098" s="282" t="n"/>
      <c r="AB1098" s="282" t="n"/>
      <c r="AC1098" s="537" t="n"/>
      <c r="AD1098" s="537" t="n"/>
      <c r="AE1098" s="282" t="n"/>
      <c r="AF1098" s="537" t="n"/>
      <c r="AG1098" s="537" t="n"/>
      <c r="AI1098" s="537" t="n"/>
      <c r="AJ1098" s="537" t="n"/>
      <c r="AK1098" s="282" t="n"/>
      <c r="AL1098" s="286" t="n"/>
      <c r="AM1098" s="286" t="n"/>
      <c r="AN1098" s="282" t="n"/>
    </row>
    <row customHeight="1" ht="15.75" r="1099" s="452" spans="1:41">
      <c r="A1099" s="44" t="n"/>
      <c r="G1099" s="282" t="n"/>
      <c r="J1099" s="282" t="n"/>
      <c r="M1099" s="282" t="n"/>
      <c r="P1099" s="282" t="n"/>
      <c r="S1099" s="282" t="n"/>
      <c r="V1099" s="282" t="n"/>
      <c r="Y1099" s="282" t="n"/>
      <c r="AB1099" s="282" t="n"/>
      <c r="AC1099" s="537" t="n"/>
      <c r="AD1099" s="537" t="n"/>
      <c r="AE1099" s="282" t="n"/>
      <c r="AF1099" s="537" t="n"/>
      <c r="AG1099" s="537" t="n"/>
      <c r="AI1099" s="537" t="n"/>
      <c r="AJ1099" s="537" t="n"/>
      <c r="AK1099" s="282" t="n"/>
      <c r="AL1099" s="286" t="n"/>
      <c r="AM1099" s="286" t="n"/>
      <c r="AN1099" s="282" t="n"/>
    </row>
    <row customHeight="1" ht="15.75" r="1100" s="452" spans="1:41">
      <c r="A1100" s="44" t="n"/>
      <c r="G1100" s="282" t="n"/>
      <c r="J1100" s="282" t="n"/>
      <c r="M1100" s="282" t="n"/>
      <c r="P1100" s="282" t="n"/>
      <c r="S1100" s="282" t="n"/>
      <c r="V1100" s="282" t="n"/>
      <c r="Y1100" s="282" t="n"/>
      <c r="AB1100" s="282" t="n"/>
      <c r="AC1100" s="537" t="n"/>
      <c r="AD1100" s="537" t="n"/>
      <c r="AE1100" s="282" t="n"/>
      <c r="AF1100" s="537" t="n"/>
      <c r="AG1100" s="537" t="n"/>
      <c r="AI1100" s="537" t="n"/>
      <c r="AJ1100" s="537" t="n"/>
      <c r="AK1100" s="282" t="n"/>
      <c r="AL1100" s="286" t="n"/>
      <c r="AM1100" s="286" t="n"/>
      <c r="AN1100" s="282" t="n"/>
    </row>
    <row customHeight="1" ht="15.75" r="1101" s="452" spans="1:41">
      <c r="A1101" s="44" t="n"/>
      <c r="G1101" s="282" t="n"/>
      <c r="J1101" s="282" t="n"/>
      <c r="M1101" s="282" t="n"/>
      <c r="P1101" s="282" t="n"/>
      <c r="S1101" s="282" t="n"/>
      <c r="V1101" s="282" t="n"/>
      <c r="Y1101" s="282" t="n"/>
      <c r="AB1101" s="282" t="n"/>
      <c r="AC1101" s="537" t="n"/>
      <c r="AD1101" s="537" t="n"/>
      <c r="AE1101" s="282" t="n"/>
      <c r="AF1101" s="537" t="n"/>
      <c r="AG1101" s="537" t="n"/>
      <c r="AI1101" s="537" t="n"/>
      <c r="AJ1101" s="537" t="n"/>
      <c r="AK1101" s="282" t="n"/>
      <c r="AL1101" s="286" t="n"/>
      <c r="AM1101" s="286" t="n"/>
      <c r="AN1101" s="282" t="n"/>
    </row>
    <row customHeight="1" ht="15.75" r="1102" s="452" spans="1:41">
      <c r="A1102" s="44" t="n"/>
      <c r="G1102" s="282" t="n"/>
      <c r="J1102" s="282" t="n"/>
      <c r="M1102" s="282" t="n"/>
      <c r="P1102" s="282" t="n"/>
      <c r="S1102" s="282" t="n"/>
      <c r="V1102" s="282" t="n"/>
      <c r="Y1102" s="282" t="n"/>
      <c r="AB1102" s="282" t="n"/>
      <c r="AC1102" s="537" t="n"/>
      <c r="AD1102" s="537" t="n"/>
      <c r="AE1102" s="282" t="n"/>
      <c r="AF1102" s="537" t="n"/>
      <c r="AG1102" s="537" t="n"/>
      <c r="AI1102" s="537" t="n"/>
      <c r="AJ1102" s="537" t="n"/>
      <c r="AK1102" s="282" t="n"/>
      <c r="AL1102" s="286" t="n"/>
      <c r="AM1102" s="286" t="n"/>
      <c r="AN1102" s="282" t="n"/>
    </row>
    <row customHeight="1" ht="15.75" r="1103" s="452" spans="1:41">
      <c r="A1103" s="44" t="n"/>
      <c r="G1103" s="282" t="n"/>
      <c r="J1103" s="282" t="n"/>
      <c r="M1103" s="282" t="n"/>
      <c r="P1103" s="282" t="n"/>
      <c r="S1103" s="282" t="n"/>
      <c r="V1103" s="282" t="n"/>
      <c r="Y1103" s="282" t="n"/>
      <c r="AB1103" s="282" t="n"/>
      <c r="AC1103" s="537" t="n"/>
      <c r="AD1103" s="537" t="n"/>
      <c r="AE1103" s="282" t="n"/>
      <c r="AF1103" s="537" t="n"/>
      <c r="AG1103" s="537" t="n"/>
      <c r="AI1103" s="537" t="n"/>
      <c r="AJ1103" s="537" t="n"/>
      <c r="AK1103" s="282" t="n"/>
      <c r="AL1103" s="286" t="n"/>
      <c r="AM1103" s="286" t="n"/>
      <c r="AN1103" s="282" t="n"/>
    </row>
    <row customHeight="1" ht="15.75" r="1104" s="452" spans="1:41">
      <c r="A1104" s="44" t="n"/>
      <c r="G1104" s="282" t="n"/>
      <c r="J1104" s="282" t="n"/>
      <c r="M1104" s="282" t="n"/>
      <c r="P1104" s="282" t="n"/>
      <c r="S1104" s="282" t="n"/>
      <c r="V1104" s="282" t="n"/>
      <c r="Y1104" s="282" t="n"/>
      <c r="AB1104" s="282" t="n"/>
      <c r="AC1104" s="537" t="n"/>
      <c r="AD1104" s="537" t="n"/>
      <c r="AE1104" s="282" t="n"/>
      <c r="AF1104" s="537" t="n"/>
      <c r="AG1104" s="537" t="n"/>
      <c r="AI1104" s="537" t="n"/>
      <c r="AJ1104" s="537" t="n"/>
      <c r="AK1104" s="282" t="n"/>
      <c r="AL1104" s="286" t="n"/>
      <c r="AM1104" s="286" t="n"/>
      <c r="AN1104" s="282" t="n"/>
    </row>
    <row customHeight="1" ht="15.75" r="1105" s="452" spans="1:41">
      <c r="A1105" s="44" t="n"/>
      <c r="G1105" s="282" t="n"/>
      <c r="J1105" s="282" t="n"/>
      <c r="M1105" s="282" t="n"/>
      <c r="P1105" s="282" t="n"/>
      <c r="S1105" s="282" t="n"/>
      <c r="V1105" s="282" t="n"/>
      <c r="Y1105" s="282" t="n"/>
      <c r="AB1105" s="282" t="n"/>
      <c r="AC1105" s="537" t="n"/>
      <c r="AD1105" s="537" t="n"/>
      <c r="AE1105" s="282" t="n"/>
      <c r="AF1105" s="537" t="n"/>
      <c r="AG1105" s="537" t="n"/>
      <c r="AI1105" s="537" t="n"/>
      <c r="AJ1105" s="537" t="n"/>
      <c r="AK1105" s="282" t="n"/>
      <c r="AL1105" s="286" t="n"/>
      <c r="AM1105" s="286" t="n"/>
      <c r="AN1105" s="282" t="n"/>
    </row>
    <row customHeight="1" ht="15.75" r="1106" s="452" spans="1:41">
      <c r="A1106" s="44" t="n"/>
      <c r="G1106" s="282" t="n"/>
      <c r="J1106" s="282" t="n"/>
      <c r="M1106" s="282" t="n"/>
      <c r="P1106" s="282" t="n"/>
      <c r="S1106" s="282" t="n"/>
      <c r="V1106" s="282" t="n"/>
      <c r="Y1106" s="282" t="n"/>
      <c r="AB1106" s="282" t="n"/>
      <c r="AC1106" s="537" t="n"/>
      <c r="AD1106" s="537" t="n"/>
      <c r="AE1106" s="282" t="n"/>
      <c r="AF1106" s="537" t="n"/>
      <c r="AG1106" s="537" t="n"/>
      <c r="AI1106" s="537" t="n"/>
      <c r="AJ1106" s="537" t="n"/>
      <c r="AK1106" s="282" t="n"/>
      <c r="AL1106" s="286" t="n"/>
      <c r="AM1106" s="286" t="n"/>
      <c r="AN1106" s="282" t="n"/>
    </row>
    <row customHeight="1" ht="15.75" r="1107" s="452" spans="1:41">
      <c r="A1107" s="44" t="n"/>
      <c r="G1107" s="282" t="n"/>
      <c r="J1107" s="282" t="n"/>
      <c r="M1107" s="282" t="n"/>
      <c r="P1107" s="282" t="n"/>
      <c r="S1107" s="282" t="n"/>
      <c r="V1107" s="282" t="n"/>
      <c r="Y1107" s="282" t="n"/>
      <c r="AB1107" s="282" t="n"/>
      <c r="AC1107" s="537" t="n"/>
      <c r="AD1107" s="537" t="n"/>
      <c r="AE1107" s="282" t="n"/>
      <c r="AF1107" s="537" t="n"/>
      <c r="AG1107" s="537" t="n"/>
      <c r="AI1107" s="537" t="n"/>
      <c r="AJ1107" s="537" t="n"/>
      <c r="AK1107" s="282" t="n"/>
      <c r="AL1107" s="286" t="n"/>
      <c r="AM1107" s="286" t="n"/>
      <c r="AN1107" s="282" t="n"/>
    </row>
    <row customHeight="1" ht="15.75" r="1108" s="452" spans="1:41">
      <c r="A1108" s="44" t="n"/>
      <c r="G1108" s="282" t="n"/>
      <c r="J1108" s="282" t="n"/>
      <c r="M1108" s="282" t="n"/>
      <c r="P1108" s="282" t="n"/>
      <c r="S1108" s="282" t="n"/>
      <c r="V1108" s="282" t="n"/>
      <c r="Y1108" s="282" t="n"/>
      <c r="AB1108" s="282" t="n"/>
      <c r="AC1108" s="537" t="n"/>
      <c r="AD1108" s="537" t="n"/>
      <c r="AE1108" s="282" t="n"/>
      <c r="AF1108" s="537" t="n"/>
      <c r="AG1108" s="537" t="n"/>
      <c r="AI1108" s="537" t="n"/>
      <c r="AJ1108" s="537" t="n"/>
      <c r="AK1108" s="282" t="n"/>
      <c r="AL1108" s="286" t="n"/>
      <c r="AM1108" s="286" t="n"/>
      <c r="AN1108" s="282" t="n"/>
    </row>
    <row customHeight="1" ht="15.75" r="1109" s="452" spans="1:41">
      <c r="A1109" s="44" t="n"/>
      <c r="G1109" s="282" t="n"/>
      <c r="J1109" s="282" t="n"/>
      <c r="M1109" s="282" t="n"/>
      <c r="P1109" s="282" t="n"/>
      <c r="S1109" s="282" t="n"/>
      <c r="V1109" s="282" t="n"/>
      <c r="Y1109" s="282" t="n"/>
      <c r="AB1109" s="282" t="n"/>
      <c r="AC1109" s="537" t="n"/>
      <c r="AD1109" s="537" t="n"/>
      <c r="AE1109" s="282" t="n"/>
      <c r="AF1109" s="537" t="n"/>
      <c r="AG1109" s="537" t="n"/>
      <c r="AI1109" s="537" t="n"/>
      <c r="AJ1109" s="537" t="n"/>
      <c r="AK1109" s="282" t="n"/>
      <c r="AL1109" s="286" t="n"/>
      <c r="AM1109" s="286" t="n"/>
      <c r="AN1109" s="282" t="n"/>
    </row>
    <row customHeight="1" ht="15.75" r="1110" s="452" spans="1:41">
      <c r="A1110" s="44" t="n"/>
      <c r="G1110" s="282" t="n"/>
      <c r="J1110" s="282" t="n"/>
      <c r="M1110" s="282" t="n"/>
      <c r="P1110" s="282" t="n"/>
      <c r="S1110" s="282" t="n"/>
      <c r="V1110" s="282" t="n"/>
      <c r="Y1110" s="282" t="n"/>
      <c r="AB1110" s="282" t="n"/>
      <c r="AC1110" s="537" t="n"/>
      <c r="AD1110" s="537" t="n"/>
      <c r="AE1110" s="282" t="n"/>
      <c r="AF1110" s="537" t="n"/>
      <c r="AG1110" s="537" t="n"/>
      <c r="AI1110" s="537" t="n"/>
      <c r="AJ1110" s="537" t="n"/>
      <c r="AK1110" s="282" t="n"/>
      <c r="AL1110" s="286" t="n"/>
      <c r="AM1110" s="286" t="n"/>
      <c r="AN1110" s="282" t="n"/>
    </row>
    <row customHeight="1" ht="15.75" r="1111" s="452" spans="1:41">
      <c r="A1111" s="44" t="n"/>
      <c r="G1111" s="282" t="n"/>
      <c r="J1111" s="282" t="n"/>
      <c r="M1111" s="282" t="n"/>
      <c r="P1111" s="282" t="n"/>
      <c r="S1111" s="282" t="n"/>
      <c r="V1111" s="282" t="n"/>
      <c r="Y1111" s="282" t="n"/>
      <c r="AB1111" s="282" t="n"/>
      <c r="AC1111" s="537" t="n"/>
      <c r="AD1111" s="537" t="n"/>
      <c r="AE1111" s="282" t="n"/>
      <c r="AF1111" s="537" t="n"/>
      <c r="AG1111" s="537" t="n"/>
      <c r="AI1111" s="537" t="n"/>
      <c r="AJ1111" s="537" t="n"/>
      <c r="AK1111" s="282" t="n"/>
      <c r="AL1111" s="286" t="n"/>
      <c r="AM1111" s="286" t="n"/>
      <c r="AN1111" s="282" t="n"/>
    </row>
    <row customHeight="1" ht="15.75" r="1112" s="452" spans="1:41">
      <c r="A1112" s="44" t="n"/>
      <c r="G1112" s="282" t="n"/>
      <c r="J1112" s="282" t="n"/>
      <c r="M1112" s="282" t="n"/>
      <c r="P1112" s="282" t="n"/>
      <c r="S1112" s="282" t="n"/>
      <c r="V1112" s="282" t="n"/>
      <c r="Y1112" s="282" t="n"/>
      <c r="AB1112" s="282" t="n"/>
      <c r="AC1112" s="537" t="n"/>
      <c r="AD1112" s="537" t="n"/>
      <c r="AE1112" s="282" t="n"/>
      <c r="AF1112" s="537" t="n"/>
      <c r="AG1112" s="537" t="n"/>
      <c r="AI1112" s="537" t="n"/>
      <c r="AJ1112" s="537" t="n"/>
      <c r="AK1112" s="282" t="n"/>
      <c r="AL1112" s="286" t="n"/>
      <c r="AM1112" s="286" t="n"/>
      <c r="AN1112" s="282" t="n"/>
    </row>
    <row customHeight="1" ht="15.75" r="1113" s="452" spans="1:41">
      <c r="A1113" s="44" t="n"/>
      <c r="G1113" s="282" t="n"/>
      <c r="J1113" s="282" t="n"/>
      <c r="M1113" s="282" t="n"/>
      <c r="P1113" s="282" t="n"/>
      <c r="S1113" s="282" t="n"/>
      <c r="V1113" s="282" t="n"/>
      <c r="Y1113" s="282" t="n"/>
      <c r="AB1113" s="282" t="n"/>
      <c r="AC1113" s="537" t="n"/>
      <c r="AD1113" s="537" t="n"/>
      <c r="AE1113" s="282" t="n"/>
      <c r="AF1113" s="537" t="n"/>
      <c r="AG1113" s="537" t="n"/>
      <c r="AI1113" s="537" t="n"/>
      <c r="AJ1113" s="537" t="n"/>
      <c r="AK1113" s="282" t="n"/>
      <c r="AL1113" s="286" t="n"/>
      <c r="AM1113" s="286" t="n"/>
      <c r="AN1113" s="282" t="n"/>
    </row>
    <row customHeight="1" ht="15.75" r="1114" s="452" spans="1:41">
      <c r="A1114" s="44" t="n"/>
      <c r="G1114" s="282" t="n"/>
      <c r="J1114" s="282" t="n"/>
      <c r="M1114" s="282" t="n"/>
      <c r="P1114" s="282" t="n"/>
      <c r="S1114" s="282" t="n"/>
      <c r="V1114" s="282" t="n"/>
      <c r="Y1114" s="282" t="n"/>
      <c r="AB1114" s="282" t="n"/>
      <c r="AC1114" s="537" t="n"/>
      <c r="AD1114" s="537" t="n"/>
      <c r="AE1114" s="282" t="n"/>
      <c r="AF1114" s="537" t="n"/>
      <c r="AG1114" s="537" t="n"/>
      <c r="AI1114" s="537" t="n"/>
      <c r="AJ1114" s="537" t="n"/>
      <c r="AK1114" s="282" t="n"/>
      <c r="AL1114" s="286" t="n"/>
      <c r="AM1114" s="286" t="n"/>
      <c r="AN1114" s="282" t="n"/>
    </row>
    <row customHeight="1" ht="15.75" r="1115" s="452" spans="1:41">
      <c r="A1115" s="44" t="n"/>
      <c r="G1115" s="282" t="n"/>
      <c r="J1115" s="282" t="n"/>
      <c r="M1115" s="282" t="n"/>
      <c r="P1115" s="282" t="n"/>
      <c r="S1115" s="282" t="n"/>
      <c r="V1115" s="282" t="n"/>
      <c r="Y1115" s="282" t="n"/>
      <c r="AB1115" s="282" t="n"/>
      <c r="AC1115" s="537" t="n"/>
      <c r="AD1115" s="537" t="n"/>
      <c r="AE1115" s="282" t="n"/>
      <c r="AF1115" s="537" t="n"/>
      <c r="AG1115" s="537" t="n"/>
      <c r="AI1115" s="537" t="n"/>
      <c r="AJ1115" s="537" t="n"/>
      <c r="AK1115" s="282" t="n"/>
      <c r="AL1115" s="286" t="n"/>
      <c r="AM1115" s="286" t="n"/>
      <c r="AN1115" s="282" t="n"/>
    </row>
    <row customHeight="1" ht="15.75" r="1116" s="452" spans="1:41">
      <c r="A1116" s="44" t="n"/>
      <c r="G1116" s="282" t="n"/>
      <c r="J1116" s="282" t="n"/>
      <c r="M1116" s="282" t="n"/>
      <c r="P1116" s="282" t="n"/>
      <c r="S1116" s="282" t="n"/>
      <c r="V1116" s="282" t="n"/>
      <c r="Y1116" s="282" t="n"/>
      <c r="AB1116" s="282" t="n"/>
      <c r="AC1116" s="537" t="n"/>
      <c r="AD1116" s="537" t="n"/>
      <c r="AE1116" s="282" t="n"/>
      <c r="AF1116" s="537" t="n"/>
      <c r="AG1116" s="537" t="n"/>
      <c r="AI1116" s="537" t="n"/>
      <c r="AJ1116" s="537" t="n"/>
      <c r="AK1116" s="282" t="n"/>
      <c r="AL1116" s="286" t="n"/>
      <c r="AM1116" s="286" t="n"/>
      <c r="AN1116" s="282" t="n"/>
    </row>
    <row customHeight="1" ht="15.75" r="1117" s="452" spans="1:41">
      <c r="A1117" s="44" t="n"/>
      <c r="G1117" s="282" t="n"/>
      <c r="J1117" s="282" t="n"/>
      <c r="M1117" s="282" t="n"/>
      <c r="P1117" s="282" t="n"/>
      <c r="S1117" s="282" t="n"/>
      <c r="V1117" s="282" t="n"/>
      <c r="Y1117" s="282" t="n"/>
      <c r="AB1117" s="282" t="n"/>
      <c r="AC1117" s="537" t="n"/>
      <c r="AD1117" s="537" t="n"/>
      <c r="AE1117" s="282" t="n"/>
      <c r="AF1117" s="537" t="n"/>
      <c r="AG1117" s="537" t="n"/>
      <c r="AI1117" s="537" t="n"/>
      <c r="AJ1117" s="537" t="n"/>
      <c r="AK1117" s="282" t="n"/>
      <c r="AL1117" s="286" t="n"/>
      <c r="AM1117" s="286" t="n"/>
      <c r="AN1117" s="282" t="n"/>
    </row>
    <row customHeight="1" ht="15.75" r="1118" s="452" spans="1:41">
      <c r="A1118" s="44" t="n"/>
      <c r="G1118" s="282" t="n"/>
      <c r="J1118" s="282" t="n"/>
      <c r="M1118" s="282" t="n"/>
      <c r="P1118" s="282" t="n"/>
      <c r="S1118" s="282" t="n"/>
      <c r="V1118" s="282" t="n"/>
      <c r="Y1118" s="282" t="n"/>
      <c r="AB1118" s="282" t="n"/>
      <c r="AC1118" s="537" t="n"/>
      <c r="AD1118" s="537" t="n"/>
      <c r="AE1118" s="282" t="n"/>
      <c r="AF1118" s="537" t="n"/>
      <c r="AG1118" s="537" t="n"/>
      <c r="AI1118" s="537" t="n"/>
      <c r="AJ1118" s="537" t="n"/>
      <c r="AK1118" s="282" t="n"/>
      <c r="AL1118" s="286" t="n"/>
      <c r="AM1118" s="286" t="n"/>
      <c r="AN1118" s="282" t="n"/>
    </row>
    <row customHeight="1" ht="15.75" r="1119" s="452" spans="1:41">
      <c r="A1119" s="44" t="n"/>
      <c r="G1119" s="282" t="n"/>
      <c r="J1119" s="282" t="n"/>
      <c r="M1119" s="282" t="n"/>
      <c r="P1119" s="282" t="n"/>
      <c r="S1119" s="282" t="n"/>
      <c r="V1119" s="282" t="n"/>
      <c r="Y1119" s="282" t="n"/>
      <c r="AB1119" s="282" t="n"/>
      <c r="AC1119" s="537" t="n"/>
      <c r="AD1119" s="537" t="n"/>
      <c r="AE1119" s="282" t="n"/>
      <c r="AF1119" s="537" t="n"/>
      <c r="AG1119" s="537" t="n"/>
      <c r="AI1119" s="537" t="n"/>
      <c r="AJ1119" s="537" t="n"/>
      <c r="AK1119" s="282" t="n"/>
      <c r="AL1119" s="286" t="n"/>
      <c r="AM1119" s="286" t="n"/>
      <c r="AN1119" s="282" t="n"/>
    </row>
    <row customHeight="1" ht="15.75" r="1120" s="452" spans="1:41">
      <c r="A1120" s="44" t="n"/>
      <c r="G1120" s="282" t="n"/>
      <c r="J1120" s="282" t="n"/>
      <c r="M1120" s="282" t="n"/>
      <c r="P1120" s="282" t="n"/>
      <c r="S1120" s="282" t="n"/>
      <c r="V1120" s="282" t="n"/>
      <c r="Y1120" s="282" t="n"/>
      <c r="AB1120" s="282" t="n"/>
      <c r="AC1120" s="537" t="n"/>
      <c r="AD1120" s="537" t="n"/>
      <c r="AE1120" s="282" t="n"/>
      <c r="AF1120" s="537" t="n"/>
      <c r="AG1120" s="537" t="n"/>
      <c r="AI1120" s="537" t="n"/>
      <c r="AJ1120" s="537" t="n"/>
      <c r="AK1120" s="282" t="n"/>
      <c r="AL1120" s="286" t="n"/>
      <c r="AM1120" s="286" t="n"/>
      <c r="AN1120" s="282" t="n"/>
    </row>
    <row customHeight="1" ht="15.75" r="1121" s="452" spans="1:41">
      <c r="A1121" s="44" t="n"/>
      <c r="G1121" s="282" t="n"/>
      <c r="J1121" s="282" t="n"/>
      <c r="M1121" s="282" t="n"/>
      <c r="P1121" s="282" t="n"/>
      <c r="S1121" s="282" t="n"/>
      <c r="V1121" s="282" t="n"/>
      <c r="Y1121" s="282" t="n"/>
      <c r="AB1121" s="282" t="n"/>
      <c r="AC1121" s="537" t="n"/>
      <c r="AD1121" s="537" t="n"/>
      <c r="AE1121" s="282" t="n"/>
      <c r="AF1121" s="537" t="n"/>
      <c r="AG1121" s="537" t="n"/>
      <c r="AI1121" s="537" t="n"/>
      <c r="AJ1121" s="537" t="n"/>
      <c r="AK1121" s="282" t="n"/>
      <c r="AL1121" s="286" t="n"/>
      <c r="AM1121" s="286" t="n"/>
      <c r="AN1121" s="282" t="n"/>
    </row>
    <row customHeight="1" ht="15.75" r="1122" s="452" spans="1:41">
      <c r="A1122" s="44" t="n"/>
      <c r="G1122" s="282" t="n"/>
      <c r="J1122" s="282" t="n"/>
      <c r="M1122" s="282" t="n"/>
      <c r="P1122" s="282" t="n"/>
      <c r="S1122" s="282" t="n"/>
      <c r="V1122" s="282" t="n"/>
      <c r="Y1122" s="282" t="n"/>
      <c r="AB1122" s="282" t="n"/>
      <c r="AC1122" s="537" t="n"/>
      <c r="AD1122" s="537" t="n"/>
      <c r="AE1122" s="282" t="n"/>
      <c r="AF1122" s="537" t="n"/>
      <c r="AG1122" s="537" t="n"/>
      <c r="AI1122" s="537" t="n"/>
      <c r="AJ1122" s="537" t="n"/>
      <c r="AK1122" s="282" t="n"/>
      <c r="AL1122" s="286" t="n"/>
      <c r="AM1122" s="286" t="n"/>
      <c r="AN1122" s="282" t="n"/>
    </row>
    <row customHeight="1" ht="15.75" r="1123" s="452" spans="1:41">
      <c r="A1123" s="44" t="n"/>
      <c r="G1123" s="282" t="n"/>
      <c r="J1123" s="282" t="n"/>
      <c r="M1123" s="282" t="n"/>
      <c r="P1123" s="282" t="n"/>
      <c r="S1123" s="282" t="n"/>
      <c r="V1123" s="282" t="n"/>
      <c r="Y1123" s="282" t="n"/>
      <c r="AB1123" s="282" t="n"/>
      <c r="AC1123" s="537" t="n"/>
      <c r="AD1123" s="537" t="n"/>
      <c r="AE1123" s="282" t="n"/>
      <c r="AF1123" s="537" t="n"/>
      <c r="AG1123" s="537" t="n"/>
      <c r="AI1123" s="537" t="n"/>
      <c r="AJ1123" s="537" t="n"/>
      <c r="AK1123" s="282" t="n"/>
      <c r="AL1123" s="286" t="n"/>
      <c r="AM1123" s="286" t="n"/>
      <c r="AN1123" s="282" t="n"/>
    </row>
    <row customHeight="1" ht="15.75" r="1124" s="452" spans="1:41">
      <c r="A1124" s="44" t="n"/>
      <c r="G1124" s="282" t="n"/>
      <c r="J1124" s="282" t="n"/>
      <c r="M1124" s="282" t="n"/>
      <c r="P1124" s="282" t="n"/>
      <c r="S1124" s="282" t="n"/>
      <c r="V1124" s="282" t="n"/>
      <c r="Y1124" s="282" t="n"/>
      <c r="AB1124" s="282" t="n"/>
      <c r="AC1124" s="537" t="n"/>
      <c r="AD1124" s="537" t="n"/>
      <c r="AE1124" s="282" t="n"/>
      <c r="AF1124" s="537" t="n"/>
      <c r="AG1124" s="537" t="n"/>
      <c r="AI1124" s="537" t="n"/>
      <c r="AJ1124" s="537" t="n"/>
      <c r="AK1124" s="282" t="n"/>
      <c r="AL1124" s="286" t="n"/>
      <c r="AM1124" s="286" t="n"/>
      <c r="AN1124" s="282" t="n"/>
    </row>
    <row customHeight="1" ht="15.75" r="1125" s="452" spans="1:41">
      <c r="A1125" s="44" t="n"/>
      <c r="G1125" s="282" t="n"/>
      <c r="J1125" s="282" t="n"/>
      <c r="M1125" s="282" t="n"/>
      <c r="P1125" s="282" t="n"/>
      <c r="S1125" s="282" t="n"/>
      <c r="V1125" s="282" t="n"/>
      <c r="Y1125" s="282" t="n"/>
      <c r="AB1125" s="282" t="n"/>
      <c r="AC1125" s="537" t="n"/>
      <c r="AD1125" s="537" t="n"/>
      <c r="AE1125" s="282" t="n"/>
      <c r="AF1125" s="537" t="n"/>
      <c r="AG1125" s="537" t="n"/>
      <c r="AI1125" s="537" t="n"/>
      <c r="AJ1125" s="537" t="n"/>
      <c r="AK1125" s="282" t="n"/>
      <c r="AL1125" s="286" t="n"/>
      <c r="AM1125" s="286" t="n"/>
      <c r="AN1125" s="282" t="n"/>
    </row>
    <row customHeight="1" ht="15.75" r="1126" s="452" spans="1:41">
      <c r="A1126" s="44" t="n"/>
      <c r="G1126" s="282" t="n"/>
      <c r="J1126" s="282" t="n"/>
      <c r="M1126" s="282" t="n"/>
      <c r="P1126" s="282" t="n"/>
      <c r="S1126" s="282" t="n"/>
      <c r="V1126" s="282" t="n"/>
      <c r="Y1126" s="282" t="n"/>
      <c r="AB1126" s="282" t="n"/>
      <c r="AC1126" s="537" t="n"/>
      <c r="AD1126" s="537" t="n"/>
      <c r="AE1126" s="282" t="n"/>
      <c r="AF1126" s="537" t="n"/>
      <c r="AG1126" s="537" t="n"/>
      <c r="AI1126" s="537" t="n"/>
      <c r="AJ1126" s="537" t="n"/>
      <c r="AK1126" s="282" t="n"/>
      <c r="AL1126" s="286" t="n"/>
      <c r="AM1126" s="286" t="n"/>
      <c r="AN1126" s="282" t="n"/>
    </row>
    <row customHeight="1" ht="15.75" r="1127" s="452" spans="1:41">
      <c r="A1127" s="44" t="n"/>
      <c r="G1127" s="282" t="n"/>
      <c r="J1127" s="282" t="n"/>
      <c r="M1127" s="282" t="n"/>
      <c r="P1127" s="282" t="n"/>
      <c r="S1127" s="282" t="n"/>
      <c r="V1127" s="282" t="n"/>
      <c r="Y1127" s="282" t="n"/>
      <c r="AB1127" s="282" t="n"/>
      <c r="AC1127" s="537" t="n"/>
      <c r="AD1127" s="537" t="n"/>
      <c r="AE1127" s="282" t="n"/>
      <c r="AF1127" s="537" t="n"/>
      <c r="AG1127" s="537" t="n"/>
      <c r="AI1127" s="537" t="n"/>
      <c r="AJ1127" s="537" t="n"/>
      <c r="AK1127" s="282" t="n"/>
      <c r="AL1127" s="286" t="n"/>
      <c r="AM1127" s="286" t="n"/>
      <c r="AN1127" s="282" t="n"/>
    </row>
    <row customHeight="1" ht="15.75" r="1128" s="452" spans="1:41">
      <c r="A1128" s="44" t="n"/>
      <c r="G1128" s="282" t="n"/>
      <c r="J1128" s="282" t="n"/>
      <c r="M1128" s="282" t="n"/>
      <c r="P1128" s="282" t="n"/>
      <c r="S1128" s="282" t="n"/>
      <c r="V1128" s="282" t="n"/>
      <c r="Y1128" s="282" t="n"/>
      <c r="AB1128" s="282" t="n"/>
      <c r="AC1128" s="537" t="n"/>
      <c r="AD1128" s="537" t="n"/>
      <c r="AE1128" s="282" t="n"/>
      <c r="AF1128" s="537" t="n"/>
      <c r="AG1128" s="537" t="n"/>
      <c r="AI1128" s="537" t="n"/>
      <c r="AJ1128" s="537" t="n"/>
      <c r="AK1128" s="282" t="n"/>
      <c r="AL1128" s="286" t="n"/>
      <c r="AM1128" s="286" t="n"/>
      <c r="AN1128" s="282" t="n"/>
    </row>
    <row customHeight="1" ht="15.75" r="1129" s="452" spans="1:41">
      <c r="A1129" s="44" t="n"/>
      <c r="G1129" s="282" t="n"/>
      <c r="J1129" s="282" t="n"/>
      <c r="M1129" s="282" t="n"/>
      <c r="P1129" s="282" t="n"/>
      <c r="S1129" s="282" t="n"/>
      <c r="V1129" s="282" t="n"/>
      <c r="Y1129" s="282" t="n"/>
      <c r="AB1129" s="282" t="n"/>
      <c r="AC1129" s="537" t="n"/>
      <c r="AD1129" s="537" t="n"/>
      <c r="AE1129" s="282" t="n"/>
      <c r="AF1129" s="537" t="n"/>
      <c r="AG1129" s="537" t="n"/>
      <c r="AI1129" s="537" t="n"/>
      <c r="AJ1129" s="537" t="n"/>
      <c r="AK1129" s="282" t="n"/>
      <c r="AL1129" s="286" t="n"/>
      <c r="AM1129" s="286" t="n"/>
      <c r="AN1129" s="282" t="n"/>
    </row>
    <row customHeight="1" ht="15.75" r="1130" s="452" spans="1:41">
      <c r="A1130" s="44" t="n"/>
      <c r="G1130" s="282" t="n"/>
      <c r="J1130" s="282" t="n"/>
      <c r="M1130" s="282" t="n"/>
      <c r="P1130" s="282" t="n"/>
      <c r="S1130" s="282" t="n"/>
      <c r="V1130" s="282" t="n"/>
      <c r="Y1130" s="282" t="n"/>
      <c r="AB1130" s="282" t="n"/>
      <c r="AC1130" s="537" t="n"/>
      <c r="AD1130" s="537" t="n"/>
      <c r="AE1130" s="282" t="n"/>
      <c r="AF1130" s="537" t="n"/>
      <c r="AG1130" s="537" t="n"/>
      <c r="AI1130" s="537" t="n"/>
      <c r="AJ1130" s="537" t="n"/>
      <c r="AK1130" s="282" t="n"/>
      <c r="AL1130" s="286" t="n"/>
      <c r="AM1130" s="286" t="n"/>
      <c r="AN1130" s="282" t="n"/>
    </row>
    <row customHeight="1" ht="15.75" r="1131" s="452" spans="1:41">
      <c r="A1131" s="44" t="n"/>
      <c r="G1131" s="282" t="n"/>
      <c r="J1131" s="282" t="n"/>
      <c r="M1131" s="282" t="n"/>
      <c r="P1131" s="282" t="n"/>
      <c r="S1131" s="282" t="n"/>
      <c r="V1131" s="282" t="n"/>
      <c r="Y1131" s="282" t="n"/>
      <c r="AB1131" s="282" t="n"/>
      <c r="AC1131" s="537" t="n"/>
      <c r="AD1131" s="537" t="n"/>
      <c r="AE1131" s="282" t="n"/>
      <c r="AF1131" s="537" t="n"/>
      <c r="AG1131" s="537" t="n"/>
      <c r="AI1131" s="537" t="n"/>
      <c r="AJ1131" s="537" t="n"/>
      <c r="AK1131" s="282" t="n"/>
      <c r="AL1131" s="286" t="n"/>
      <c r="AM1131" s="286" t="n"/>
      <c r="AN1131" s="282" t="n"/>
    </row>
    <row customHeight="1" ht="15.75" r="1132" s="452" spans="1:41">
      <c r="A1132" s="44" t="n"/>
      <c r="G1132" s="282" t="n"/>
      <c r="J1132" s="282" t="n"/>
      <c r="M1132" s="282" t="n"/>
      <c r="P1132" s="282" t="n"/>
      <c r="S1132" s="282" t="n"/>
      <c r="V1132" s="282" t="n"/>
      <c r="Y1132" s="282" t="n"/>
      <c r="AB1132" s="282" t="n"/>
      <c r="AC1132" s="537" t="n"/>
      <c r="AD1132" s="537" t="n"/>
      <c r="AE1132" s="282" t="n"/>
      <c r="AF1132" s="537" t="n"/>
      <c r="AG1132" s="537" t="n"/>
      <c r="AI1132" s="537" t="n"/>
      <c r="AJ1132" s="537" t="n"/>
      <c r="AK1132" s="282" t="n"/>
      <c r="AL1132" s="286" t="n"/>
      <c r="AM1132" s="286" t="n"/>
      <c r="AN1132" s="282" t="n"/>
    </row>
    <row customHeight="1" ht="15.75" r="1133" s="452" spans="1:41">
      <c r="A1133" s="44" t="n"/>
      <c r="G1133" s="282" t="n"/>
      <c r="J1133" s="282" t="n"/>
      <c r="M1133" s="282" t="n"/>
      <c r="P1133" s="282" t="n"/>
      <c r="S1133" s="282" t="n"/>
      <c r="V1133" s="282" t="n"/>
      <c r="Y1133" s="282" t="n"/>
      <c r="AB1133" s="282" t="n"/>
      <c r="AC1133" s="537" t="n"/>
      <c r="AD1133" s="537" t="n"/>
      <c r="AE1133" s="282" t="n"/>
      <c r="AF1133" s="537" t="n"/>
      <c r="AG1133" s="537" t="n"/>
      <c r="AI1133" s="537" t="n"/>
      <c r="AJ1133" s="537" t="n"/>
      <c r="AK1133" s="282" t="n"/>
      <c r="AL1133" s="286" t="n"/>
      <c r="AM1133" s="286" t="n"/>
      <c r="AN1133" s="282" t="n"/>
    </row>
    <row customHeight="1" ht="15.75" r="1134" s="452" spans="1:41">
      <c r="A1134" s="44" t="n"/>
      <c r="G1134" s="282" t="n"/>
      <c r="J1134" s="282" t="n"/>
      <c r="M1134" s="282" t="n"/>
      <c r="P1134" s="282" t="n"/>
      <c r="S1134" s="282" t="n"/>
      <c r="V1134" s="282" t="n"/>
      <c r="Y1134" s="282" t="n"/>
      <c r="AB1134" s="282" t="n"/>
      <c r="AC1134" s="537" t="n"/>
      <c r="AD1134" s="537" t="n"/>
      <c r="AE1134" s="282" t="n"/>
      <c r="AF1134" s="537" t="n"/>
      <c r="AG1134" s="537" t="n"/>
      <c r="AI1134" s="537" t="n"/>
      <c r="AJ1134" s="537" t="n"/>
      <c r="AK1134" s="282" t="n"/>
      <c r="AL1134" s="286" t="n"/>
      <c r="AM1134" s="286" t="n"/>
      <c r="AN1134" s="282" t="n"/>
    </row>
    <row customHeight="1" ht="15.75" r="1135" s="452" spans="1:41">
      <c r="A1135" s="44" t="n"/>
      <c r="G1135" s="282" t="n"/>
      <c r="J1135" s="282" t="n"/>
      <c r="M1135" s="282" t="n"/>
      <c r="P1135" s="282" t="n"/>
      <c r="S1135" s="282" t="n"/>
      <c r="V1135" s="282" t="n"/>
      <c r="Y1135" s="282" t="n"/>
      <c r="AB1135" s="282" t="n"/>
      <c r="AC1135" s="537" t="n"/>
      <c r="AD1135" s="537" t="n"/>
      <c r="AE1135" s="282" t="n"/>
      <c r="AF1135" s="537" t="n"/>
      <c r="AG1135" s="537" t="n"/>
      <c r="AI1135" s="537" t="n"/>
      <c r="AJ1135" s="537" t="n"/>
      <c r="AK1135" s="282" t="n"/>
      <c r="AL1135" s="286" t="n"/>
      <c r="AM1135" s="286" t="n"/>
      <c r="AN1135" s="282" t="n"/>
    </row>
    <row customHeight="1" ht="15.75" r="1136" s="452" spans="1:41">
      <c r="A1136" s="44" t="n"/>
      <c r="G1136" s="282" t="n"/>
      <c r="J1136" s="282" t="n"/>
      <c r="M1136" s="282" t="n"/>
      <c r="P1136" s="282" t="n"/>
      <c r="S1136" s="282" t="n"/>
      <c r="V1136" s="282" t="n"/>
      <c r="Y1136" s="282" t="n"/>
      <c r="AB1136" s="282" t="n"/>
      <c r="AC1136" s="537" t="n"/>
      <c r="AD1136" s="537" t="n"/>
      <c r="AE1136" s="282" t="n"/>
      <c r="AF1136" s="537" t="n"/>
      <c r="AG1136" s="537" t="n"/>
      <c r="AI1136" s="537" t="n"/>
      <c r="AJ1136" s="537" t="n"/>
      <c r="AK1136" s="282" t="n"/>
      <c r="AL1136" s="286" t="n"/>
      <c r="AM1136" s="286" t="n"/>
      <c r="AN1136" s="282" t="n"/>
    </row>
    <row customHeight="1" ht="15.75" r="1137" s="452" spans="1:41">
      <c r="A1137" s="44" t="n"/>
      <c r="G1137" s="282" t="n"/>
      <c r="J1137" s="282" t="n"/>
      <c r="M1137" s="282" t="n"/>
      <c r="P1137" s="282" t="n"/>
      <c r="S1137" s="282" t="n"/>
      <c r="V1137" s="282" t="n"/>
      <c r="Y1137" s="282" t="n"/>
      <c r="AB1137" s="282" t="n"/>
      <c r="AC1137" s="537" t="n"/>
      <c r="AD1137" s="537" t="n"/>
      <c r="AE1137" s="282" t="n"/>
      <c r="AF1137" s="537" t="n"/>
      <c r="AG1137" s="537" t="n"/>
      <c r="AI1137" s="537" t="n"/>
      <c r="AJ1137" s="537" t="n"/>
      <c r="AK1137" s="282" t="n"/>
      <c r="AL1137" s="286" t="n"/>
      <c r="AM1137" s="286" t="n"/>
      <c r="AN1137" s="282" t="n"/>
    </row>
    <row customHeight="1" ht="15.75" r="1138" s="452" spans="1:41">
      <c r="A1138" s="44" t="n"/>
      <c r="G1138" s="282" t="n"/>
      <c r="J1138" s="282" t="n"/>
      <c r="M1138" s="282" t="n"/>
      <c r="P1138" s="282" t="n"/>
      <c r="S1138" s="282" t="n"/>
      <c r="V1138" s="282" t="n"/>
      <c r="Y1138" s="282" t="n"/>
      <c r="AB1138" s="282" t="n"/>
      <c r="AC1138" s="537" t="n"/>
      <c r="AD1138" s="537" t="n"/>
      <c r="AE1138" s="282" t="n"/>
      <c r="AF1138" s="537" t="n"/>
      <c r="AG1138" s="537" t="n"/>
      <c r="AI1138" s="537" t="n"/>
      <c r="AJ1138" s="537" t="n"/>
      <c r="AK1138" s="282" t="n"/>
      <c r="AL1138" s="286" t="n"/>
      <c r="AM1138" s="286" t="n"/>
      <c r="AN1138" s="282" t="n"/>
    </row>
    <row customHeight="1" ht="15.75" r="1139" s="452" spans="1:41">
      <c r="A1139" s="44" t="n"/>
      <c r="G1139" s="282" t="n"/>
      <c r="J1139" s="282" t="n"/>
      <c r="M1139" s="282" t="n"/>
      <c r="P1139" s="282" t="n"/>
      <c r="S1139" s="282" t="n"/>
      <c r="V1139" s="282" t="n"/>
      <c r="Y1139" s="282" t="n"/>
      <c r="AB1139" s="282" t="n"/>
      <c r="AC1139" s="537" t="n"/>
      <c r="AD1139" s="537" t="n"/>
      <c r="AE1139" s="282" t="n"/>
      <c r="AF1139" s="537" t="n"/>
      <c r="AG1139" s="537" t="n"/>
      <c r="AI1139" s="537" t="n"/>
      <c r="AJ1139" s="537" t="n"/>
      <c r="AK1139" s="282" t="n"/>
      <c r="AL1139" s="286" t="n"/>
      <c r="AM1139" s="286" t="n"/>
      <c r="AN1139" s="282" t="n"/>
    </row>
    <row customHeight="1" ht="15.75" r="1140" s="452" spans="1:41">
      <c r="A1140" s="44" t="n"/>
      <c r="G1140" s="282" t="n"/>
      <c r="J1140" s="282" t="n"/>
      <c r="M1140" s="282" t="n"/>
      <c r="P1140" s="282" t="n"/>
      <c r="S1140" s="282" t="n"/>
      <c r="V1140" s="282" t="n"/>
      <c r="Y1140" s="282" t="n"/>
      <c r="AB1140" s="282" t="n"/>
      <c r="AC1140" s="537" t="n"/>
      <c r="AD1140" s="537" t="n"/>
      <c r="AE1140" s="282" t="n"/>
      <c r="AF1140" s="537" t="n"/>
      <c r="AG1140" s="537" t="n"/>
      <c r="AI1140" s="537" t="n"/>
      <c r="AJ1140" s="537" t="n"/>
      <c r="AK1140" s="282" t="n"/>
      <c r="AL1140" s="286" t="n"/>
      <c r="AM1140" s="286" t="n"/>
      <c r="AN1140" s="282" t="n"/>
    </row>
    <row customHeight="1" ht="15.75" r="1141" s="452" spans="1:41">
      <c r="A1141" s="44" t="n"/>
      <c r="G1141" s="282" t="n"/>
      <c r="J1141" s="282" t="n"/>
      <c r="M1141" s="282" t="n"/>
      <c r="P1141" s="282" t="n"/>
      <c r="S1141" s="282" t="n"/>
      <c r="V1141" s="282" t="n"/>
      <c r="Y1141" s="282" t="n"/>
      <c r="AB1141" s="282" t="n"/>
      <c r="AC1141" s="537" t="n"/>
      <c r="AD1141" s="537" t="n"/>
      <c r="AE1141" s="282" t="n"/>
      <c r="AF1141" s="537" t="n"/>
      <c r="AG1141" s="537" t="n"/>
      <c r="AI1141" s="537" t="n"/>
      <c r="AJ1141" s="537" t="n"/>
      <c r="AK1141" s="282" t="n"/>
      <c r="AL1141" s="286" t="n"/>
      <c r="AM1141" s="286" t="n"/>
      <c r="AN1141" s="282" t="n"/>
    </row>
    <row customHeight="1" ht="15.75" r="1142" s="452" spans="1:41">
      <c r="A1142" s="44" t="n"/>
      <c r="G1142" s="282" t="n"/>
      <c r="J1142" s="282" t="n"/>
      <c r="M1142" s="282" t="n"/>
      <c r="P1142" s="282" t="n"/>
      <c r="S1142" s="282" t="n"/>
      <c r="V1142" s="282" t="n"/>
      <c r="Y1142" s="282" t="n"/>
      <c r="AB1142" s="282" t="n"/>
      <c r="AC1142" s="537" t="n"/>
      <c r="AD1142" s="537" t="n"/>
      <c r="AE1142" s="282" t="n"/>
      <c r="AF1142" s="537" t="n"/>
      <c r="AG1142" s="537" t="n"/>
      <c r="AI1142" s="537" t="n"/>
      <c r="AJ1142" s="537" t="n"/>
      <c r="AK1142" s="282" t="n"/>
      <c r="AL1142" s="286" t="n"/>
      <c r="AM1142" s="286" t="n"/>
      <c r="AN1142" s="282" t="n"/>
    </row>
    <row customHeight="1" ht="15.75" r="1143" s="452" spans="1:41">
      <c r="A1143" s="44" t="n"/>
      <c r="G1143" s="282" t="n"/>
      <c r="J1143" s="282" t="n"/>
      <c r="M1143" s="282" t="n"/>
      <c r="P1143" s="282" t="n"/>
      <c r="S1143" s="282" t="n"/>
      <c r="V1143" s="282" t="n"/>
      <c r="Y1143" s="282" t="n"/>
      <c r="AB1143" s="282" t="n"/>
      <c r="AC1143" s="537" t="n"/>
      <c r="AD1143" s="537" t="n"/>
      <c r="AE1143" s="282" t="n"/>
      <c r="AF1143" s="537" t="n"/>
      <c r="AG1143" s="537" t="n"/>
      <c r="AI1143" s="537" t="n"/>
      <c r="AJ1143" s="537" t="n"/>
      <c r="AK1143" s="282" t="n"/>
      <c r="AL1143" s="286" t="n"/>
      <c r="AM1143" s="286" t="n"/>
      <c r="AN1143" s="282" t="n"/>
    </row>
    <row customHeight="1" ht="15.75" r="1144" s="452" spans="1:41">
      <c r="A1144" s="44" t="n"/>
      <c r="G1144" s="282" t="n"/>
      <c r="J1144" s="282" t="n"/>
      <c r="M1144" s="282" t="n"/>
      <c r="P1144" s="282" t="n"/>
      <c r="S1144" s="282" t="n"/>
      <c r="V1144" s="282" t="n"/>
      <c r="Y1144" s="282" t="n"/>
      <c r="AB1144" s="282" t="n"/>
      <c r="AC1144" s="537" t="n"/>
      <c r="AD1144" s="537" t="n"/>
      <c r="AE1144" s="282" t="n"/>
      <c r="AF1144" s="537" t="n"/>
      <c r="AG1144" s="537" t="n"/>
      <c r="AI1144" s="537" t="n"/>
      <c r="AJ1144" s="537" t="n"/>
      <c r="AK1144" s="282" t="n"/>
      <c r="AL1144" s="286" t="n"/>
      <c r="AM1144" s="286" t="n"/>
      <c r="AN1144" s="282" t="n"/>
    </row>
    <row customHeight="1" ht="15.75" r="1145" s="452" spans="1:41">
      <c r="A1145" s="44" t="n"/>
      <c r="G1145" s="282" t="n"/>
      <c r="J1145" s="282" t="n"/>
      <c r="M1145" s="282" t="n"/>
      <c r="P1145" s="282" t="n"/>
      <c r="S1145" s="282" t="n"/>
      <c r="V1145" s="282" t="n"/>
      <c r="Y1145" s="282" t="n"/>
      <c r="AB1145" s="282" t="n"/>
      <c r="AC1145" s="537" t="n"/>
      <c r="AD1145" s="537" t="n"/>
      <c r="AE1145" s="282" t="n"/>
      <c r="AF1145" s="537" t="n"/>
      <c r="AG1145" s="537" t="n"/>
      <c r="AI1145" s="537" t="n"/>
      <c r="AJ1145" s="537" t="n"/>
      <c r="AK1145" s="282" t="n"/>
      <c r="AL1145" s="286" t="n"/>
      <c r="AM1145" s="286" t="n"/>
      <c r="AN1145" s="282" t="n"/>
    </row>
    <row customHeight="1" ht="15.75" r="1146" s="452" spans="1:41">
      <c r="A1146" s="44" t="n"/>
      <c r="G1146" s="282" t="n"/>
      <c r="J1146" s="282" t="n"/>
      <c r="M1146" s="282" t="n"/>
      <c r="P1146" s="282" t="n"/>
      <c r="S1146" s="282" t="n"/>
      <c r="V1146" s="282" t="n"/>
      <c r="Y1146" s="282" t="n"/>
      <c r="AB1146" s="282" t="n"/>
      <c r="AC1146" s="537" t="n"/>
      <c r="AD1146" s="537" t="n"/>
      <c r="AE1146" s="282" t="n"/>
      <c r="AF1146" s="537" t="n"/>
      <c r="AG1146" s="537" t="n"/>
      <c r="AI1146" s="537" t="n"/>
      <c r="AJ1146" s="537" t="n"/>
      <c r="AK1146" s="282" t="n"/>
      <c r="AL1146" s="286" t="n"/>
      <c r="AM1146" s="286" t="n"/>
      <c r="AN1146" s="282" t="n"/>
    </row>
    <row customHeight="1" ht="15.75" r="1147" s="452" spans="1:41">
      <c r="A1147" s="44" t="n"/>
      <c r="G1147" s="282" t="n"/>
      <c r="J1147" s="282" t="n"/>
      <c r="M1147" s="282" t="n"/>
      <c r="P1147" s="282" t="n"/>
      <c r="S1147" s="282" t="n"/>
      <c r="V1147" s="282" t="n"/>
      <c r="Y1147" s="282" t="n"/>
      <c r="AB1147" s="282" t="n"/>
      <c r="AC1147" s="537" t="n"/>
      <c r="AD1147" s="537" t="n"/>
      <c r="AE1147" s="282" t="n"/>
      <c r="AF1147" s="537" t="n"/>
      <c r="AG1147" s="537" t="n"/>
      <c r="AI1147" s="537" t="n"/>
      <c r="AJ1147" s="537" t="n"/>
      <c r="AK1147" s="282" t="n"/>
      <c r="AL1147" s="286" t="n"/>
      <c r="AM1147" s="286" t="n"/>
      <c r="AN1147" s="282" t="n"/>
    </row>
    <row customHeight="1" ht="15.75" r="1148" s="452" spans="1:41">
      <c r="A1148" s="44" t="n"/>
      <c r="G1148" s="282" t="n"/>
      <c r="J1148" s="282" t="n"/>
      <c r="M1148" s="282" t="n"/>
      <c r="P1148" s="282" t="n"/>
      <c r="S1148" s="282" t="n"/>
      <c r="V1148" s="282" t="n"/>
      <c r="Y1148" s="282" t="n"/>
      <c r="AB1148" s="282" t="n"/>
      <c r="AC1148" s="537" t="n"/>
      <c r="AD1148" s="537" t="n"/>
      <c r="AE1148" s="282" t="n"/>
      <c r="AF1148" s="537" t="n"/>
      <c r="AG1148" s="537" t="n"/>
      <c r="AI1148" s="537" t="n"/>
      <c r="AJ1148" s="537" t="n"/>
      <c r="AK1148" s="282" t="n"/>
      <c r="AL1148" s="286" t="n"/>
      <c r="AM1148" s="286" t="n"/>
      <c r="AN1148" s="282" t="n"/>
    </row>
    <row customHeight="1" ht="15.75" r="1149" s="452" spans="1:41">
      <c r="A1149" s="44" t="n"/>
      <c r="G1149" s="282" t="n"/>
      <c r="J1149" s="282" t="n"/>
      <c r="M1149" s="282" t="n"/>
      <c r="P1149" s="282" t="n"/>
      <c r="S1149" s="282" t="n"/>
      <c r="V1149" s="282" t="n"/>
      <c r="Y1149" s="282" t="n"/>
      <c r="AB1149" s="282" t="n"/>
      <c r="AC1149" s="537" t="n"/>
      <c r="AD1149" s="537" t="n"/>
      <c r="AE1149" s="282" t="n"/>
      <c r="AF1149" s="537" t="n"/>
      <c r="AG1149" s="537" t="n"/>
      <c r="AI1149" s="537" t="n"/>
      <c r="AJ1149" s="537" t="n"/>
      <c r="AK1149" s="282" t="n"/>
      <c r="AL1149" s="286" t="n"/>
      <c r="AM1149" s="286" t="n"/>
      <c r="AN1149" s="282" t="n"/>
    </row>
    <row customHeight="1" ht="15.75" r="1150" s="452" spans="1:41">
      <c r="A1150" s="44" t="n"/>
      <c r="G1150" s="282" t="n"/>
      <c r="J1150" s="282" t="n"/>
      <c r="M1150" s="282" t="n"/>
      <c r="P1150" s="282" t="n"/>
      <c r="S1150" s="282" t="n"/>
      <c r="V1150" s="282" t="n"/>
      <c r="Y1150" s="282" t="n"/>
      <c r="AB1150" s="282" t="n"/>
      <c r="AC1150" s="537" t="n"/>
      <c r="AD1150" s="537" t="n"/>
      <c r="AE1150" s="282" t="n"/>
      <c r="AF1150" s="537" t="n"/>
      <c r="AG1150" s="537" t="n"/>
      <c r="AI1150" s="537" t="n"/>
      <c r="AJ1150" s="537" t="n"/>
      <c r="AK1150" s="282" t="n"/>
      <c r="AL1150" s="286" t="n"/>
      <c r="AM1150" s="286" t="n"/>
      <c r="AN1150" s="282" t="n"/>
    </row>
    <row customHeight="1" ht="15.75" r="1151" s="452" spans="1:41">
      <c r="A1151" s="44" t="n"/>
      <c r="G1151" s="282" t="n"/>
      <c r="J1151" s="282" t="n"/>
      <c r="M1151" s="282" t="n"/>
      <c r="P1151" s="282" t="n"/>
      <c r="S1151" s="282" t="n"/>
      <c r="V1151" s="282" t="n"/>
      <c r="Y1151" s="282" t="n"/>
      <c r="AB1151" s="282" t="n"/>
      <c r="AC1151" s="537" t="n"/>
      <c r="AD1151" s="537" t="n"/>
      <c r="AE1151" s="282" t="n"/>
      <c r="AF1151" s="537" t="n"/>
      <c r="AG1151" s="537" t="n"/>
      <c r="AI1151" s="537" t="n"/>
      <c r="AJ1151" s="537" t="n"/>
      <c r="AK1151" s="282" t="n"/>
      <c r="AL1151" s="286" t="n"/>
      <c r="AM1151" s="286" t="n"/>
      <c r="AN1151" s="282" t="n"/>
    </row>
    <row customHeight="1" ht="15.75" r="1152" s="452" spans="1:41">
      <c r="A1152" s="44" t="n"/>
      <c r="G1152" s="282" t="n"/>
      <c r="J1152" s="282" t="n"/>
      <c r="M1152" s="282" t="n"/>
      <c r="P1152" s="282" t="n"/>
      <c r="S1152" s="282" t="n"/>
      <c r="V1152" s="282" t="n"/>
      <c r="Y1152" s="282" t="n"/>
      <c r="AB1152" s="282" t="n"/>
      <c r="AC1152" s="537" t="n"/>
      <c r="AD1152" s="537" t="n"/>
      <c r="AE1152" s="282" t="n"/>
      <c r="AF1152" s="537" t="n"/>
      <c r="AG1152" s="537" t="n"/>
      <c r="AI1152" s="537" t="n"/>
      <c r="AJ1152" s="537" t="n"/>
      <c r="AK1152" s="282" t="n"/>
      <c r="AL1152" s="286" t="n"/>
      <c r="AM1152" s="286" t="n"/>
      <c r="AN1152" s="282" t="n"/>
    </row>
    <row customHeight="1" ht="15.75" r="1153" s="452" spans="1:41">
      <c r="A1153" s="44" t="n"/>
      <c r="G1153" s="282" t="n"/>
      <c r="J1153" s="282" t="n"/>
      <c r="M1153" s="282" t="n"/>
      <c r="P1153" s="282" t="n"/>
      <c r="S1153" s="282" t="n"/>
      <c r="V1153" s="282" t="n"/>
      <c r="Y1153" s="282" t="n"/>
      <c r="AB1153" s="282" t="n"/>
      <c r="AC1153" s="537" t="n"/>
      <c r="AD1153" s="537" t="n"/>
      <c r="AE1153" s="282" t="n"/>
      <c r="AF1153" s="537" t="n"/>
      <c r="AG1153" s="537" t="n"/>
      <c r="AI1153" s="537" t="n"/>
      <c r="AJ1153" s="537" t="n"/>
      <c r="AK1153" s="282" t="n"/>
      <c r="AL1153" s="286" t="n"/>
      <c r="AM1153" s="286" t="n"/>
      <c r="AN1153" s="282" t="n"/>
    </row>
    <row customHeight="1" ht="15.75" r="1154" s="452" spans="1:41">
      <c r="A1154" s="44" t="n"/>
      <c r="G1154" s="282" t="n"/>
      <c r="J1154" s="282" t="n"/>
      <c r="M1154" s="282" t="n"/>
      <c r="P1154" s="282" t="n"/>
      <c r="S1154" s="282" t="n"/>
      <c r="V1154" s="282" t="n"/>
      <c r="Y1154" s="282" t="n"/>
      <c r="AB1154" s="282" t="n"/>
      <c r="AC1154" s="537" t="n"/>
      <c r="AD1154" s="537" t="n"/>
      <c r="AE1154" s="282" t="n"/>
      <c r="AF1154" s="537" t="n"/>
      <c r="AG1154" s="537" t="n"/>
      <c r="AI1154" s="537" t="n"/>
      <c r="AJ1154" s="537" t="n"/>
      <c r="AK1154" s="282" t="n"/>
      <c r="AL1154" s="286" t="n"/>
      <c r="AM1154" s="286" t="n"/>
      <c r="AN1154" s="282" t="n"/>
    </row>
    <row customHeight="1" ht="15.75" r="1155" s="452" spans="1:41">
      <c r="A1155" s="44" t="n"/>
      <c r="G1155" s="282" t="n"/>
      <c r="J1155" s="282" t="n"/>
      <c r="M1155" s="282" t="n"/>
      <c r="P1155" s="282" t="n"/>
      <c r="S1155" s="282" t="n"/>
      <c r="V1155" s="282" t="n"/>
      <c r="Y1155" s="282" t="n"/>
      <c r="AB1155" s="282" t="n"/>
      <c r="AC1155" s="537" t="n"/>
      <c r="AD1155" s="537" t="n"/>
      <c r="AE1155" s="282" t="n"/>
      <c r="AF1155" s="537" t="n"/>
      <c r="AG1155" s="537" t="n"/>
      <c r="AI1155" s="537" t="n"/>
      <c r="AJ1155" s="537" t="n"/>
      <c r="AK1155" s="282" t="n"/>
      <c r="AL1155" s="286" t="n"/>
      <c r="AM1155" s="286" t="n"/>
      <c r="AN1155" s="282" t="n"/>
    </row>
    <row customHeight="1" ht="15.75" r="1156" s="452" spans="1:41">
      <c r="A1156" s="44" t="n"/>
      <c r="G1156" s="282" t="n"/>
      <c r="J1156" s="282" t="n"/>
      <c r="M1156" s="282" t="n"/>
      <c r="P1156" s="282" t="n"/>
      <c r="S1156" s="282" t="n"/>
      <c r="V1156" s="282" t="n"/>
      <c r="Y1156" s="282" t="n"/>
      <c r="AB1156" s="282" t="n"/>
      <c r="AC1156" s="537" t="n"/>
      <c r="AD1156" s="537" t="n"/>
      <c r="AE1156" s="282" t="n"/>
      <c r="AF1156" s="537" t="n"/>
      <c r="AG1156" s="537" t="n"/>
      <c r="AI1156" s="537" t="n"/>
      <c r="AJ1156" s="537" t="n"/>
      <c r="AK1156" s="282" t="n"/>
      <c r="AL1156" s="286" t="n"/>
      <c r="AM1156" s="286" t="n"/>
      <c r="AN1156" s="282" t="n"/>
    </row>
    <row customHeight="1" ht="15.75" r="1157" s="452" spans="1:41">
      <c r="A1157" s="44" t="n"/>
      <c r="G1157" s="282" t="n"/>
      <c r="J1157" s="282" t="n"/>
      <c r="M1157" s="282" t="n"/>
      <c r="P1157" s="282" t="n"/>
      <c r="S1157" s="282" t="n"/>
      <c r="V1157" s="282" t="n"/>
      <c r="Y1157" s="282" t="n"/>
      <c r="AB1157" s="282" t="n"/>
      <c r="AC1157" s="537" t="n"/>
      <c r="AD1157" s="537" t="n"/>
      <c r="AE1157" s="282" t="n"/>
      <c r="AF1157" s="537" t="n"/>
      <c r="AG1157" s="537" t="n"/>
      <c r="AI1157" s="537" t="n"/>
      <c r="AJ1157" s="537" t="n"/>
      <c r="AK1157" s="282" t="n"/>
      <c r="AL1157" s="286" t="n"/>
      <c r="AM1157" s="286" t="n"/>
      <c r="AN1157" s="282" t="n"/>
    </row>
    <row customHeight="1" ht="15.75" r="1158" s="452" spans="1:41">
      <c r="A1158" s="44" t="n"/>
      <c r="G1158" s="282" t="n"/>
      <c r="J1158" s="282" t="n"/>
      <c r="M1158" s="282" t="n"/>
      <c r="P1158" s="282" t="n"/>
      <c r="S1158" s="282" t="n"/>
      <c r="V1158" s="282" t="n"/>
      <c r="Y1158" s="282" t="n"/>
      <c r="AB1158" s="282" t="n"/>
      <c r="AC1158" s="537" t="n"/>
      <c r="AD1158" s="537" t="n"/>
      <c r="AE1158" s="282" t="n"/>
      <c r="AF1158" s="537" t="n"/>
      <c r="AG1158" s="537" t="n"/>
      <c r="AI1158" s="537" t="n"/>
      <c r="AJ1158" s="537" t="n"/>
      <c r="AK1158" s="282" t="n"/>
      <c r="AL1158" s="286" t="n"/>
      <c r="AM1158" s="286" t="n"/>
      <c r="AN1158" s="282" t="n"/>
    </row>
    <row customHeight="1" ht="15.75" r="1159" s="452" spans="1:41">
      <c r="A1159" s="44" t="n"/>
      <c r="G1159" s="282" t="n"/>
      <c r="J1159" s="282" t="n"/>
      <c r="M1159" s="282" t="n"/>
      <c r="P1159" s="282" t="n"/>
      <c r="S1159" s="282" t="n"/>
      <c r="V1159" s="282" t="n"/>
      <c r="Y1159" s="282" t="n"/>
      <c r="AB1159" s="282" t="n"/>
      <c r="AC1159" s="537" t="n"/>
      <c r="AD1159" s="537" t="n"/>
      <c r="AE1159" s="282" t="n"/>
      <c r="AF1159" s="537" t="n"/>
      <c r="AG1159" s="537" t="n"/>
      <c r="AI1159" s="537" t="n"/>
      <c r="AJ1159" s="537" t="n"/>
      <c r="AK1159" s="282" t="n"/>
      <c r="AL1159" s="286" t="n"/>
      <c r="AM1159" s="286" t="n"/>
      <c r="AN1159" s="282" t="n"/>
    </row>
    <row customHeight="1" ht="15.75" r="1160" s="452" spans="1:41">
      <c r="A1160" s="44" t="n"/>
      <c r="G1160" s="282" t="n"/>
      <c r="J1160" s="282" t="n"/>
      <c r="M1160" s="282" t="n"/>
      <c r="P1160" s="282" t="n"/>
      <c r="S1160" s="282" t="n"/>
      <c r="V1160" s="282" t="n"/>
      <c r="Y1160" s="282" t="n"/>
      <c r="AB1160" s="282" t="n"/>
      <c r="AC1160" s="537" t="n"/>
      <c r="AD1160" s="537" t="n"/>
      <c r="AE1160" s="282" t="n"/>
      <c r="AF1160" s="537" t="n"/>
      <c r="AG1160" s="537" t="n"/>
      <c r="AI1160" s="537" t="n"/>
      <c r="AJ1160" s="537" t="n"/>
      <c r="AK1160" s="282" t="n"/>
      <c r="AL1160" s="286" t="n"/>
      <c r="AM1160" s="286" t="n"/>
      <c r="AN1160" s="282" t="n"/>
    </row>
    <row customHeight="1" ht="15.75" r="1161" s="452" spans="1:41">
      <c r="A1161" s="44" t="n"/>
      <c r="G1161" s="282" t="n"/>
      <c r="J1161" s="282" t="n"/>
      <c r="M1161" s="282" t="n"/>
      <c r="P1161" s="282" t="n"/>
      <c r="S1161" s="282" t="n"/>
      <c r="V1161" s="282" t="n"/>
      <c r="Y1161" s="282" t="n"/>
      <c r="AB1161" s="282" t="n"/>
      <c r="AC1161" s="537" t="n"/>
      <c r="AD1161" s="537" t="n"/>
      <c r="AE1161" s="282" t="n"/>
      <c r="AF1161" s="537" t="n"/>
      <c r="AG1161" s="537" t="n"/>
      <c r="AI1161" s="537" t="n"/>
      <c r="AJ1161" s="537" t="n"/>
      <c r="AK1161" s="282" t="n"/>
      <c r="AL1161" s="286" t="n"/>
      <c r="AM1161" s="286" t="n"/>
      <c r="AN1161" s="282" t="n"/>
    </row>
    <row customHeight="1" ht="15.75" r="1162" s="452" spans="1:41">
      <c r="A1162" s="44" t="n"/>
      <c r="G1162" s="282" t="n"/>
      <c r="J1162" s="282" t="n"/>
      <c r="M1162" s="282" t="n"/>
      <c r="P1162" s="282" t="n"/>
      <c r="S1162" s="282" t="n"/>
      <c r="V1162" s="282" t="n"/>
      <c r="Y1162" s="282" t="n"/>
      <c r="AB1162" s="282" t="n"/>
      <c r="AC1162" s="537" t="n"/>
      <c r="AD1162" s="537" t="n"/>
      <c r="AE1162" s="282" t="n"/>
      <c r="AF1162" s="537" t="n"/>
      <c r="AG1162" s="537" t="n"/>
      <c r="AI1162" s="537" t="n"/>
      <c r="AJ1162" s="537" t="n"/>
      <c r="AK1162" s="282" t="n"/>
      <c r="AL1162" s="286" t="n"/>
      <c r="AM1162" s="286" t="n"/>
      <c r="AN1162" s="282" t="n"/>
    </row>
    <row customHeight="1" ht="15.75" r="1163" s="452" spans="1:41">
      <c r="A1163" s="44" t="n"/>
      <c r="G1163" s="282" t="n"/>
      <c r="J1163" s="282" t="n"/>
      <c r="M1163" s="282" t="n"/>
      <c r="P1163" s="282" t="n"/>
      <c r="S1163" s="282" t="n"/>
      <c r="V1163" s="282" t="n"/>
      <c r="Y1163" s="282" t="n"/>
      <c r="AB1163" s="282" t="n"/>
      <c r="AC1163" s="537" t="n"/>
      <c r="AD1163" s="537" t="n"/>
      <c r="AE1163" s="282" t="n"/>
      <c r="AF1163" s="537" t="n"/>
      <c r="AG1163" s="537" t="n"/>
      <c r="AI1163" s="537" t="n"/>
      <c r="AJ1163" s="537" t="n"/>
      <c r="AK1163" s="282" t="n"/>
      <c r="AL1163" s="286" t="n"/>
      <c r="AM1163" s="286" t="n"/>
      <c r="AN1163" s="282" t="n"/>
    </row>
    <row customHeight="1" ht="15.75" r="1164" s="452" spans="1:41">
      <c r="A1164" s="44" t="n"/>
      <c r="G1164" s="282" t="n"/>
      <c r="J1164" s="282" t="n"/>
      <c r="M1164" s="282" t="n"/>
      <c r="P1164" s="282" t="n"/>
      <c r="S1164" s="282" t="n"/>
      <c r="V1164" s="282" t="n"/>
      <c r="Y1164" s="282" t="n"/>
      <c r="AB1164" s="282" t="n"/>
      <c r="AC1164" s="537" t="n"/>
      <c r="AD1164" s="537" t="n"/>
      <c r="AE1164" s="282" t="n"/>
      <c r="AF1164" s="537" t="n"/>
      <c r="AG1164" s="537" t="n"/>
      <c r="AI1164" s="537" t="n"/>
      <c r="AJ1164" s="537" t="n"/>
      <c r="AK1164" s="282" t="n"/>
      <c r="AL1164" s="286" t="n"/>
      <c r="AM1164" s="286" t="n"/>
      <c r="AN1164" s="282" t="n"/>
    </row>
    <row customHeight="1" ht="15.75" r="1165" s="452" spans="1:41">
      <c r="A1165" s="44" t="n"/>
      <c r="G1165" s="282" t="n"/>
      <c r="J1165" s="282" t="n"/>
      <c r="M1165" s="282" t="n"/>
      <c r="P1165" s="282" t="n"/>
      <c r="S1165" s="282" t="n"/>
      <c r="V1165" s="282" t="n"/>
      <c r="Y1165" s="282" t="n"/>
      <c r="AB1165" s="282" t="n"/>
      <c r="AC1165" s="537" t="n"/>
      <c r="AD1165" s="537" t="n"/>
      <c r="AE1165" s="282" t="n"/>
      <c r="AF1165" s="537" t="n"/>
      <c r="AG1165" s="537" t="n"/>
      <c r="AI1165" s="537" t="n"/>
      <c r="AJ1165" s="537" t="n"/>
      <c r="AK1165" s="282" t="n"/>
      <c r="AL1165" s="286" t="n"/>
      <c r="AM1165" s="286" t="n"/>
      <c r="AN1165" s="282" t="n"/>
    </row>
    <row customHeight="1" ht="15.75" r="1166" s="452" spans="1:41">
      <c r="A1166" s="44" t="n"/>
      <c r="G1166" s="282" t="n"/>
      <c r="J1166" s="282" t="n"/>
      <c r="M1166" s="282" t="n"/>
      <c r="P1166" s="282" t="n"/>
      <c r="S1166" s="282" t="n"/>
      <c r="V1166" s="282" t="n"/>
      <c r="Y1166" s="282" t="n"/>
      <c r="AB1166" s="282" t="n"/>
      <c r="AC1166" s="537" t="n"/>
      <c r="AD1166" s="537" t="n"/>
      <c r="AE1166" s="282" t="n"/>
      <c r="AF1166" s="537" t="n"/>
      <c r="AG1166" s="537" t="n"/>
      <c r="AI1166" s="537" t="n"/>
      <c r="AJ1166" s="537" t="n"/>
      <c r="AK1166" s="282" t="n"/>
      <c r="AL1166" s="286" t="n"/>
      <c r="AM1166" s="286" t="n"/>
      <c r="AN1166" s="282" t="n"/>
    </row>
    <row customHeight="1" ht="15.75" r="1167" s="452" spans="1:41">
      <c r="A1167" s="44" t="n"/>
      <c r="G1167" s="282" t="n"/>
      <c r="J1167" s="282" t="n"/>
      <c r="M1167" s="282" t="n"/>
      <c r="P1167" s="282" t="n"/>
      <c r="S1167" s="282" t="n"/>
      <c r="V1167" s="282" t="n"/>
      <c r="Y1167" s="282" t="n"/>
      <c r="AB1167" s="282" t="n"/>
      <c r="AC1167" s="537" t="n"/>
      <c r="AD1167" s="537" t="n"/>
      <c r="AE1167" s="282" t="n"/>
      <c r="AF1167" s="537" t="n"/>
      <c r="AG1167" s="537" t="n"/>
      <c r="AI1167" s="537" t="n"/>
      <c r="AJ1167" s="537" t="n"/>
      <c r="AK1167" s="282" t="n"/>
      <c r="AL1167" s="286" t="n"/>
      <c r="AM1167" s="286" t="n"/>
      <c r="AN1167" s="282" t="n"/>
    </row>
    <row customHeight="1" ht="15.75" r="1168" s="452" spans="1:41">
      <c r="A1168" s="44" t="n"/>
      <c r="G1168" s="282" t="n"/>
      <c r="J1168" s="282" t="n"/>
      <c r="M1168" s="282" t="n"/>
      <c r="P1168" s="282" t="n"/>
      <c r="S1168" s="282" t="n"/>
      <c r="V1168" s="282" t="n"/>
      <c r="Y1168" s="282" t="n"/>
      <c r="AB1168" s="282" t="n"/>
      <c r="AC1168" s="537" t="n"/>
      <c r="AD1168" s="537" t="n"/>
      <c r="AE1168" s="282" t="n"/>
      <c r="AF1168" s="537" t="n"/>
      <c r="AG1168" s="537" t="n"/>
      <c r="AI1168" s="537" t="n"/>
      <c r="AJ1168" s="537" t="n"/>
      <c r="AK1168" s="282" t="n"/>
      <c r="AL1168" s="286" t="n"/>
      <c r="AM1168" s="286" t="n"/>
      <c r="AN1168" s="282" t="n"/>
    </row>
    <row customHeight="1" ht="15.75" r="1169" s="452" spans="1:41">
      <c r="A1169" s="44" t="n"/>
      <c r="G1169" s="282" t="n"/>
      <c r="J1169" s="282" t="n"/>
      <c r="M1169" s="282" t="n"/>
      <c r="P1169" s="282" t="n"/>
      <c r="S1169" s="282" t="n"/>
      <c r="V1169" s="282" t="n"/>
      <c r="Y1169" s="282" t="n"/>
      <c r="AB1169" s="282" t="n"/>
      <c r="AC1169" s="537" t="n"/>
      <c r="AD1169" s="537" t="n"/>
      <c r="AE1169" s="282" t="n"/>
      <c r="AF1169" s="537" t="n"/>
      <c r="AG1169" s="537" t="n"/>
      <c r="AI1169" s="537" t="n"/>
      <c r="AJ1169" s="537" t="n"/>
      <c r="AK1169" s="282" t="n"/>
      <c r="AL1169" s="286" t="n"/>
      <c r="AM1169" s="286" t="n"/>
      <c r="AN1169" s="282" t="n"/>
    </row>
    <row customHeight="1" ht="15.75" r="1170" s="452" spans="1:41">
      <c r="A1170" s="44" t="n"/>
      <c r="G1170" s="282" t="n"/>
      <c r="J1170" s="282" t="n"/>
      <c r="M1170" s="282" t="n"/>
      <c r="P1170" s="282" t="n"/>
      <c r="S1170" s="282" t="n"/>
      <c r="V1170" s="282" t="n"/>
      <c r="Y1170" s="282" t="n"/>
      <c r="AB1170" s="282" t="n"/>
      <c r="AC1170" s="537" t="n"/>
      <c r="AD1170" s="537" t="n"/>
      <c r="AE1170" s="282" t="n"/>
      <c r="AF1170" s="537" t="n"/>
      <c r="AG1170" s="537" t="n"/>
      <c r="AI1170" s="537" t="n"/>
      <c r="AJ1170" s="537" t="n"/>
      <c r="AK1170" s="282" t="n"/>
      <c r="AL1170" s="286" t="n"/>
      <c r="AM1170" s="286" t="n"/>
      <c r="AN1170" s="282" t="n"/>
    </row>
    <row customHeight="1" ht="15.75" r="1171" s="452" spans="1:41">
      <c r="A1171" s="44" t="n"/>
      <c r="G1171" s="282" t="n"/>
      <c r="J1171" s="282" t="n"/>
      <c r="M1171" s="282" t="n"/>
      <c r="P1171" s="282" t="n"/>
      <c r="S1171" s="282" t="n"/>
      <c r="V1171" s="282" t="n"/>
      <c r="Y1171" s="282" t="n"/>
      <c r="AB1171" s="282" t="n"/>
      <c r="AC1171" s="537" t="n"/>
      <c r="AD1171" s="537" t="n"/>
      <c r="AE1171" s="282" t="n"/>
      <c r="AF1171" s="537" t="n"/>
      <c r="AG1171" s="537" t="n"/>
      <c r="AI1171" s="537" t="n"/>
      <c r="AJ1171" s="537" t="n"/>
      <c r="AK1171" s="282" t="n"/>
      <c r="AL1171" s="286" t="n"/>
      <c r="AM1171" s="286" t="n"/>
      <c r="AN1171" s="282" t="n"/>
    </row>
    <row customHeight="1" ht="15.75" r="1172" s="452" spans="1:41">
      <c r="A1172" s="44" t="n"/>
      <c r="G1172" s="282" t="n"/>
      <c r="J1172" s="282" t="n"/>
      <c r="M1172" s="282" t="n"/>
      <c r="P1172" s="282" t="n"/>
      <c r="S1172" s="282" t="n"/>
      <c r="V1172" s="282" t="n"/>
      <c r="Y1172" s="282" t="n"/>
      <c r="AB1172" s="282" t="n"/>
      <c r="AC1172" s="537" t="n"/>
      <c r="AD1172" s="537" t="n"/>
      <c r="AE1172" s="282" t="n"/>
      <c r="AF1172" s="537" t="n"/>
      <c r="AG1172" s="537" t="n"/>
      <c r="AI1172" s="537" t="n"/>
      <c r="AJ1172" s="537" t="n"/>
      <c r="AK1172" s="282" t="n"/>
      <c r="AL1172" s="286" t="n"/>
      <c r="AM1172" s="286" t="n"/>
      <c r="AN1172" s="282" t="n"/>
    </row>
    <row customHeight="1" ht="15.75" r="1173" s="452" spans="1:41">
      <c r="A1173" s="44" t="n"/>
      <c r="G1173" s="282" t="n"/>
      <c r="J1173" s="282" t="n"/>
      <c r="M1173" s="282" t="n"/>
      <c r="P1173" s="282" t="n"/>
      <c r="S1173" s="282" t="n"/>
      <c r="V1173" s="282" t="n"/>
      <c r="Y1173" s="282" t="n"/>
      <c r="AB1173" s="282" t="n"/>
      <c r="AC1173" s="537" t="n"/>
      <c r="AD1173" s="537" t="n"/>
      <c r="AE1173" s="282" t="n"/>
      <c r="AF1173" s="537" t="n"/>
      <c r="AG1173" s="537" t="n"/>
      <c r="AI1173" s="537" t="n"/>
      <c r="AJ1173" s="537" t="n"/>
      <c r="AK1173" s="282" t="n"/>
      <c r="AL1173" s="286" t="n"/>
      <c r="AM1173" s="286" t="n"/>
      <c r="AN1173" s="282" t="n"/>
    </row>
    <row customHeight="1" ht="15.75" r="1174" s="452" spans="1:41">
      <c r="A1174" s="44" t="n"/>
      <c r="G1174" s="282" t="n"/>
      <c r="J1174" s="282" t="n"/>
      <c r="M1174" s="282" t="n"/>
      <c r="P1174" s="282" t="n"/>
      <c r="S1174" s="282" t="n"/>
      <c r="V1174" s="282" t="n"/>
      <c r="Y1174" s="282" t="n"/>
      <c r="AB1174" s="282" t="n"/>
      <c r="AC1174" s="537" t="n"/>
      <c r="AD1174" s="537" t="n"/>
      <c r="AE1174" s="282" t="n"/>
      <c r="AF1174" s="537" t="n"/>
      <c r="AG1174" s="537" t="n"/>
      <c r="AI1174" s="537" t="n"/>
      <c r="AJ1174" s="537" t="n"/>
      <c r="AK1174" s="282" t="n"/>
      <c r="AL1174" s="286" t="n"/>
      <c r="AM1174" s="286" t="n"/>
      <c r="AN1174" s="282" t="n"/>
    </row>
    <row customHeight="1" ht="15.75" r="1175" s="452" spans="1:41">
      <c r="A1175" s="44" t="n"/>
      <c r="G1175" s="282" t="n"/>
      <c r="J1175" s="282" t="n"/>
      <c r="M1175" s="282" t="n"/>
      <c r="P1175" s="282" t="n"/>
      <c r="S1175" s="282" t="n"/>
      <c r="V1175" s="282" t="n"/>
      <c r="Y1175" s="282" t="n"/>
      <c r="AB1175" s="282" t="n"/>
      <c r="AC1175" s="537" t="n"/>
      <c r="AD1175" s="537" t="n"/>
      <c r="AE1175" s="282" t="n"/>
      <c r="AF1175" s="537" t="n"/>
      <c r="AG1175" s="537" t="n"/>
      <c r="AI1175" s="537" t="n"/>
      <c r="AJ1175" s="537" t="n"/>
      <c r="AK1175" s="282" t="n"/>
      <c r="AL1175" s="286" t="n"/>
      <c r="AM1175" s="286" t="n"/>
      <c r="AN1175" s="282" t="n"/>
    </row>
    <row customHeight="1" ht="15.75" r="1176" s="452" spans="1:41">
      <c r="A1176" s="44" t="n"/>
      <c r="G1176" s="282" t="n"/>
      <c r="J1176" s="282" t="n"/>
      <c r="M1176" s="282" t="n"/>
      <c r="P1176" s="282" t="n"/>
      <c r="S1176" s="282" t="n"/>
      <c r="V1176" s="282" t="n"/>
      <c r="Y1176" s="282" t="n"/>
      <c r="AB1176" s="282" t="n"/>
      <c r="AC1176" s="537" t="n"/>
      <c r="AD1176" s="537" t="n"/>
      <c r="AE1176" s="282" t="n"/>
      <c r="AF1176" s="537" t="n"/>
      <c r="AG1176" s="537" t="n"/>
      <c r="AI1176" s="537" t="n"/>
      <c r="AJ1176" s="537" t="n"/>
      <c r="AK1176" s="282" t="n"/>
      <c r="AL1176" s="286" t="n"/>
      <c r="AM1176" s="286" t="n"/>
      <c r="AN1176" s="282" t="n"/>
    </row>
    <row customHeight="1" ht="15.75" r="1177" s="452" spans="1:41">
      <c r="A1177" s="44" t="n"/>
      <c r="G1177" s="282" t="n"/>
      <c r="J1177" s="282" t="n"/>
      <c r="M1177" s="282" t="n"/>
      <c r="P1177" s="282" t="n"/>
      <c r="S1177" s="282" t="n"/>
      <c r="V1177" s="282" t="n"/>
      <c r="Y1177" s="282" t="n"/>
      <c r="AB1177" s="282" t="n"/>
      <c r="AC1177" s="537" t="n"/>
      <c r="AD1177" s="537" t="n"/>
      <c r="AE1177" s="282" t="n"/>
      <c r="AF1177" s="537" t="n"/>
      <c r="AG1177" s="537" t="n"/>
      <c r="AI1177" s="537" t="n"/>
      <c r="AJ1177" s="537" t="n"/>
      <c r="AK1177" s="282" t="n"/>
      <c r="AL1177" s="286" t="n"/>
      <c r="AM1177" s="286" t="n"/>
      <c r="AN1177" s="282" t="n"/>
    </row>
    <row customHeight="1" ht="15.75" r="1178" s="452" spans="1:41">
      <c r="A1178" s="44" t="n"/>
      <c r="G1178" s="282" t="n"/>
      <c r="J1178" s="282" t="n"/>
      <c r="M1178" s="282" t="n"/>
      <c r="P1178" s="282" t="n"/>
      <c r="S1178" s="282" t="n"/>
      <c r="V1178" s="282" t="n"/>
      <c r="Y1178" s="282" t="n"/>
      <c r="AB1178" s="282" t="n"/>
      <c r="AC1178" s="537" t="n"/>
      <c r="AD1178" s="537" t="n"/>
      <c r="AE1178" s="282" t="n"/>
      <c r="AF1178" s="537" t="n"/>
      <c r="AG1178" s="537" t="n"/>
      <c r="AI1178" s="537" t="n"/>
      <c r="AJ1178" s="537" t="n"/>
      <c r="AK1178" s="282" t="n"/>
      <c r="AL1178" s="286" t="n"/>
      <c r="AM1178" s="286" t="n"/>
      <c r="AN1178" s="282" t="n"/>
    </row>
    <row customHeight="1" ht="15.75" r="1179" s="452" spans="1:41">
      <c r="A1179" s="44" t="n"/>
      <c r="G1179" s="282" t="n"/>
      <c r="J1179" s="282" t="n"/>
      <c r="M1179" s="282" t="n"/>
      <c r="P1179" s="282" t="n"/>
      <c r="S1179" s="282" t="n"/>
      <c r="V1179" s="282" t="n"/>
      <c r="Y1179" s="282" t="n"/>
      <c r="AB1179" s="282" t="n"/>
      <c r="AC1179" s="537" t="n"/>
      <c r="AD1179" s="537" t="n"/>
      <c r="AE1179" s="282" t="n"/>
      <c r="AF1179" s="537" t="n"/>
      <c r="AG1179" s="537" t="n"/>
      <c r="AI1179" s="537" t="n"/>
      <c r="AJ1179" s="537" t="n"/>
      <c r="AK1179" s="282" t="n"/>
      <c r="AL1179" s="286" t="n"/>
      <c r="AM1179" s="286" t="n"/>
      <c r="AN1179" s="282" t="n"/>
    </row>
    <row customHeight="1" ht="15.75" r="1180" s="452" spans="1:41">
      <c r="A1180" s="44" t="n"/>
      <c r="G1180" s="282" t="n"/>
      <c r="J1180" s="282" t="n"/>
      <c r="M1180" s="282" t="n"/>
      <c r="P1180" s="282" t="n"/>
      <c r="S1180" s="282" t="n"/>
      <c r="V1180" s="282" t="n"/>
      <c r="Y1180" s="282" t="n"/>
      <c r="AB1180" s="282" t="n"/>
      <c r="AC1180" s="537" t="n"/>
      <c r="AD1180" s="537" t="n"/>
      <c r="AE1180" s="282" t="n"/>
      <c r="AF1180" s="537" t="n"/>
      <c r="AG1180" s="537" t="n"/>
      <c r="AI1180" s="537" t="n"/>
      <c r="AJ1180" s="537" t="n"/>
      <c r="AK1180" s="282" t="n"/>
      <c r="AL1180" s="286" t="n"/>
      <c r="AM1180" s="286" t="n"/>
      <c r="AN1180" s="282" t="n"/>
    </row>
    <row customHeight="1" ht="15.75" r="1181" s="452" spans="1:41">
      <c r="A1181" s="44" t="n"/>
      <c r="G1181" s="282" t="n"/>
      <c r="J1181" s="282" t="n"/>
      <c r="M1181" s="282" t="n"/>
      <c r="P1181" s="282" t="n"/>
      <c r="S1181" s="282" t="n"/>
      <c r="V1181" s="282" t="n"/>
      <c r="Y1181" s="282" t="n"/>
      <c r="AB1181" s="282" t="n"/>
      <c r="AC1181" s="537" t="n"/>
      <c r="AD1181" s="537" t="n"/>
      <c r="AE1181" s="282" t="n"/>
      <c r="AF1181" s="537" t="n"/>
      <c r="AG1181" s="537" t="n"/>
      <c r="AI1181" s="537" t="n"/>
      <c r="AJ1181" s="537" t="n"/>
      <c r="AK1181" s="282" t="n"/>
      <c r="AL1181" s="286" t="n"/>
      <c r="AM1181" s="286" t="n"/>
      <c r="AN1181" s="282" t="n"/>
    </row>
    <row customHeight="1" ht="15.75" r="1182" s="452" spans="1:41">
      <c r="A1182" s="44" t="n"/>
      <c r="G1182" s="282" t="n"/>
      <c r="J1182" s="282" t="n"/>
      <c r="M1182" s="282" t="n"/>
      <c r="P1182" s="282" t="n"/>
      <c r="S1182" s="282" t="n"/>
      <c r="V1182" s="282" t="n"/>
      <c r="Y1182" s="282" t="n"/>
      <c r="AB1182" s="282" t="n"/>
      <c r="AC1182" s="537" t="n"/>
      <c r="AD1182" s="537" t="n"/>
      <c r="AE1182" s="282" t="n"/>
      <c r="AF1182" s="537" t="n"/>
      <c r="AG1182" s="537" t="n"/>
      <c r="AI1182" s="537" t="n"/>
      <c r="AJ1182" s="537" t="n"/>
      <c r="AK1182" s="282" t="n"/>
      <c r="AL1182" s="286" t="n"/>
      <c r="AM1182" s="286" t="n"/>
      <c r="AN1182" s="282" t="n"/>
    </row>
    <row customHeight="1" ht="15.75" r="1183" s="452" spans="1:41">
      <c r="A1183" s="44" t="n"/>
      <c r="G1183" s="282" t="n"/>
      <c r="J1183" s="282" t="n"/>
      <c r="M1183" s="282" t="n"/>
      <c r="P1183" s="282" t="n"/>
      <c r="S1183" s="282" t="n"/>
      <c r="V1183" s="282" t="n"/>
      <c r="Y1183" s="282" t="n"/>
      <c r="AB1183" s="282" t="n"/>
      <c r="AC1183" s="537" t="n"/>
      <c r="AD1183" s="537" t="n"/>
      <c r="AE1183" s="282" t="n"/>
      <c r="AF1183" s="537" t="n"/>
      <c r="AG1183" s="537" t="n"/>
      <c r="AI1183" s="537" t="n"/>
      <c r="AJ1183" s="537" t="n"/>
      <c r="AK1183" s="282" t="n"/>
      <c r="AL1183" s="286" t="n"/>
      <c r="AM1183" s="286" t="n"/>
      <c r="AN1183" s="282" t="n"/>
    </row>
    <row customHeight="1" ht="15.75" r="1184" s="452" spans="1:41">
      <c r="A1184" s="44" t="n"/>
      <c r="G1184" s="282" t="n"/>
      <c r="J1184" s="282" t="n"/>
      <c r="M1184" s="282" t="n"/>
      <c r="P1184" s="282" t="n"/>
      <c r="S1184" s="282" t="n"/>
      <c r="V1184" s="282" t="n"/>
      <c r="Y1184" s="282" t="n"/>
      <c r="AB1184" s="282" t="n"/>
      <c r="AC1184" s="537" t="n"/>
      <c r="AD1184" s="537" t="n"/>
      <c r="AE1184" s="282" t="n"/>
      <c r="AF1184" s="537" t="n"/>
      <c r="AG1184" s="537" t="n"/>
      <c r="AI1184" s="537" t="n"/>
      <c r="AJ1184" s="537" t="n"/>
      <c r="AK1184" s="282" t="n"/>
      <c r="AL1184" s="286" t="n"/>
      <c r="AM1184" s="286" t="n"/>
      <c r="AN1184" s="282" t="n"/>
    </row>
    <row customHeight="1" ht="15.75" r="1185" s="452" spans="1:41">
      <c r="A1185" s="44" t="n"/>
      <c r="G1185" s="282" t="n"/>
      <c r="J1185" s="282" t="n"/>
      <c r="M1185" s="282" t="n"/>
      <c r="P1185" s="282" t="n"/>
      <c r="S1185" s="282" t="n"/>
      <c r="V1185" s="282" t="n"/>
      <c r="Y1185" s="282" t="n"/>
      <c r="AB1185" s="282" t="n"/>
      <c r="AC1185" s="537" t="n"/>
      <c r="AD1185" s="537" t="n"/>
      <c r="AE1185" s="282" t="n"/>
      <c r="AF1185" s="537" t="n"/>
      <c r="AG1185" s="537" t="n"/>
      <c r="AI1185" s="537" t="n"/>
      <c r="AJ1185" s="537" t="n"/>
      <c r="AK1185" s="282" t="n"/>
      <c r="AL1185" s="286" t="n"/>
      <c r="AM1185" s="286" t="n"/>
      <c r="AN1185" s="282" t="n"/>
    </row>
    <row customHeight="1" ht="15.75" r="1186" s="452" spans="1:41">
      <c r="A1186" s="44" t="n"/>
      <c r="G1186" s="282" t="n"/>
      <c r="J1186" s="282" t="n"/>
      <c r="M1186" s="282" t="n"/>
      <c r="P1186" s="282" t="n"/>
      <c r="S1186" s="282" t="n"/>
      <c r="V1186" s="282" t="n"/>
      <c r="Y1186" s="282" t="n"/>
      <c r="AB1186" s="282" t="n"/>
      <c r="AC1186" s="537" t="n"/>
      <c r="AD1186" s="537" t="n"/>
      <c r="AE1186" s="282" t="n"/>
      <c r="AF1186" s="537" t="n"/>
      <c r="AG1186" s="537" t="n"/>
      <c r="AI1186" s="537" t="n"/>
      <c r="AJ1186" s="537" t="n"/>
      <c r="AK1186" s="282" t="n"/>
      <c r="AL1186" s="286" t="n"/>
      <c r="AM1186" s="286" t="n"/>
      <c r="AN1186" s="282" t="n"/>
    </row>
    <row customHeight="1" ht="15.75" r="1187" s="452" spans="1:41">
      <c r="A1187" s="44" t="n"/>
      <c r="G1187" s="282" t="n"/>
      <c r="J1187" s="282" t="n"/>
      <c r="M1187" s="282" t="n"/>
      <c r="P1187" s="282" t="n"/>
      <c r="S1187" s="282" t="n"/>
      <c r="V1187" s="282" t="n"/>
      <c r="Y1187" s="282" t="n"/>
      <c r="AB1187" s="282" t="n"/>
      <c r="AC1187" s="537" t="n"/>
      <c r="AD1187" s="537" t="n"/>
      <c r="AE1187" s="282" t="n"/>
      <c r="AF1187" s="537" t="n"/>
      <c r="AG1187" s="537" t="n"/>
      <c r="AI1187" s="537" t="n"/>
      <c r="AJ1187" s="537" t="n"/>
      <c r="AK1187" s="282" t="n"/>
      <c r="AL1187" s="286" t="n"/>
      <c r="AM1187" s="286" t="n"/>
      <c r="AN1187" s="282" t="n"/>
    </row>
    <row customHeight="1" ht="15.75" r="1188" s="452" spans="1:41">
      <c r="A1188" s="44" t="n"/>
      <c r="G1188" s="282" t="n"/>
      <c r="J1188" s="282" t="n"/>
      <c r="M1188" s="282" t="n"/>
      <c r="P1188" s="282" t="n"/>
      <c r="S1188" s="282" t="n"/>
      <c r="V1188" s="282" t="n"/>
      <c r="Y1188" s="282" t="n"/>
      <c r="AB1188" s="282" t="n"/>
      <c r="AC1188" s="537" t="n"/>
      <c r="AD1188" s="537" t="n"/>
      <c r="AE1188" s="282" t="n"/>
      <c r="AF1188" s="537" t="n"/>
      <c r="AG1188" s="537" t="n"/>
      <c r="AI1188" s="537" t="n"/>
      <c r="AJ1188" s="537" t="n"/>
      <c r="AK1188" s="282" t="n"/>
      <c r="AL1188" s="286" t="n"/>
      <c r="AM1188" s="286" t="n"/>
      <c r="AN1188" s="282" t="n"/>
    </row>
    <row customHeight="1" ht="15.75" r="1189" s="452" spans="1:41">
      <c r="A1189" s="44" t="n"/>
      <c r="G1189" s="282" t="n"/>
      <c r="J1189" s="282" t="n"/>
      <c r="M1189" s="282" t="n"/>
      <c r="P1189" s="282" t="n"/>
      <c r="S1189" s="282" t="n"/>
      <c r="V1189" s="282" t="n"/>
      <c r="Y1189" s="282" t="n"/>
      <c r="AB1189" s="282" t="n"/>
      <c r="AC1189" s="537" t="n"/>
      <c r="AD1189" s="537" t="n"/>
      <c r="AE1189" s="282" t="n"/>
      <c r="AF1189" s="537" t="n"/>
      <c r="AG1189" s="537" t="n"/>
      <c r="AI1189" s="537" t="n"/>
      <c r="AJ1189" s="537" t="n"/>
      <c r="AK1189" s="282" t="n"/>
      <c r="AL1189" s="286" t="n"/>
      <c r="AM1189" s="286" t="n"/>
      <c r="AN1189" s="282" t="n"/>
    </row>
    <row customHeight="1" ht="15.75" r="1190" s="452" spans="1:41">
      <c r="A1190" s="44" t="n"/>
      <c r="G1190" s="282" t="n"/>
      <c r="J1190" s="282" t="n"/>
      <c r="M1190" s="282" t="n"/>
      <c r="P1190" s="282" t="n"/>
      <c r="S1190" s="282" t="n"/>
      <c r="V1190" s="282" t="n"/>
      <c r="Y1190" s="282" t="n"/>
      <c r="AB1190" s="282" t="n"/>
      <c r="AC1190" s="537" t="n"/>
      <c r="AD1190" s="537" t="n"/>
      <c r="AE1190" s="282" t="n"/>
      <c r="AF1190" s="537" t="n"/>
      <c r="AG1190" s="537" t="n"/>
      <c r="AI1190" s="537" t="n"/>
      <c r="AJ1190" s="537" t="n"/>
      <c r="AK1190" s="282" t="n"/>
      <c r="AL1190" s="286" t="n"/>
      <c r="AM1190" s="286" t="n"/>
      <c r="AN1190" s="282" t="n"/>
    </row>
    <row customHeight="1" ht="15.75" r="1191" s="452" spans="1:41">
      <c r="A1191" s="44" t="n"/>
      <c r="G1191" s="282" t="n"/>
      <c r="J1191" s="282" t="n"/>
      <c r="M1191" s="282" t="n"/>
      <c r="P1191" s="282" t="n"/>
      <c r="S1191" s="282" t="n"/>
      <c r="V1191" s="282" t="n"/>
      <c r="Y1191" s="282" t="n"/>
      <c r="AB1191" s="282" t="n"/>
      <c r="AC1191" s="537" t="n"/>
      <c r="AD1191" s="537" t="n"/>
      <c r="AE1191" s="282" t="n"/>
      <c r="AF1191" s="537" t="n"/>
      <c r="AG1191" s="537" t="n"/>
      <c r="AI1191" s="537" t="n"/>
      <c r="AJ1191" s="537" t="n"/>
      <c r="AK1191" s="282" t="n"/>
      <c r="AL1191" s="286" t="n"/>
      <c r="AM1191" s="286" t="n"/>
      <c r="AN1191" s="282" t="n"/>
    </row>
    <row customHeight="1" ht="15.75" r="1192" s="452" spans="1:41">
      <c r="A1192" s="44" t="n"/>
      <c r="G1192" s="282" t="n"/>
      <c r="J1192" s="282" t="n"/>
      <c r="M1192" s="282" t="n"/>
      <c r="P1192" s="282" t="n"/>
      <c r="S1192" s="282" t="n"/>
      <c r="V1192" s="282" t="n"/>
      <c r="Y1192" s="282" t="n"/>
      <c r="AB1192" s="282" t="n"/>
      <c r="AC1192" s="537" t="n"/>
      <c r="AD1192" s="537" t="n"/>
      <c r="AE1192" s="282" t="n"/>
      <c r="AF1192" s="537" t="n"/>
      <c r="AG1192" s="537" t="n"/>
      <c r="AI1192" s="537" t="n"/>
      <c r="AJ1192" s="537" t="n"/>
      <c r="AK1192" s="282" t="n"/>
      <c r="AL1192" s="286" t="n"/>
      <c r="AM1192" s="286" t="n"/>
      <c r="AN1192" s="282" t="n"/>
    </row>
    <row customHeight="1" ht="15.75" r="1193" s="452" spans="1:41">
      <c r="A1193" s="44" t="n"/>
      <c r="G1193" s="282" t="n"/>
      <c r="J1193" s="282" t="n"/>
      <c r="M1193" s="282" t="n"/>
      <c r="P1193" s="282" t="n"/>
      <c r="S1193" s="282" t="n"/>
      <c r="V1193" s="282" t="n"/>
      <c r="Y1193" s="282" t="n"/>
      <c r="AB1193" s="282" t="n"/>
      <c r="AC1193" s="537" t="n"/>
      <c r="AD1193" s="537" t="n"/>
      <c r="AE1193" s="282" t="n"/>
      <c r="AF1193" s="537" t="n"/>
      <c r="AG1193" s="537" t="n"/>
      <c r="AI1193" s="537" t="n"/>
      <c r="AJ1193" s="537" t="n"/>
      <c r="AK1193" s="282" t="n"/>
      <c r="AL1193" s="286" t="n"/>
      <c r="AM1193" s="286" t="n"/>
      <c r="AN1193" s="282" t="n"/>
    </row>
    <row customHeight="1" ht="15.75" r="1194" s="452" spans="1:41">
      <c r="A1194" s="44" t="n"/>
      <c r="G1194" s="282" t="n"/>
      <c r="J1194" s="282" t="n"/>
      <c r="M1194" s="282" t="n"/>
      <c r="P1194" s="282" t="n"/>
      <c r="S1194" s="282" t="n"/>
      <c r="V1194" s="282" t="n"/>
      <c r="Y1194" s="282" t="n"/>
      <c r="AB1194" s="282" t="n"/>
      <c r="AC1194" s="537" t="n"/>
      <c r="AD1194" s="537" t="n"/>
      <c r="AE1194" s="282" t="n"/>
      <c r="AF1194" s="537" t="n"/>
      <c r="AG1194" s="537" t="n"/>
      <c r="AI1194" s="537" t="n"/>
      <c r="AJ1194" s="537" t="n"/>
      <c r="AK1194" s="282" t="n"/>
      <c r="AL1194" s="286" t="n"/>
      <c r="AM1194" s="286" t="n"/>
      <c r="AN1194" s="282" t="n"/>
    </row>
    <row customHeight="1" ht="15.75" r="1195" s="452" spans="1:41">
      <c r="A1195" s="44" t="n"/>
      <c r="G1195" s="282" t="n"/>
      <c r="J1195" s="282" t="n"/>
      <c r="M1195" s="282" t="n"/>
      <c r="P1195" s="282" t="n"/>
      <c r="S1195" s="282" t="n"/>
      <c r="V1195" s="282" t="n"/>
      <c r="Y1195" s="282" t="n"/>
      <c r="AB1195" s="282" t="n"/>
      <c r="AC1195" s="537" t="n"/>
      <c r="AD1195" s="537" t="n"/>
      <c r="AE1195" s="282" t="n"/>
      <c r="AF1195" s="537" t="n"/>
      <c r="AG1195" s="537" t="n"/>
      <c r="AI1195" s="537" t="n"/>
      <c r="AJ1195" s="537" t="n"/>
      <c r="AK1195" s="282" t="n"/>
      <c r="AL1195" s="286" t="n"/>
      <c r="AM1195" s="286" t="n"/>
      <c r="AN1195" s="282" t="n"/>
    </row>
    <row customHeight="1" ht="15.75" r="1196" s="452" spans="1:41">
      <c r="A1196" s="44" t="n"/>
      <c r="G1196" s="282" t="n"/>
      <c r="J1196" s="282" t="n"/>
      <c r="M1196" s="282" t="n"/>
      <c r="P1196" s="282" t="n"/>
      <c r="S1196" s="282" t="n"/>
      <c r="V1196" s="282" t="n"/>
      <c r="Y1196" s="282" t="n"/>
      <c r="AB1196" s="282" t="n"/>
      <c r="AC1196" s="537" t="n"/>
      <c r="AD1196" s="537" t="n"/>
      <c r="AE1196" s="282" t="n"/>
      <c r="AF1196" s="537" t="n"/>
      <c r="AG1196" s="537" t="n"/>
      <c r="AI1196" s="537" t="n"/>
      <c r="AJ1196" s="537" t="n"/>
      <c r="AK1196" s="282" t="n"/>
      <c r="AL1196" s="286" t="n"/>
      <c r="AM1196" s="286" t="n"/>
      <c r="AN1196" s="282" t="n"/>
    </row>
    <row customHeight="1" ht="15.75" r="1197" s="452" spans="1:41">
      <c r="A1197" s="44" t="n"/>
      <c r="G1197" s="282" t="n"/>
      <c r="J1197" s="282" t="n"/>
      <c r="M1197" s="282" t="n"/>
      <c r="P1197" s="282" t="n"/>
      <c r="S1197" s="282" t="n"/>
      <c r="V1197" s="282" t="n"/>
      <c r="Y1197" s="282" t="n"/>
      <c r="AB1197" s="282" t="n"/>
      <c r="AC1197" s="537" t="n"/>
      <c r="AD1197" s="537" t="n"/>
      <c r="AE1197" s="282" t="n"/>
      <c r="AF1197" s="537" t="n"/>
      <c r="AG1197" s="537" t="n"/>
      <c r="AI1197" s="537" t="n"/>
      <c r="AJ1197" s="537" t="n"/>
      <c r="AK1197" s="282" t="n"/>
      <c r="AL1197" s="286" t="n"/>
      <c r="AM1197" s="286" t="n"/>
      <c r="AN1197" s="282" t="n"/>
    </row>
    <row customHeight="1" ht="15.75" r="1198" s="452" spans="1:41">
      <c r="A1198" s="44" t="n"/>
      <c r="G1198" s="282" t="n"/>
      <c r="J1198" s="282" t="n"/>
      <c r="M1198" s="282" t="n"/>
      <c r="P1198" s="282" t="n"/>
      <c r="S1198" s="282" t="n"/>
      <c r="V1198" s="282" t="n"/>
      <c r="Y1198" s="282" t="n"/>
      <c r="AB1198" s="282" t="n"/>
      <c r="AC1198" s="537" t="n"/>
      <c r="AD1198" s="537" t="n"/>
      <c r="AE1198" s="282" t="n"/>
      <c r="AF1198" s="537" t="n"/>
      <c r="AG1198" s="537" t="n"/>
      <c r="AI1198" s="537" t="n"/>
      <c r="AJ1198" s="537" t="n"/>
      <c r="AK1198" s="282" t="n"/>
      <c r="AL1198" s="286" t="n"/>
      <c r="AM1198" s="286" t="n"/>
      <c r="AN1198" s="282" t="n"/>
    </row>
    <row customHeight="1" ht="15.75" r="1199" s="452" spans="1:41">
      <c r="A1199" s="44" t="n"/>
      <c r="G1199" s="282" t="n"/>
      <c r="J1199" s="282" t="n"/>
      <c r="M1199" s="282" t="n"/>
      <c r="P1199" s="282" t="n"/>
      <c r="S1199" s="282" t="n"/>
      <c r="V1199" s="282" t="n"/>
      <c r="Y1199" s="282" t="n"/>
      <c r="AB1199" s="282" t="n"/>
      <c r="AC1199" s="537" t="n"/>
      <c r="AD1199" s="537" t="n"/>
      <c r="AE1199" s="282" t="n"/>
      <c r="AF1199" s="537" t="n"/>
      <c r="AG1199" s="537" t="n"/>
      <c r="AI1199" s="537" t="n"/>
      <c r="AJ1199" s="537" t="n"/>
      <c r="AK1199" s="282" t="n"/>
      <c r="AL1199" s="286" t="n"/>
      <c r="AM1199" s="286" t="n"/>
      <c r="AN1199" s="282" t="n"/>
    </row>
    <row customHeight="1" ht="15.75" r="1200" s="452" spans="1:41">
      <c r="A1200" s="44" t="n"/>
      <c r="G1200" s="282" t="n"/>
      <c r="J1200" s="282" t="n"/>
      <c r="M1200" s="282" t="n"/>
      <c r="P1200" s="282" t="n"/>
      <c r="S1200" s="282" t="n"/>
      <c r="V1200" s="282" t="n"/>
      <c r="Y1200" s="282" t="n"/>
      <c r="AB1200" s="282" t="n"/>
      <c r="AC1200" s="537" t="n"/>
      <c r="AD1200" s="537" t="n"/>
      <c r="AE1200" s="282" t="n"/>
      <c r="AF1200" s="537" t="n"/>
      <c r="AG1200" s="537" t="n"/>
      <c r="AI1200" s="537" t="n"/>
      <c r="AJ1200" s="537" t="n"/>
      <c r="AK1200" s="282" t="n"/>
      <c r="AL1200" s="286" t="n"/>
      <c r="AM1200" s="286" t="n"/>
      <c r="AN1200" s="282" t="n"/>
    </row>
    <row customHeight="1" ht="15.75" r="1201" s="452" spans="1:41">
      <c r="A1201" s="44" t="n"/>
      <c r="G1201" s="282" t="n"/>
      <c r="J1201" s="282" t="n"/>
      <c r="M1201" s="282" t="n"/>
      <c r="P1201" s="282" t="n"/>
      <c r="S1201" s="282" t="n"/>
      <c r="V1201" s="282" t="n"/>
      <c r="Y1201" s="282" t="n"/>
      <c r="AB1201" s="282" t="n"/>
      <c r="AC1201" s="537" t="n"/>
      <c r="AD1201" s="537" t="n"/>
      <c r="AE1201" s="282" t="n"/>
      <c r="AF1201" s="537" t="n"/>
      <c r="AG1201" s="537" t="n"/>
      <c r="AI1201" s="537" t="n"/>
      <c r="AJ1201" s="537" t="n"/>
      <c r="AK1201" s="282" t="n"/>
      <c r="AL1201" s="286" t="n"/>
      <c r="AM1201" s="286" t="n"/>
      <c r="AN1201" s="282" t="n"/>
    </row>
    <row customHeight="1" ht="15.75" r="1202" s="452" spans="1:41">
      <c r="A1202" s="44" t="n"/>
      <c r="G1202" s="282" t="n"/>
      <c r="J1202" s="282" t="n"/>
      <c r="M1202" s="282" t="n"/>
      <c r="P1202" s="282" t="n"/>
      <c r="S1202" s="282" t="n"/>
      <c r="V1202" s="282" t="n"/>
      <c r="Y1202" s="282" t="n"/>
      <c r="AB1202" s="282" t="n"/>
      <c r="AC1202" s="537" t="n"/>
      <c r="AD1202" s="537" t="n"/>
      <c r="AE1202" s="282" t="n"/>
      <c r="AF1202" s="537" t="n"/>
      <c r="AG1202" s="537" t="n"/>
      <c r="AI1202" s="537" t="n"/>
      <c r="AJ1202" s="537" t="n"/>
      <c r="AK1202" s="282" t="n"/>
      <c r="AL1202" s="286" t="n"/>
      <c r="AM1202" s="286" t="n"/>
      <c r="AN1202" s="282" t="n"/>
    </row>
    <row customHeight="1" ht="15.75" r="1203" s="452" spans="1:41">
      <c r="A1203" s="44" t="n"/>
      <c r="G1203" s="282" t="n"/>
      <c r="J1203" s="282" t="n"/>
      <c r="M1203" s="282" t="n"/>
      <c r="P1203" s="282" t="n"/>
      <c r="S1203" s="282" t="n"/>
      <c r="V1203" s="282" t="n"/>
      <c r="Y1203" s="282" t="n"/>
      <c r="AB1203" s="282" t="n"/>
      <c r="AC1203" s="537" t="n"/>
      <c r="AD1203" s="537" t="n"/>
      <c r="AE1203" s="282" t="n"/>
      <c r="AF1203" s="537" t="n"/>
      <c r="AG1203" s="537" t="n"/>
      <c r="AI1203" s="537" t="n"/>
      <c r="AJ1203" s="537" t="n"/>
      <c r="AK1203" s="282" t="n"/>
      <c r="AL1203" s="286" t="n"/>
      <c r="AM1203" s="286" t="n"/>
      <c r="AN1203" s="282" t="n"/>
    </row>
    <row customHeight="1" ht="15.75" r="1204" s="452" spans="1:41">
      <c r="A1204" s="44" t="n"/>
      <c r="G1204" s="282" t="n"/>
      <c r="J1204" s="282" t="n"/>
      <c r="M1204" s="282" t="n"/>
      <c r="P1204" s="282" t="n"/>
      <c r="S1204" s="282" t="n"/>
      <c r="V1204" s="282" t="n"/>
      <c r="Y1204" s="282" t="n"/>
      <c r="AB1204" s="282" t="n"/>
      <c r="AC1204" s="537" t="n"/>
      <c r="AD1204" s="537" t="n"/>
      <c r="AE1204" s="282" t="n"/>
      <c r="AF1204" s="537" t="n"/>
      <c r="AG1204" s="537" t="n"/>
      <c r="AI1204" s="537" t="n"/>
      <c r="AJ1204" s="537" t="n"/>
      <c r="AK1204" s="282" t="n"/>
      <c r="AL1204" s="286" t="n"/>
      <c r="AM1204" s="286" t="n"/>
      <c r="AN1204" s="282" t="n"/>
    </row>
    <row customHeight="1" ht="15.75" r="1205" s="452" spans="1:41">
      <c r="A1205" s="44" t="n"/>
      <c r="G1205" s="282" t="n"/>
      <c r="J1205" s="282" t="n"/>
      <c r="M1205" s="282" t="n"/>
      <c r="P1205" s="282" t="n"/>
      <c r="S1205" s="282" t="n"/>
      <c r="V1205" s="282" t="n"/>
      <c r="Y1205" s="282" t="n"/>
      <c r="AB1205" s="282" t="n"/>
      <c r="AC1205" s="537" t="n"/>
      <c r="AD1205" s="537" t="n"/>
      <c r="AE1205" s="282" t="n"/>
      <c r="AF1205" s="537" t="n"/>
      <c r="AG1205" s="537" t="n"/>
      <c r="AI1205" s="537" t="n"/>
      <c r="AJ1205" s="537" t="n"/>
      <c r="AK1205" s="282" t="n"/>
      <c r="AL1205" s="286" t="n"/>
      <c r="AM1205" s="286" t="n"/>
      <c r="AN1205" s="282" t="n"/>
    </row>
    <row customHeight="1" ht="15.75" r="1206" s="452" spans="1:41">
      <c r="A1206" s="44" t="n"/>
      <c r="G1206" s="282" t="n"/>
      <c r="J1206" s="282" t="n"/>
      <c r="M1206" s="282" t="n"/>
      <c r="P1206" s="282" t="n"/>
      <c r="S1206" s="282" t="n"/>
      <c r="V1206" s="282" t="n"/>
      <c r="Y1206" s="282" t="n"/>
      <c r="AB1206" s="282" t="n"/>
      <c r="AC1206" s="537" t="n"/>
      <c r="AD1206" s="537" t="n"/>
      <c r="AE1206" s="282" t="n"/>
      <c r="AF1206" s="537" t="n"/>
      <c r="AG1206" s="537" t="n"/>
      <c r="AI1206" s="537" t="n"/>
      <c r="AJ1206" s="537" t="n"/>
      <c r="AK1206" s="282" t="n"/>
      <c r="AL1206" s="286" t="n"/>
      <c r="AM1206" s="286" t="n"/>
      <c r="AN1206" s="282" t="n"/>
    </row>
    <row customHeight="1" ht="15.75" r="1207" s="452" spans="1:41">
      <c r="A1207" s="44" t="n"/>
      <c r="G1207" s="282" t="n"/>
      <c r="J1207" s="282" t="n"/>
      <c r="M1207" s="282" t="n"/>
      <c r="P1207" s="282" t="n"/>
      <c r="S1207" s="282" t="n"/>
      <c r="V1207" s="282" t="n"/>
      <c r="Y1207" s="282" t="n"/>
      <c r="AB1207" s="282" t="n"/>
      <c r="AC1207" s="537" t="n"/>
      <c r="AD1207" s="537" t="n"/>
      <c r="AE1207" s="282" t="n"/>
      <c r="AF1207" s="537" t="n"/>
      <c r="AG1207" s="537" t="n"/>
      <c r="AI1207" s="537" t="n"/>
      <c r="AJ1207" s="537" t="n"/>
      <c r="AK1207" s="282" t="n"/>
      <c r="AL1207" s="286" t="n"/>
      <c r="AM1207" s="286" t="n"/>
      <c r="AN1207" s="282" t="n"/>
    </row>
    <row customHeight="1" ht="15.75" r="1208" s="452" spans="1:41">
      <c r="A1208" s="44" t="n"/>
      <c r="G1208" s="282" t="n"/>
      <c r="J1208" s="282" t="n"/>
      <c r="M1208" s="282" t="n"/>
      <c r="P1208" s="282" t="n"/>
      <c r="S1208" s="282" t="n"/>
      <c r="V1208" s="282" t="n"/>
      <c r="Y1208" s="282" t="n"/>
      <c r="AB1208" s="282" t="n"/>
      <c r="AC1208" s="537" t="n"/>
      <c r="AD1208" s="537" t="n"/>
      <c r="AE1208" s="282" t="n"/>
      <c r="AF1208" s="537" t="n"/>
      <c r="AG1208" s="537" t="n"/>
      <c r="AI1208" s="537" t="n"/>
      <c r="AJ1208" s="537" t="n"/>
      <c r="AK1208" s="282" t="n"/>
      <c r="AL1208" s="286" t="n"/>
      <c r="AM1208" s="286" t="n"/>
      <c r="AN1208" s="282" t="n"/>
    </row>
    <row customHeight="1" ht="15.75" r="1209" s="452" spans="1:41">
      <c r="A1209" s="44" t="n"/>
      <c r="G1209" s="282" t="n"/>
      <c r="J1209" s="282" t="n"/>
      <c r="M1209" s="282" t="n"/>
      <c r="P1209" s="282" t="n"/>
      <c r="S1209" s="282" t="n"/>
      <c r="V1209" s="282" t="n"/>
      <c r="Y1209" s="282" t="n"/>
      <c r="AB1209" s="282" t="n"/>
      <c r="AC1209" s="537" t="n"/>
      <c r="AD1209" s="537" t="n"/>
      <c r="AE1209" s="282" t="n"/>
      <c r="AF1209" s="537" t="n"/>
      <c r="AG1209" s="537" t="n"/>
      <c r="AI1209" s="537" t="n"/>
      <c r="AJ1209" s="537" t="n"/>
      <c r="AK1209" s="282" t="n"/>
      <c r="AL1209" s="286" t="n"/>
      <c r="AM1209" s="286" t="n"/>
      <c r="AN1209" s="282" t="n"/>
    </row>
    <row customHeight="1" ht="15.75" r="1210" s="452" spans="1:41">
      <c r="A1210" s="44" t="n"/>
      <c r="G1210" s="282" t="n"/>
      <c r="J1210" s="282" t="n"/>
      <c r="M1210" s="282" t="n"/>
      <c r="P1210" s="282" t="n"/>
      <c r="S1210" s="282" t="n"/>
      <c r="V1210" s="282" t="n"/>
      <c r="Y1210" s="282" t="n"/>
      <c r="AB1210" s="282" t="n"/>
      <c r="AC1210" s="537" t="n"/>
      <c r="AD1210" s="537" t="n"/>
      <c r="AE1210" s="282" t="n"/>
      <c r="AF1210" s="537" t="n"/>
      <c r="AG1210" s="537" t="n"/>
      <c r="AI1210" s="537" t="n"/>
      <c r="AJ1210" s="537" t="n"/>
      <c r="AK1210" s="282" t="n"/>
      <c r="AL1210" s="286" t="n"/>
      <c r="AM1210" s="286" t="n"/>
      <c r="AN1210" s="282" t="n"/>
    </row>
    <row customHeight="1" ht="15.75" r="1211" s="452" spans="1:41">
      <c r="A1211" s="44" t="n"/>
      <c r="G1211" s="282" t="n"/>
      <c r="J1211" s="282" t="n"/>
      <c r="M1211" s="282" t="n"/>
      <c r="P1211" s="282" t="n"/>
      <c r="S1211" s="282" t="n"/>
      <c r="V1211" s="282" t="n"/>
      <c r="Y1211" s="282" t="n"/>
      <c r="AB1211" s="282" t="n"/>
      <c r="AC1211" s="537" t="n"/>
      <c r="AD1211" s="537" t="n"/>
      <c r="AE1211" s="282" t="n"/>
      <c r="AF1211" s="537" t="n"/>
      <c r="AG1211" s="537" t="n"/>
      <c r="AI1211" s="537" t="n"/>
      <c r="AJ1211" s="537" t="n"/>
      <c r="AK1211" s="282" t="n"/>
      <c r="AL1211" s="286" t="n"/>
      <c r="AM1211" s="286" t="n"/>
      <c r="AN1211" s="282" t="n"/>
    </row>
    <row customHeight="1" ht="15.75" r="1212" s="452" spans="1:41">
      <c r="A1212" s="44" t="n"/>
      <c r="G1212" s="282" t="n"/>
      <c r="J1212" s="282" t="n"/>
      <c r="M1212" s="282" t="n"/>
      <c r="P1212" s="282" t="n"/>
      <c r="S1212" s="282" t="n"/>
      <c r="V1212" s="282" t="n"/>
      <c r="Y1212" s="282" t="n"/>
      <c r="AB1212" s="282" t="n"/>
      <c r="AC1212" s="537" t="n"/>
      <c r="AD1212" s="537" t="n"/>
      <c r="AE1212" s="282" t="n"/>
      <c r="AF1212" s="537" t="n"/>
      <c r="AG1212" s="537" t="n"/>
      <c r="AI1212" s="537" t="n"/>
      <c r="AJ1212" s="537" t="n"/>
      <c r="AK1212" s="282" t="n"/>
      <c r="AL1212" s="286" t="n"/>
      <c r="AM1212" s="286" t="n"/>
      <c r="AN1212" s="282" t="n"/>
    </row>
    <row customHeight="1" ht="15.75" r="1213" s="452" spans="1:41">
      <c r="A1213" s="44" t="n"/>
      <c r="G1213" s="282" t="n"/>
      <c r="J1213" s="282" t="n"/>
      <c r="M1213" s="282" t="n"/>
      <c r="P1213" s="282" t="n"/>
      <c r="S1213" s="282" t="n"/>
      <c r="V1213" s="282" t="n"/>
      <c r="Y1213" s="282" t="n"/>
      <c r="AB1213" s="282" t="n"/>
      <c r="AC1213" s="537" t="n"/>
      <c r="AD1213" s="537" t="n"/>
      <c r="AE1213" s="282" t="n"/>
      <c r="AF1213" s="537" t="n"/>
      <c r="AG1213" s="537" t="n"/>
      <c r="AI1213" s="537" t="n"/>
      <c r="AJ1213" s="537" t="n"/>
      <c r="AK1213" s="282" t="n"/>
      <c r="AL1213" s="286" t="n"/>
      <c r="AM1213" s="286" t="n"/>
      <c r="AN1213" s="282" t="n"/>
    </row>
    <row customHeight="1" ht="15.75" r="1214" s="452" spans="1:41">
      <c r="A1214" s="44" t="n"/>
      <c r="G1214" s="282" t="n"/>
      <c r="J1214" s="282" t="n"/>
      <c r="M1214" s="282" t="n"/>
      <c r="P1214" s="282" t="n"/>
      <c r="S1214" s="282" t="n"/>
      <c r="V1214" s="282" t="n"/>
      <c r="Y1214" s="282" t="n"/>
      <c r="AB1214" s="282" t="n"/>
      <c r="AC1214" s="537" t="n"/>
      <c r="AD1214" s="537" t="n"/>
      <c r="AE1214" s="282" t="n"/>
      <c r="AF1214" s="537" t="n"/>
      <c r="AG1214" s="537" t="n"/>
      <c r="AI1214" s="537" t="n"/>
      <c r="AJ1214" s="537" t="n"/>
      <c r="AK1214" s="282" t="n"/>
      <c r="AL1214" s="286" t="n"/>
      <c r="AM1214" s="286" t="n"/>
      <c r="AN1214" s="282" t="n"/>
    </row>
    <row customHeight="1" ht="15.75" r="1215" s="452" spans="1:41">
      <c r="A1215" s="44" t="n"/>
      <c r="G1215" s="282" t="n"/>
      <c r="J1215" s="282" t="n"/>
      <c r="M1215" s="282" t="n"/>
      <c r="P1215" s="282" t="n"/>
      <c r="S1215" s="282" t="n"/>
      <c r="V1215" s="282" t="n"/>
      <c r="Y1215" s="282" t="n"/>
      <c r="AB1215" s="282" t="n"/>
      <c r="AC1215" s="537" t="n"/>
      <c r="AD1215" s="537" t="n"/>
      <c r="AE1215" s="282" t="n"/>
      <c r="AF1215" s="537" t="n"/>
      <c r="AG1215" s="537" t="n"/>
      <c r="AI1215" s="537" t="n"/>
      <c r="AJ1215" s="537" t="n"/>
      <c r="AK1215" s="282" t="n"/>
      <c r="AL1215" s="286" t="n"/>
      <c r="AM1215" s="286" t="n"/>
      <c r="AN1215" s="282" t="n"/>
    </row>
    <row customHeight="1" ht="15.75" r="1216" s="452" spans="1:41">
      <c r="A1216" s="44" t="n"/>
      <c r="G1216" s="282" t="n"/>
      <c r="J1216" s="282" t="n"/>
      <c r="M1216" s="282" t="n"/>
      <c r="P1216" s="282" t="n"/>
      <c r="S1216" s="282" t="n"/>
      <c r="V1216" s="282" t="n"/>
      <c r="Y1216" s="282" t="n"/>
      <c r="AB1216" s="282" t="n"/>
      <c r="AC1216" s="537" t="n"/>
      <c r="AD1216" s="537" t="n"/>
      <c r="AE1216" s="282" t="n"/>
      <c r="AF1216" s="537" t="n"/>
      <c r="AG1216" s="537" t="n"/>
      <c r="AI1216" s="537" t="n"/>
      <c r="AJ1216" s="537" t="n"/>
      <c r="AK1216" s="282" t="n"/>
      <c r="AL1216" s="286" t="n"/>
      <c r="AM1216" s="286" t="n"/>
      <c r="AN1216" s="282" t="n"/>
    </row>
    <row customHeight="1" ht="15.75" r="1217" s="452" spans="1:41">
      <c r="A1217" s="44" t="n"/>
      <c r="G1217" s="282" t="n"/>
      <c r="J1217" s="282" t="n"/>
      <c r="M1217" s="282" t="n"/>
      <c r="P1217" s="282" t="n"/>
      <c r="S1217" s="282" t="n"/>
      <c r="V1217" s="282" t="n"/>
      <c r="Y1217" s="282" t="n"/>
      <c r="AB1217" s="282" t="n"/>
      <c r="AC1217" s="537" t="n"/>
      <c r="AD1217" s="537" t="n"/>
      <c r="AE1217" s="282" t="n"/>
      <c r="AF1217" s="537" t="n"/>
      <c r="AG1217" s="537" t="n"/>
      <c r="AI1217" s="537" t="n"/>
      <c r="AJ1217" s="537" t="n"/>
      <c r="AK1217" s="282" t="n"/>
      <c r="AL1217" s="286" t="n"/>
      <c r="AM1217" s="286" t="n"/>
      <c r="AN1217" s="282" t="n"/>
    </row>
    <row customHeight="1" ht="15.75" r="1218" s="452" spans="1:41">
      <c r="A1218" s="44" t="n"/>
      <c r="G1218" s="282" t="n"/>
      <c r="J1218" s="282" t="n"/>
      <c r="M1218" s="282" t="n"/>
      <c r="P1218" s="282" t="n"/>
      <c r="S1218" s="282" t="n"/>
      <c r="V1218" s="282" t="n"/>
      <c r="Y1218" s="282" t="n"/>
      <c r="AB1218" s="282" t="n"/>
      <c r="AC1218" s="537" t="n"/>
      <c r="AD1218" s="537" t="n"/>
      <c r="AE1218" s="282" t="n"/>
      <c r="AF1218" s="537" t="n"/>
      <c r="AG1218" s="537" t="n"/>
      <c r="AI1218" s="537" t="n"/>
      <c r="AJ1218" s="537" t="n"/>
      <c r="AK1218" s="282" t="n"/>
      <c r="AL1218" s="286" t="n"/>
      <c r="AM1218" s="286" t="n"/>
      <c r="AN1218" s="282" t="n"/>
    </row>
    <row customHeight="1" ht="15.75" r="1219" s="452" spans="1:41">
      <c r="A1219" s="44" t="n"/>
      <c r="G1219" s="282" t="n"/>
      <c r="J1219" s="282" t="n"/>
      <c r="M1219" s="282" t="n"/>
      <c r="P1219" s="282" t="n"/>
      <c r="S1219" s="282" t="n"/>
      <c r="V1219" s="282" t="n"/>
      <c r="Y1219" s="282" t="n"/>
      <c r="AB1219" s="282" t="n"/>
      <c r="AC1219" s="537" t="n"/>
      <c r="AD1219" s="537" t="n"/>
      <c r="AE1219" s="282" t="n"/>
      <c r="AF1219" s="537" t="n"/>
      <c r="AG1219" s="537" t="n"/>
      <c r="AI1219" s="537" t="n"/>
      <c r="AJ1219" s="537" t="n"/>
      <c r="AK1219" s="282" t="n"/>
      <c r="AL1219" s="286" t="n"/>
      <c r="AM1219" s="286" t="n"/>
      <c r="AN1219" s="282" t="n"/>
    </row>
    <row customHeight="1" ht="15.75" r="1220" s="452" spans="1:41">
      <c r="A1220" s="44" t="n"/>
      <c r="G1220" s="282" t="n"/>
      <c r="J1220" s="282" t="n"/>
      <c r="M1220" s="282" t="n"/>
      <c r="P1220" s="282" t="n"/>
      <c r="S1220" s="282" t="n"/>
      <c r="V1220" s="282" t="n"/>
      <c r="Y1220" s="282" t="n"/>
      <c r="AB1220" s="282" t="n"/>
      <c r="AC1220" s="537" t="n"/>
      <c r="AD1220" s="537" t="n"/>
      <c r="AE1220" s="282" t="n"/>
      <c r="AF1220" s="537" t="n"/>
      <c r="AG1220" s="537" t="n"/>
      <c r="AI1220" s="537" t="n"/>
      <c r="AJ1220" s="537" t="n"/>
      <c r="AK1220" s="282" t="n"/>
      <c r="AL1220" s="286" t="n"/>
      <c r="AM1220" s="286" t="n"/>
      <c r="AN1220" s="282" t="n"/>
    </row>
    <row customHeight="1" ht="15.75" r="1221" s="452" spans="1:41">
      <c r="A1221" s="44" t="n"/>
      <c r="G1221" s="282" t="n"/>
      <c r="J1221" s="282" t="n"/>
      <c r="M1221" s="282" t="n"/>
      <c r="P1221" s="282" t="n"/>
      <c r="S1221" s="282" t="n"/>
      <c r="V1221" s="282" t="n"/>
      <c r="Y1221" s="282" t="n"/>
      <c r="AB1221" s="282" t="n"/>
      <c r="AC1221" s="537" t="n"/>
      <c r="AD1221" s="537" t="n"/>
      <c r="AE1221" s="282" t="n"/>
      <c r="AF1221" s="537" t="n"/>
      <c r="AG1221" s="537" t="n"/>
      <c r="AI1221" s="537" t="n"/>
      <c r="AJ1221" s="537" t="n"/>
      <c r="AK1221" s="282" t="n"/>
      <c r="AL1221" s="286" t="n"/>
      <c r="AM1221" s="286" t="n"/>
      <c r="AN1221" s="282" t="n"/>
    </row>
    <row customHeight="1" ht="15.75" r="1222" s="452" spans="1:41">
      <c r="A1222" s="44" t="n"/>
      <c r="G1222" s="282" t="n"/>
      <c r="J1222" s="282" t="n"/>
      <c r="M1222" s="282" t="n"/>
      <c r="P1222" s="282" t="n"/>
      <c r="S1222" s="282" t="n"/>
      <c r="V1222" s="282" t="n"/>
      <c r="Y1222" s="282" t="n"/>
      <c r="AB1222" s="282" t="n"/>
      <c r="AC1222" s="537" t="n"/>
      <c r="AD1222" s="537" t="n"/>
      <c r="AE1222" s="282" t="n"/>
      <c r="AF1222" s="537" t="n"/>
      <c r="AG1222" s="537" t="n"/>
      <c r="AI1222" s="537" t="n"/>
      <c r="AJ1222" s="537" t="n"/>
      <c r="AK1222" s="282" t="n"/>
      <c r="AL1222" s="286" t="n"/>
      <c r="AM1222" s="286" t="n"/>
      <c r="AN1222" s="282" t="n"/>
    </row>
    <row customHeight="1" ht="15.75" r="1223" s="452" spans="1:41">
      <c r="A1223" s="44" t="n"/>
      <c r="G1223" s="282" t="n"/>
      <c r="J1223" s="282" t="n"/>
      <c r="M1223" s="282" t="n"/>
      <c r="P1223" s="282" t="n"/>
      <c r="S1223" s="282" t="n"/>
      <c r="V1223" s="282" t="n"/>
      <c r="Y1223" s="282" t="n"/>
      <c r="AB1223" s="282" t="n"/>
      <c r="AC1223" s="537" t="n"/>
      <c r="AD1223" s="537" t="n"/>
      <c r="AE1223" s="282" t="n"/>
      <c r="AF1223" s="537" t="n"/>
      <c r="AG1223" s="537" t="n"/>
      <c r="AI1223" s="537" t="n"/>
      <c r="AJ1223" s="537" t="n"/>
      <c r="AK1223" s="282" t="n"/>
      <c r="AL1223" s="286" t="n"/>
      <c r="AM1223" s="286" t="n"/>
      <c r="AN1223" s="282" t="n"/>
    </row>
    <row customHeight="1" ht="15.75" r="1224" s="452" spans="1:41">
      <c r="A1224" s="44" t="n"/>
      <c r="G1224" s="282" t="n"/>
      <c r="J1224" s="282" t="n"/>
      <c r="M1224" s="282" t="n"/>
      <c r="P1224" s="282" t="n"/>
      <c r="S1224" s="282" t="n"/>
      <c r="V1224" s="282" t="n"/>
      <c r="Y1224" s="282" t="n"/>
      <c r="AB1224" s="282" t="n"/>
      <c r="AC1224" s="537" t="n"/>
      <c r="AD1224" s="537" t="n"/>
      <c r="AE1224" s="282" t="n"/>
      <c r="AF1224" s="537" t="n"/>
      <c r="AG1224" s="537" t="n"/>
      <c r="AI1224" s="537" t="n"/>
      <c r="AJ1224" s="537" t="n"/>
      <c r="AK1224" s="282" t="n"/>
      <c r="AL1224" s="286" t="n"/>
      <c r="AM1224" s="286" t="n"/>
      <c r="AN1224" s="282" t="n"/>
    </row>
    <row customHeight="1" ht="15.75" r="1225" s="452" spans="1:41">
      <c r="A1225" s="44" t="n"/>
      <c r="G1225" s="282" t="n"/>
      <c r="J1225" s="282" t="n"/>
      <c r="M1225" s="282" t="n"/>
      <c r="P1225" s="282" t="n"/>
      <c r="S1225" s="282" t="n"/>
      <c r="V1225" s="282" t="n"/>
      <c r="Y1225" s="282" t="n"/>
      <c r="AB1225" s="282" t="n"/>
      <c r="AC1225" s="537" t="n"/>
      <c r="AD1225" s="537" t="n"/>
      <c r="AE1225" s="282" t="n"/>
      <c r="AF1225" s="537" t="n"/>
      <c r="AG1225" s="537" t="n"/>
      <c r="AI1225" s="537" t="n"/>
      <c r="AJ1225" s="537" t="n"/>
      <c r="AK1225" s="282" t="n"/>
      <c r="AL1225" s="286" t="n"/>
      <c r="AM1225" s="286" t="n"/>
      <c r="AN1225" s="282" t="n"/>
    </row>
    <row customHeight="1" ht="15.75" r="1226" s="452" spans="1:41">
      <c r="A1226" s="44" t="n"/>
      <c r="G1226" s="282" t="n"/>
      <c r="J1226" s="282" t="n"/>
      <c r="M1226" s="282" t="n"/>
      <c r="P1226" s="282" t="n"/>
      <c r="S1226" s="282" t="n"/>
      <c r="V1226" s="282" t="n"/>
      <c r="Y1226" s="282" t="n"/>
      <c r="AB1226" s="282" t="n"/>
      <c r="AC1226" s="537" t="n"/>
      <c r="AD1226" s="537" t="n"/>
      <c r="AE1226" s="282" t="n"/>
      <c r="AF1226" s="537" t="n"/>
      <c r="AG1226" s="537" t="n"/>
      <c r="AI1226" s="537" t="n"/>
      <c r="AJ1226" s="537" t="n"/>
      <c r="AK1226" s="282" t="n"/>
      <c r="AL1226" s="286" t="n"/>
      <c r="AM1226" s="286" t="n"/>
      <c r="AN1226" s="282" t="n"/>
    </row>
    <row customHeight="1" ht="15.75" r="1227" s="452" spans="1:41">
      <c r="A1227" s="44" t="n"/>
      <c r="G1227" s="282" t="n"/>
      <c r="J1227" s="282" t="n"/>
      <c r="M1227" s="282" t="n"/>
      <c r="P1227" s="282" t="n"/>
      <c r="S1227" s="282" t="n"/>
      <c r="V1227" s="282" t="n"/>
      <c r="Y1227" s="282" t="n"/>
      <c r="AB1227" s="282" t="n"/>
      <c r="AC1227" s="537" t="n"/>
      <c r="AD1227" s="537" t="n"/>
      <c r="AE1227" s="282" t="n"/>
      <c r="AF1227" s="537" t="n"/>
      <c r="AG1227" s="537" t="n"/>
      <c r="AI1227" s="537" t="n"/>
      <c r="AJ1227" s="537" t="n"/>
      <c r="AK1227" s="282" t="n"/>
      <c r="AL1227" s="286" t="n"/>
      <c r="AM1227" s="286" t="n"/>
      <c r="AN1227" s="282" t="n"/>
    </row>
    <row customHeight="1" ht="15.75" r="1228" s="452" spans="1:41">
      <c r="A1228" s="44" t="n"/>
      <c r="G1228" s="282" t="n"/>
      <c r="J1228" s="282" t="n"/>
      <c r="M1228" s="282" t="n"/>
      <c r="P1228" s="282" t="n"/>
      <c r="S1228" s="282" t="n"/>
      <c r="V1228" s="282" t="n"/>
      <c r="Y1228" s="282" t="n"/>
      <c r="AB1228" s="282" t="n"/>
      <c r="AC1228" s="537" t="n"/>
      <c r="AD1228" s="537" t="n"/>
      <c r="AE1228" s="282" t="n"/>
      <c r="AF1228" s="537" t="n"/>
      <c r="AG1228" s="537" t="n"/>
      <c r="AI1228" s="537" t="n"/>
      <c r="AJ1228" s="537" t="n"/>
      <c r="AK1228" s="282" t="n"/>
      <c r="AL1228" s="286" t="n"/>
      <c r="AM1228" s="286" t="n"/>
      <c r="AN1228" s="282" t="n"/>
    </row>
    <row customHeight="1" ht="15.75" r="1229" s="452" spans="1:41">
      <c r="A1229" s="44" t="n"/>
      <c r="G1229" s="282" t="n"/>
      <c r="J1229" s="282" t="n"/>
      <c r="M1229" s="282" t="n"/>
      <c r="P1229" s="282" t="n"/>
      <c r="S1229" s="282" t="n"/>
      <c r="V1229" s="282" t="n"/>
      <c r="Y1229" s="282" t="n"/>
      <c r="AB1229" s="282" t="n"/>
      <c r="AC1229" s="537" t="n"/>
      <c r="AD1229" s="537" t="n"/>
      <c r="AE1229" s="282" t="n"/>
      <c r="AF1229" s="537" t="n"/>
      <c r="AG1229" s="537" t="n"/>
      <c r="AI1229" s="537" t="n"/>
      <c r="AJ1229" s="537" t="n"/>
      <c r="AK1229" s="282" t="n"/>
      <c r="AL1229" s="286" t="n"/>
      <c r="AM1229" s="286" t="n"/>
      <c r="AN1229" s="282" t="n"/>
    </row>
    <row customHeight="1" ht="15.75" r="1230" s="452" spans="1:41">
      <c r="A1230" s="44" t="n"/>
      <c r="G1230" s="282" t="n"/>
      <c r="J1230" s="282" t="n"/>
      <c r="M1230" s="282" t="n"/>
      <c r="P1230" s="282" t="n"/>
      <c r="S1230" s="282" t="n"/>
      <c r="V1230" s="282" t="n"/>
      <c r="Y1230" s="282" t="n"/>
      <c r="AB1230" s="282" t="n"/>
      <c r="AC1230" s="537" t="n"/>
      <c r="AD1230" s="537" t="n"/>
      <c r="AE1230" s="282" t="n"/>
      <c r="AF1230" s="537" t="n"/>
      <c r="AG1230" s="537" t="n"/>
      <c r="AI1230" s="537" t="n"/>
      <c r="AJ1230" s="537" t="n"/>
      <c r="AK1230" s="282" t="n"/>
      <c r="AL1230" s="286" t="n"/>
      <c r="AM1230" s="286" t="n"/>
      <c r="AN1230" s="282" t="n"/>
    </row>
    <row customHeight="1" ht="15.75" r="1231" s="452" spans="1:41">
      <c r="A1231" s="44" t="n"/>
      <c r="G1231" s="282" t="n"/>
      <c r="J1231" s="282" t="n"/>
      <c r="M1231" s="282" t="n"/>
      <c r="P1231" s="282" t="n"/>
      <c r="S1231" s="282" t="n"/>
      <c r="V1231" s="282" t="n"/>
      <c r="Y1231" s="282" t="n"/>
      <c r="AB1231" s="282" t="n"/>
      <c r="AC1231" s="537" t="n"/>
      <c r="AD1231" s="537" t="n"/>
      <c r="AE1231" s="282" t="n"/>
      <c r="AF1231" s="537" t="n"/>
      <c r="AG1231" s="537" t="n"/>
      <c r="AI1231" s="537" t="n"/>
      <c r="AJ1231" s="537" t="n"/>
      <c r="AK1231" s="282" t="n"/>
      <c r="AL1231" s="286" t="n"/>
      <c r="AM1231" s="286" t="n"/>
      <c r="AN1231" s="282" t="n"/>
    </row>
    <row customHeight="1" ht="15.75" r="1232" s="452" spans="1:41">
      <c r="A1232" s="44" t="n"/>
      <c r="G1232" s="282" t="n"/>
      <c r="J1232" s="282" t="n"/>
      <c r="M1232" s="282" t="n"/>
      <c r="P1232" s="282" t="n"/>
      <c r="S1232" s="282" t="n"/>
      <c r="V1232" s="282" t="n"/>
      <c r="Y1232" s="282" t="n"/>
      <c r="AB1232" s="282" t="n"/>
      <c r="AC1232" s="537" t="n"/>
      <c r="AD1232" s="537" t="n"/>
      <c r="AE1232" s="282" t="n"/>
      <c r="AF1232" s="537" t="n"/>
      <c r="AG1232" s="537" t="n"/>
      <c r="AI1232" s="537" t="n"/>
      <c r="AJ1232" s="537" t="n"/>
      <c r="AK1232" s="282" t="n"/>
      <c r="AL1232" s="286" t="n"/>
      <c r="AM1232" s="286" t="n"/>
      <c r="AN1232" s="282" t="n"/>
    </row>
    <row customHeight="1" ht="15.75" r="1233" s="452" spans="1:41">
      <c r="A1233" s="44" t="n"/>
      <c r="G1233" s="282" t="n"/>
      <c r="J1233" s="282" t="n"/>
      <c r="M1233" s="282" t="n"/>
      <c r="P1233" s="282" t="n"/>
      <c r="S1233" s="282" t="n"/>
      <c r="V1233" s="282" t="n"/>
      <c r="Y1233" s="282" t="n"/>
      <c r="AB1233" s="282" t="n"/>
      <c r="AC1233" s="537" t="n"/>
      <c r="AD1233" s="537" t="n"/>
      <c r="AE1233" s="282" t="n"/>
      <c r="AF1233" s="537" t="n"/>
      <c r="AG1233" s="537" t="n"/>
      <c r="AI1233" s="537" t="n"/>
      <c r="AJ1233" s="537" t="n"/>
      <c r="AK1233" s="282" t="n"/>
      <c r="AL1233" s="286" t="n"/>
      <c r="AM1233" s="286" t="n"/>
      <c r="AN1233" s="282" t="n"/>
    </row>
    <row customHeight="1" ht="15.75" r="1234" s="452" spans="1:41">
      <c r="A1234" s="44" t="n"/>
      <c r="G1234" s="282" t="n"/>
      <c r="J1234" s="282" t="n"/>
      <c r="M1234" s="282" t="n"/>
      <c r="P1234" s="282" t="n"/>
      <c r="S1234" s="282" t="n"/>
      <c r="V1234" s="282" t="n"/>
      <c r="Y1234" s="282" t="n"/>
      <c r="AB1234" s="282" t="n"/>
      <c r="AC1234" s="537" t="n"/>
      <c r="AD1234" s="537" t="n"/>
      <c r="AE1234" s="282" t="n"/>
      <c r="AF1234" s="537" t="n"/>
      <c r="AG1234" s="537" t="n"/>
      <c r="AI1234" s="537" t="n"/>
      <c r="AJ1234" s="537" t="n"/>
      <c r="AK1234" s="282" t="n"/>
      <c r="AL1234" s="286" t="n"/>
      <c r="AM1234" s="286" t="n"/>
      <c r="AN1234" s="282" t="n"/>
    </row>
    <row customHeight="1" ht="15.75" r="1235" s="452" spans="1:41">
      <c r="A1235" s="44" t="n"/>
      <c r="G1235" s="282" t="n"/>
      <c r="J1235" s="282" t="n"/>
      <c r="M1235" s="282" t="n"/>
      <c r="P1235" s="282" t="n"/>
      <c r="S1235" s="282" t="n"/>
      <c r="V1235" s="282" t="n"/>
      <c r="Y1235" s="282" t="n"/>
      <c r="AB1235" s="282" t="n"/>
      <c r="AC1235" s="537" t="n"/>
      <c r="AD1235" s="537" t="n"/>
      <c r="AE1235" s="282" t="n"/>
      <c r="AF1235" s="537" t="n"/>
      <c r="AG1235" s="537" t="n"/>
      <c r="AI1235" s="537" t="n"/>
      <c r="AJ1235" s="537" t="n"/>
      <c r="AK1235" s="282" t="n"/>
      <c r="AL1235" s="286" t="n"/>
      <c r="AM1235" s="286" t="n"/>
      <c r="AN1235" s="282" t="n"/>
    </row>
    <row customHeight="1" ht="15.75" r="1236" s="452" spans="1:41">
      <c r="A1236" s="44" t="n"/>
      <c r="G1236" s="282" t="n"/>
      <c r="J1236" s="282" t="n"/>
      <c r="M1236" s="282" t="n"/>
      <c r="P1236" s="282" t="n"/>
      <c r="S1236" s="282" t="n"/>
      <c r="V1236" s="282" t="n"/>
      <c r="Y1236" s="282" t="n"/>
      <c r="AB1236" s="282" t="n"/>
      <c r="AC1236" s="537" t="n"/>
      <c r="AD1236" s="537" t="n"/>
      <c r="AE1236" s="282" t="n"/>
      <c r="AF1236" s="537" t="n"/>
      <c r="AG1236" s="537" t="n"/>
      <c r="AI1236" s="537" t="n"/>
      <c r="AJ1236" s="537" t="n"/>
      <c r="AK1236" s="282" t="n"/>
      <c r="AL1236" s="286" t="n"/>
      <c r="AM1236" s="286" t="n"/>
      <c r="AN1236" s="282" t="n"/>
    </row>
    <row customHeight="1" ht="15.75" r="1237" s="452" spans="1:41">
      <c r="A1237" s="44" t="n"/>
      <c r="G1237" s="282" t="n"/>
      <c r="J1237" s="282" t="n"/>
      <c r="M1237" s="282" t="n"/>
      <c r="P1237" s="282" t="n"/>
      <c r="S1237" s="282" t="n"/>
      <c r="V1237" s="282" t="n"/>
      <c r="Y1237" s="282" t="n"/>
      <c r="AB1237" s="282" t="n"/>
      <c r="AC1237" s="537" t="n"/>
      <c r="AD1237" s="537" t="n"/>
      <c r="AE1237" s="282" t="n"/>
      <c r="AF1237" s="537" t="n"/>
      <c r="AG1237" s="537" t="n"/>
      <c r="AI1237" s="537" t="n"/>
      <c r="AJ1237" s="537" t="n"/>
      <c r="AK1237" s="282" t="n"/>
      <c r="AL1237" s="286" t="n"/>
      <c r="AM1237" s="286" t="n"/>
      <c r="AN1237" s="282" t="n"/>
    </row>
    <row customHeight="1" ht="15.75" r="1238" s="452" spans="1:41">
      <c r="A1238" s="44" t="n"/>
      <c r="G1238" s="282" t="n"/>
      <c r="J1238" s="282" t="n"/>
      <c r="M1238" s="282" t="n"/>
      <c r="P1238" s="282" t="n"/>
      <c r="S1238" s="282" t="n"/>
      <c r="V1238" s="282" t="n"/>
      <c r="Y1238" s="282" t="n"/>
      <c r="AB1238" s="282" t="n"/>
      <c r="AC1238" s="537" t="n"/>
      <c r="AD1238" s="537" t="n"/>
      <c r="AE1238" s="282" t="n"/>
      <c r="AF1238" s="537" t="n"/>
      <c r="AG1238" s="537" t="n"/>
      <c r="AI1238" s="537" t="n"/>
      <c r="AJ1238" s="537" t="n"/>
      <c r="AK1238" s="282" t="n"/>
      <c r="AL1238" s="286" t="n"/>
      <c r="AM1238" s="286" t="n"/>
      <c r="AN1238" s="282" t="n"/>
    </row>
    <row customHeight="1" ht="15.75" r="1239" s="452" spans="1:41">
      <c r="A1239" s="44" t="n"/>
      <c r="G1239" s="282" t="n"/>
      <c r="J1239" s="282" t="n"/>
      <c r="M1239" s="282" t="n"/>
      <c r="P1239" s="282" t="n"/>
      <c r="S1239" s="282" t="n"/>
      <c r="V1239" s="282" t="n"/>
      <c r="Y1239" s="282" t="n"/>
      <c r="AB1239" s="282" t="n"/>
      <c r="AC1239" s="537" t="n"/>
      <c r="AD1239" s="537" t="n"/>
      <c r="AE1239" s="282" t="n"/>
      <c r="AF1239" s="537" t="n"/>
      <c r="AG1239" s="537" t="n"/>
      <c r="AI1239" s="537" t="n"/>
      <c r="AJ1239" s="537" t="n"/>
      <c r="AK1239" s="282" t="n"/>
      <c r="AL1239" s="286" t="n"/>
      <c r="AM1239" s="286" t="n"/>
      <c r="AN1239" s="282" t="n"/>
    </row>
    <row customHeight="1" ht="15.75" r="1240" s="452" spans="1:41">
      <c r="A1240" s="44" t="n"/>
      <c r="G1240" s="282" t="n"/>
      <c r="J1240" s="282" t="n"/>
      <c r="M1240" s="282" t="n"/>
      <c r="P1240" s="282" t="n"/>
      <c r="S1240" s="282" t="n"/>
      <c r="V1240" s="282" t="n"/>
      <c r="Y1240" s="282" t="n"/>
      <c r="AB1240" s="282" t="n"/>
      <c r="AC1240" s="537" t="n"/>
      <c r="AD1240" s="537" t="n"/>
      <c r="AE1240" s="282" t="n"/>
      <c r="AF1240" s="537" t="n"/>
      <c r="AG1240" s="537" t="n"/>
      <c r="AI1240" s="537" t="n"/>
      <c r="AJ1240" s="537" t="n"/>
      <c r="AK1240" s="282" t="n"/>
      <c r="AL1240" s="286" t="n"/>
      <c r="AM1240" s="286" t="n"/>
      <c r="AN1240" s="282" t="n"/>
    </row>
    <row customHeight="1" ht="15.75" r="1241" s="452" spans="1:41">
      <c r="A1241" s="44" t="n"/>
      <c r="G1241" s="282" t="n"/>
      <c r="J1241" s="282" t="n"/>
      <c r="M1241" s="282" t="n"/>
      <c r="P1241" s="282" t="n"/>
      <c r="S1241" s="282" t="n"/>
      <c r="V1241" s="282" t="n"/>
      <c r="Y1241" s="282" t="n"/>
      <c r="AB1241" s="282" t="n"/>
      <c r="AC1241" s="537" t="n"/>
      <c r="AD1241" s="537" t="n"/>
      <c r="AE1241" s="282" t="n"/>
      <c r="AF1241" s="537" t="n"/>
      <c r="AG1241" s="537" t="n"/>
      <c r="AI1241" s="537" t="n"/>
      <c r="AJ1241" s="537" t="n"/>
      <c r="AK1241" s="282" t="n"/>
      <c r="AL1241" s="286" t="n"/>
      <c r="AM1241" s="286" t="n"/>
      <c r="AN1241" s="282" t="n"/>
    </row>
    <row customHeight="1" ht="15.75" r="1242" s="452" spans="1:41">
      <c r="A1242" s="44" t="n"/>
      <c r="G1242" s="282" t="n"/>
      <c r="J1242" s="282" t="n"/>
      <c r="M1242" s="282" t="n"/>
      <c r="P1242" s="282" t="n"/>
      <c r="S1242" s="282" t="n"/>
      <c r="V1242" s="282" t="n"/>
      <c r="Y1242" s="282" t="n"/>
      <c r="AB1242" s="282" t="n"/>
      <c r="AC1242" s="537" t="n"/>
      <c r="AD1242" s="537" t="n"/>
      <c r="AE1242" s="282" t="n"/>
      <c r="AF1242" s="537" t="n"/>
      <c r="AG1242" s="537" t="n"/>
      <c r="AI1242" s="537" t="n"/>
      <c r="AJ1242" s="537" t="n"/>
      <c r="AK1242" s="282" t="n"/>
      <c r="AL1242" s="286" t="n"/>
      <c r="AM1242" s="286" t="n"/>
      <c r="AN1242" s="282" t="n"/>
    </row>
    <row customHeight="1" ht="15.75" r="1243" s="452" spans="1:41">
      <c r="A1243" s="44" t="n"/>
      <c r="G1243" s="282" t="n"/>
      <c r="J1243" s="282" t="n"/>
      <c r="M1243" s="282" t="n"/>
      <c r="P1243" s="282" t="n"/>
      <c r="S1243" s="282" t="n"/>
      <c r="V1243" s="282" t="n"/>
      <c r="Y1243" s="282" t="n"/>
      <c r="AB1243" s="282" t="n"/>
      <c r="AC1243" s="537" t="n"/>
      <c r="AD1243" s="537" t="n"/>
      <c r="AE1243" s="282" t="n"/>
      <c r="AF1243" s="537" t="n"/>
      <c r="AG1243" s="537" t="n"/>
      <c r="AI1243" s="537" t="n"/>
      <c r="AJ1243" s="537" t="n"/>
      <c r="AK1243" s="282" t="n"/>
      <c r="AL1243" s="286" t="n"/>
      <c r="AM1243" s="286" t="n"/>
      <c r="AN1243" s="282" t="n"/>
    </row>
    <row customHeight="1" ht="15.75" r="1244" s="452" spans="1:41">
      <c r="A1244" s="44" t="n"/>
      <c r="G1244" s="282" t="n"/>
      <c r="J1244" s="282" t="n"/>
      <c r="M1244" s="282" t="n"/>
      <c r="P1244" s="282" t="n"/>
      <c r="S1244" s="282" t="n"/>
      <c r="V1244" s="282" t="n"/>
      <c r="Y1244" s="282" t="n"/>
      <c r="AB1244" s="282" t="n"/>
      <c r="AC1244" s="537" t="n"/>
      <c r="AD1244" s="537" t="n"/>
      <c r="AE1244" s="282" t="n"/>
      <c r="AF1244" s="537" t="n"/>
      <c r="AG1244" s="537" t="n"/>
      <c r="AI1244" s="537" t="n"/>
      <c r="AJ1244" s="537" t="n"/>
      <c r="AK1244" s="282" t="n"/>
      <c r="AL1244" s="286" t="n"/>
      <c r="AM1244" s="286" t="n"/>
      <c r="AN1244" s="282" t="n"/>
    </row>
    <row customHeight="1" ht="15.75" r="1245" s="452" spans="1:41">
      <c r="A1245" s="44" t="n"/>
      <c r="G1245" s="282" t="n"/>
      <c r="J1245" s="282" t="n"/>
      <c r="M1245" s="282" t="n"/>
      <c r="P1245" s="282" t="n"/>
      <c r="S1245" s="282" t="n"/>
      <c r="V1245" s="282" t="n"/>
      <c r="Y1245" s="282" t="n"/>
      <c r="AB1245" s="282" t="n"/>
      <c r="AC1245" s="537" t="n"/>
      <c r="AD1245" s="537" t="n"/>
      <c r="AE1245" s="282" t="n"/>
      <c r="AF1245" s="537" t="n"/>
      <c r="AG1245" s="537" t="n"/>
      <c r="AI1245" s="537" t="n"/>
      <c r="AJ1245" s="537" t="n"/>
      <c r="AK1245" s="282" t="n"/>
      <c r="AL1245" s="286" t="n"/>
      <c r="AM1245" s="286" t="n"/>
      <c r="AN1245" s="282" t="n"/>
    </row>
    <row customHeight="1" ht="15.75" r="1246" s="452" spans="1:41">
      <c r="A1246" s="44" t="n"/>
      <c r="G1246" s="282" t="n"/>
      <c r="J1246" s="282" t="n"/>
      <c r="M1246" s="282" t="n"/>
      <c r="P1246" s="282" t="n"/>
      <c r="S1246" s="282" t="n"/>
      <c r="V1246" s="282" t="n"/>
      <c r="Y1246" s="282" t="n"/>
      <c r="AB1246" s="282" t="n"/>
      <c r="AC1246" s="537" t="n"/>
      <c r="AD1246" s="537" t="n"/>
      <c r="AE1246" s="282" t="n"/>
      <c r="AF1246" s="537" t="n"/>
      <c r="AG1246" s="537" t="n"/>
      <c r="AI1246" s="537" t="n"/>
      <c r="AJ1246" s="537" t="n"/>
      <c r="AK1246" s="282" t="n"/>
      <c r="AL1246" s="286" t="n"/>
      <c r="AM1246" s="286" t="n"/>
      <c r="AN1246" s="282" t="n"/>
    </row>
    <row customHeight="1" ht="15.75" r="1247" s="452" spans="1:41">
      <c r="A1247" s="44" t="n"/>
      <c r="G1247" s="282" t="n"/>
      <c r="J1247" s="282" t="n"/>
      <c r="M1247" s="282" t="n"/>
      <c r="P1247" s="282" t="n"/>
      <c r="S1247" s="282" t="n"/>
      <c r="V1247" s="282" t="n"/>
      <c r="Y1247" s="282" t="n"/>
      <c r="AB1247" s="282" t="n"/>
      <c r="AC1247" s="537" t="n"/>
      <c r="AD1247" s="537" t="n"/>
      <c r="AE1247" s="282" t="n"/>
      <c r="AF1247" s="537" t="n"/>
      <c r="AG1247" s="537" t="n"/>
      <c r="AI1247" s="537" t="n"/>
      <c r="AJ1247" s="537" t="n"/>
      <c r="AK1247" s="282" t="n"/>
      <c r="AL1247" s="286" t="n"/>
      <c r="AM1247" s="286" t="n"/>
      <c r="AN1247" s="282" t="n"/>
    </row>
    <row customHeight="1" ht="15.75" r="1248" s="452" spans="1:41">
      <c r="A1248" s="44" t="n"/>
      <c r="G1248" s="282" t="n"/>
      <c r="J1248" s="282" t="n"/>
      <c r="M1248" s="282" t="n"/>
      <c r="P1248" s="282" t="n"/>
      <c r="S1248" s="282" t="n"/>
      <c r="V1248" s="282" t="n"/>
      <c r="Y1248" s="282" t="n"/>
      <c r="AB1248" s="282" t="n"/>
      <c r="AC1248" s="537" t="n"/>
      <c r="AD1248" s="537" t="n"/>
      <c r="AE1248" s="282" t="n"/>
      <c r="AF1248" s="537" t="n"/>
      <c r="AG1248" s="537" t="n"/>
      <c r="AI1248" s="537" t="n"/>
      <c r="AJ1248" s="537" t="n"/>
      <c r="AK1248" s="282" t="n"/>
      <c r="AL1248" s="286" t="n"/>
      <c r="AM1248" s="286" t="n"/>
      <c r="AN1248" s="282" t="n"/>
    </row>
    <row customHeight="1" ht="15.75" r="1249" s="452" spans="1:41">
      <c r="A1249" s="44" t="n"/>
      <c r="G1249" s="282" t="n"/>
      <c r="J1249" s="282" t="n"/>
      <c r="M1249" s="282" t="n"/>
      <c r="P1249" s="282" t="n"/>
      <c r="S1249" s="282" t="n"/>
      <c r="V1249" s="282" t="n"/>
      <c r="Y1249" s="282" t="n"/>
      <c r="AB1249" s="282" t="n"/>
      <c r="AC1249" s="537" t="n"/>
      <c r="AD1249" s="537" t="n"/>
      <c r="AE1249" s="282" t="n"/>
      <c r="AF1249" s="537" t="n"/>
      <c r="AG1249" s="537" t="n"/>
      <c r="AI1249" s="537" t="n"/>
      <c r="AJ1249" s="537" t="n"/>
      <c r="AK1249" s="282" t="n"/>
      <c r="AL1249" s="286" t="n"/>
      <c r="AM1249" s="286" t="n"/>
      <c r="AN1249" s="282" t="n"/>
    </row>
    <row customHeight="1" ht="15.75" r="1250" s="452" spans="1:41">
      <c r="A1250" s="44" t="n"/>
      <c r="G1250" s="282" t="n"/>
      <c r="J1250" s="282" t="n"/>
      <c r="M1250" s="282" t="n"/>
      <c r="P1250" s="282" t="n"/>
      <c r="S1250" s="282" t="n"/>
      <c r="V1250" s="282" t="n"/>
      <c r="Y1250" s="282" t="n"/>
      <c r="AB1250" s="282" t="n"/>
      <c r="AC1250" s="537" t="n"/>
      <c r="AD1250" s="537" t="n"/>
      <c r="AE1250" s="282" t="n"/>
      <c r="AF1250" s="537" t="n"/>
      <c r="AG1250" s="537" t="n"/>
      <c r="AI1250" s="537" t="n"/>
      <c r="AJ1250" s="537" t="n"/>
      <c r="AK1250" s="282" t="n"/>
      <c r="AL1250" s="286" t="n"/>
      <c r="AM1250" s="286" t="n"/>
      <c r="AN1250" s="282" t="n"/>
    </row>
    <row customHeight="1" ht="15.75" r="1251" s="452" spans="1:41">
      <c r="A1251" s="44" t="n"/>
      <c r="G1251" s="282" t="n"/>
      <c r="J1251" s="282" t="n"/>
      <c r="M1251" s="282" t="n"/>
      <c r="P1251" s="282" t="n"/>
      <c r="S1251" s="282" t="n"/>
      <c r="V1251" s="282" t="n"/>
      <c r="Y1251" s="282" t="n"/>
      <c r="AB1251" s="282" t="n"/>
      <c r="AC1251" s="537" t="n"/>
      <c r="AD1251" s="537" t="n"/>
      <c r="AE1251" s="282" t="n"/>
      <c r="AF1251" s="537" t="n"/>
      <c r="AG1251" s="537" t="n"/>
      <c r="AI1251" s="537" t="n"/>
      <c r="AJ1251" s="537" t="n"/>
      <c r="AK1251" s="282" t="n"/>
      <c r="AL1251" s="286" t="n"/>
      <c r="AM1251" s="286" t="n"/>
      <c r="AN1251" s="282" t="n"/>
    </row>
    <row customHeight="1" ht="15.75" r="1252" s="452" spans="1:41">
      <c r="A1252" s="44" t="n"/>
      <c r="G1252" s="282" t="n"/>
      <c r="J1252" s="282" t="n"/>
      <c r="M1252" s="282" t="n"/>
      <c r="P1252" s="282" t="n"/>
      <c r="S1252" s="282" t="n"/>
      <c r="V1252" s="282" t="n"/>
      <c r="Y1252" s="282" t="n"/>
      <c r="AB1252" s="282" t="n"/>
      <c r="AC1252" s="537" t="n"/>
      <c r="AD1252" s="537" t="n"/>
      <c r="AE1252" s="282" t="n"/>
      <c r="AF1252" s="537" t="n"/>
      <c r="AG1252" s="537" t="n"/>
      <c r="AI1252" s="537" t="n"/>
      <c r="AJ1252" s="537" t="n"/>
      <c r="AK1252" s="282" t="n"/>
      <c r="AL1252" s="286" t="n"/>
      <c r="AM1252" s="286" t="n"/>
      <c r="AN1252" s="282" t="n"/>
    </row>
    <row customHeight="1" ht="15.75" r="1253" s="452" spans="1:41">
      <c r="A1253" s="44" t="n"/>
      <c r="G1253" s="282" t="n"/>
      <c r="J1253" s="282" t="n"/>
      <c r="M1253" s="282" t="n"/>
      <c r="P1253" s="282" t="n"/>
      <c r="S1253" s="282" t="n"/>
      <c r="V1253" s="282" t="n"/>
      <c r="Y1253" s="282" t="n"/>
      <c r="AB1253" s="282" t="n"/>
      <c r="AC1253" s="537" t="n"/>
      <c r="AD1253" s="537" t="n"/>
      <c r="AE1253" s="282" t="n"/>
      <c r="AF1253" s="537" t="n"/>
      <c r="AG1253" s="537" t="n"/>
      <c r="AI1253" s="537" t="n"/>
      <c r="AJ1253" s="537" t="n"/>
      <c r="AK1253" s="282" t="n"/>
      <c r="AL1253" s="286" t="n"/>
      <c r="AM1253" s="286" t="n"/>
      <c r="AN1253" s="282" t="n"/>
    </row>
    <row customHeight="1" ht="15.75" r="1254" s="452" spans="1:41">
      <c r="A1254" s="44" t="n"/>
      <c r="G1254" s="282" t="n"/>
      <c r="J1254" s="282" t="n"/>
      <c r="M1254" s="282" t="n"/>
      <c r="P1254" s="282" t="n"/>
      <c r="S1254" s="282" t="n"/>
      <c r="V1254" s="282" t="n"/>
      <c r="Y1254" s="282" t="n"/>
      <c r="AB1254" s="282" t="n"/>
      <c r="AC1254" s="537" t="n"/>
      <c r="AD1254" s="537" t="n"/>
      <c r="AE1254" s="282" t="n"/>
      <c r="AF1254" s="537" t="n"/>
      <c r="AG1254" s="537" t="n"/>
      <c r="AI1254" s="537" t="n"/>
      <c r="AJ1254" s="537" t="n"/>
      <c r="AK1254" s="282" t="n"/>
      <c r="AL1254" s="286" t="n"/>
      <c r="AM1254" s="286" t="n"/>
      <c r="AN1254" s="282" t="n"/>
    </row>
    <row customHeight="1" ht="15.75" r="1255" s="452" spans="1:41">
      <c r="A1255" s="44" t="n"/>
      <c r="G1255" s="282" t="n"/>
      <c r="J1255" s="282" t="n"/>
      <c r="M1255" s="282" t="n"/>
      <c r="P1255" s="282" t="n"/>
      <c r="S1255" s="282" t="n"/>
      <c r="V1255" s="282" t="n"/>
      <c r="Y1255" s="282" t="n"/>
      <c r="AB1255" s="282" t="n"/>
      <c r="AC1255" s="537" t="n"/>
      <c r="AD1255" s="537" t="n"/>
      <c r="AE1255" s="282" t="n"/>
      <c r="AF1255" s="537" t="n"/>
      <c r="AG1255" s="537" t="n"/>
      <c r="AI1255" s="537" t="n"/>
      <c r="AJ1255" s="537" t="n"/>
      <c r="AK1255" s="282" t="n"/>
      <c r="AL1255" s="286" t="n"/>
      <c r="AM1255" s="286" t="n"/>
      <c r="AN1255" s="282" t="n"/>
    </row>
    <row customHeight="1" ht="15.75" r="1256" s="452" spans="1:41">
      <c r="A1256" s="44" t="n"/>
      <c r="G1256" s="282" t="n"/>
      <c r="J1256" s="282" t="n"/>
      <c r="M1256" s="282" t="n"/>
      <c r="P1256" s="282" t="n"/>
      <c r="S1256" s="282" t="n"/>
      <c r="V1256" s="282" t="n"/>
      <c r="Y1256" s="282" t="n"/>
      <c r="AB1256" s="282" t="n"/>
      <c r="AC1256" s="537" t="n"/>
      <c r="AD1256" s="537" t="n"/>
      <c r="AE1256" s="282" t="n"/>
      <c r="AF1256" s="537" t="n"/>
      <c r="AG1256" s="537" t="n"/>
      <c r="AI1256" s="537" t="n"/>
      <c r="AJ1256" s="537" t="n"/>
      <c r="AK1256" s="282" t="n"/>
      <c r="AL1256" s="286" t="n"/>
      <c r="AM1256" s="286" t="n"/>
      <c r="AN1256" s="282" t="n"/>
    </row>
    <row customHeight="1" ht="15.75" r="1257" s="452" spans="1:41">
      <c r="A1257" s="44" t="n"/>
      <c r="G1257" s="282" t="n"/>
      <c r="J1257" s="282" t="n"/>
      <c r="M1257" s="282" t="n"/>
      <c r="P1257" s="282" t="n"/>
      <c r="S1257" s="282" t="n"/>
      <c r="V1257" s="282" t="n"/>
      <c r="Y1257" s="282" t="n"/>
      <c r="AB1257" s="282" t="n"/>
      <c r="AC1257" s="537" t="n"/>
      <c r="AD1257" s="537" t="n"/>
      <c r="AE1257" s="282" t="n"/>
      <c r="AF1257" s="537" t="n"/>
      <c r="AG1257" s="537" t="n"/>
      <c r="AI1257" s="537" t="n"/>
      <c r="AJ1257" s="537" t="n"/>
      <c r="AK1257" s="282" t="n"/>
      <c r="AL1257" s="286" t="n"/>
      <c r="AM1257" s="286" t="n"/>
      <c r="AN1257" s="282" t="n"/>
    </row>
    <row customHeight="1" ht="15.75" r="1258" s="452" spans="1:41">
      <c r="A1258" s="44" t="n"/>
      <c r="G1258" s="282" t="n"/>
      <c r="J1258" s="282" t="n"/>
      <c r="M1258" s="282" t="n"/>
      <c r="P1258" s="282" t="n"/>
      <c r="S1258" s="282" t="n"/>
      <c r="V1258" s="282" t="n"/>
      <c r="Y1258" s="282" t="n"/>
      <c r="AB1258" s="282" t="n"/>
      <c r="AC1258" s="537" t="n"/>
      <c r="AD1258" s="537" t="n"/>
      <c r="AE1258" s="282" t="n"/>
      <c r="AF1258" s="537" t="n"/>
      <c r="AG1258" s="537" t="n"/>
      <c r="AI1258" s="537" t="n"/>
      <c r="AJ1258" s="537" t="n"/>
      <c r="AK1258" s="282" t="n"/>
      <c r="AL1258" s="286" t="n"/>
      <c r="AM1258" s="286" t="n"/>
      <c r="AN1258" s="282" t="n"/>
    </row>
    <row customHeight="1" ht="15.75" r="1259" s="452" spans="1:41">
      <c r="A1259" s="44" t="n"/>
      <c r="G1259" s="282" t="n"/>
      <c r="J1259" s="282" t="n"/>
      <c r="M1259" s="282" t="n"/>
      <c r="P1259" s="282" t="n"/>
      <c r="S1259" s="282" t="n"/>
      <c r="V1259" s="282" t="n"/>
      <c r="Y1259" s="282" t="n"/>
      <c r="AB1259" s="282" t="n"/>
      <c r="AC1259" s="537" t="n"/>
      <c r="AD1259" s="537" t="n"/>
      <c r="AE1259" s="282" t="n"/>
      <c r="AF1259" s="537" t="n"/>
      <c r="AG1259" s="537" t="n"/>
      <c r="AI1259" s="537" t="n"/>
      <c r="AJ1259" s="537" t="n"/>
      <c r="AK1259" s="282" t="n"/>
      <c r="AL1259" s="286" t="n"/>
      <c r="AM1259" s="286" t="n"/>
      <c r="AN1259" s="282" t="n"/>
    </row>
    <row customHeight="1" ht="15.75" r="1260" s="452" spans="1:41">
      <c r="A1260" s="44" t="n"/>
      <c r="G1260" s="282" t="n"/>
      <c r="J1260" s="282" t="n"/>
      <c r="M1260" s="282" t="n"/>
      <c r="P1260" s="282" t="n"/>
      <c r="S1260" s="282" t="n"/>
      <c r="V1260" s="282" t="n"/>
      <c r="Y1260" s="282" t="n"/>
      <c r="AB1260" s="282" t="n"/>
      <c r="AC1260" s="537" t="n"/>
      <c r="AD1260" s="537" t="n"/>
      <c r="AE1260" s="282" t="n"/>
      <c r="AF1260" s="537" t="n"/>
      <c r="AG1260" s="537" t="n"/>
      <c r="AI1260" s="537" t="n"/>
      <c r="AJ1260" s="537" t="n"/>
      <c r="AK1260" s="282" t="n"/>
      <c r="AL1260" s="286" t="n"/>
      <c r="AM1260" s="286" t="n"/>
      <c r="AN1260" s="282" t="n"/>
    </row>
    <row customHeight="1" ht="15.75" r="1261" s="452" spans="1:41">
      <c r="A1261" s="44" t="n"/>
      <c r="G1261" s="282" t="n"/>
      <c r="J1261" s="282" t="n"/>
      <c r="M1261" s="282" t="n"/>
      <c r="P1261" s="282" t="n"/>
      <c r="S1261" s="282" t="n"/>
      <c r="V1261" s="282" t="n"/>
      <c r="Y1261" s="282" t="n"/>
      <c r="AB1261" s="282" t="n"/>
      <c r="AC1261" s="537" t="n"/>
      <c r="AD1261" s="537" t="n"/>
      <c r="AE1261" s="282" t="n"/>
      <c r="AF1261" s="537" t="n"/>
      <c r="AG1261" s="537" t="n"/>
      <c r="AI1261" s="537" t="n"/>
      <c r="AJ1261" s="537" t="n"/>
      <c r="AK1261" s="282" t="n"/>
      <c r="AL1261" s="286" t="n"/>
      <c r="AM1261" s="286" t="n"/>
      <c r="AN1261" s="282" t="n"/>
    </row>
    <row customHeight="1" ht="15.75" r="1262" s="452" spans="1:41">
      <c r="A1262" s="44" t="n"/>
      <c r="G1262" s="282" t="n"/>
      <c r="J1262" s="282" t="n"/>
      <c r="M1262" s="282" t="n"/>
      <c r="P1262" s="282" t="n"/>
      <c r="S1262" s="282" t="n"/>
      <c r="V1262" s="282" t="n"/>
      <c r="Y1262" s="282" t="n"/>
      <c r="AB1262" s="282" t="n"/>
      <c r="AC1262" s="537" t="n"/>
      <c r="AD1262" s="537" t="n"/>
      <c r="AE1262" s="282" t="n"/>
      <c r="AF1262" s="537" t="n"/>
      <c r="AG1262" s="537" t="n"/>
      <c r="AI1262" s="537" t="n"/>
      <c r="AJ1262" s="537" t="n"/>
      <c r="AK1262" s="282" t="n"/>
      <c r="AL1262" s="286" t="n"/>
      <c r="AM1262" s="286" t="n"/>
      <c r="AN1262" s="282" t="n"/>
    </row>
    <row customHeight="1" ht="15.75" r="1263" s="452" spans="1:41">
      <c r="A1263" s="44" t="n"/>
      <c r="G1263" s="282" t="n"/>
      <c r="J1263" s="282" t="n"/>
      <c r="M1263" s="282" t="n"/>
      <c r="P1263" s="282" t="n"/>
      <c r="S1263" s="282" t="n"/>
      <c r="V1263" s="282" t="n"/>
      <c r="Y1263" s="282" t="n"/>
      <c r="AB1263" s="282" t="n"/>
      <c r="AC1263" s="537" t="n"/>
      <c r="AD1263" s="537" t="n"/>
      <c r="AE1263" s="282" t="n"/>
      <c r="AF1263" s="537" t="n"/>
      <c r="AG1263" s="537" t="n"/>
      <c r="AI1263" s="537" t="n"/>
      <c r="AJ1263" s="537" t="n"/>
      <c r="AK1263" s="282" t="n"/>
      <c r="AL1263" s="286" t="n"/>
      <c r="AM1263" s="286" t="n"/>
      <c r="AN1263" s="282" t="n"/>
    </row>
    <row customHeight="1" ht="15.75" r="1264" s="452" spans="1:41">
      <c r="A1264" s="44" t="n"/>
      <c r="G1264" s="282" t="n"/>
      <c r="J1264" s="282" t="n"/>
      <c r="M1264" s="282" t="n"/>
      <c r="P1264" s="282" t="n"/>
      <c r="S1264" s="282" t="n"/>
      <c r="V1264" s="282" t="n"/>
      <c r="Y1264" s="282" t="n"/>
      <c r="AB1264" s="282" t="n"/>
      <c r="AC1264" s="537" t="n"/>
      <c r="AD1264" s="537" t="n"/>
      <c r="AE1264" s="282" t="n"/>
      <c r="AF1264" s="537" t="n"/>
      <c r="AG1264" s="537" t="n"/>
      <c r="AI1264" s="537" t="n"/>
      <c r="AJ1264" s="537" t="n"/>
      <c r="AK1264" s="282" t="n"/>
      <c r="AL1264" s="286" t="n"/>
      <c r="AM1264" s="286" t="n"/>
      <c r="AN1264" s="282" t="n"/>
    </row>
    <row customHeight="1" ht="15.75" r="1265" s="452" spans="1:41">
      <c r="A1265" s="44" t="n"/>
      <c r="G1265" s="282" t="n"/>
      <c r="J1265" s="282" t="n"/>
      <c r="M1265" s="282" t="n"/>
      <c r="P1265" s="282" t="n"/>
      <c r="S1265" s="282" t="n"/>
      <c r="V1265" s="282" t="n"/>
      <c r="Y1265" s="282" t="n"/>
      <c r="AB1265" s="282" t="n"/>
      <c r="AC1265" s="537" t="n"/>
      <c r="AD1265" s="537" t="n"/>
      <c r="AE1265" s="282" t="n"/>
      <c r="AF1265" s="537" t="n"/>
      <c r="AG1265" s="537" t="n"/>
      <c r="AI1265" s="537" t="n"/>
      <c r="AJ1265" s="537" t="n"/>
      <c r="AK1265" s="282" t="n"/>
      <c r="AL1265" s="286" t="n"/>
      <c r="AM1265" s="286" t="n"/>
      <c r="AN1265" s="282" t="n"/>
    </row>
    <row customHeight="1" ht="15.75" r="1266" s="452" spans="1:41">
      <c r="A1266" s="44" t="n"/>
      <c r="G1266" s="282" t="n"/>
      <c r="J1266" s="282" t="n"/>
      <c r="M1266" s="282" t="n"/>
      <c r="P1266" s="282" t="n"/>
      <c r="S1266" s="282" t="n"/>
      <c r="V1266" s="282" t="n"/>
      <c r="Y1266" s="282" t="n"/>
      <c r="AB1266" s="282" t="n"/>
      <c r="AC1266" s="537" t="n"/>
      <c r="AD1266" s="537" t="n"/>
      <c r="AE1266" s="282" t="n"/>
      <c r="AF1266" s="537" t="n"/>
      <c r="AG1266" s="537" t="n"/>
      <c r="AI1266" s="537" t="n"/>
      <c r="AJ1266" s="537" t="n"/>
      <c r="AK1266" s="282" t="n"/>
      <c r="AL1266" s="286" t="n"/>
      <c r="AM1266" s="286" t="n"/>
      <c r="AN1266" s="282" t="n"/>
    </row>
    <row customHeight="1" ht="15.75" r="1267" s="452" spans="1:41">
      <c r="A1267" s="44" t="n"/>
      <c r="G1267" s="282" t="n"/>
      <c r="J1267" s="282" t="n"/>
      <c r="M1267" s="282" t="n"/>
      <c r="P1267" s="282" t="n"/>
      <c r="S1267" s="282" t="n"/>
      <c r="V1267" s="282" t="n"/>
      <c r="Y1267" s="282" t="n"/>
      <c r="AB1267" s="282" t="n"/>
      <c r="AC1267" s="537" t="n"/>
      <c r="AD1267" s="537" t="n"/>
      <c r="AE1267" s="282" t="n"/>
      <c r="AF1267" s="537" t="n"/>
      <c r="AG1267" s="537" t="n"/>
      <c r="AI1267" s="537" t="n"/>
      <c r="AJ1267" s="537" t="n"/>
      <c r="AK1267" s="282" t="n"/>
      <c r="AL1267" s="286" t="n"/>
      <c r="AM1267" s="286" t="n"/>
      <c r="AN1267" s="282" t="n"/>
    </row>
    <row customHeight="1" ht="15.75" r="1268" s="452" spans="1:41">
      <c r="A1268" s="44" t="n"/>
      <c r="G1268" s="282" t="n"/>
      <c r="J1268" s="282" t="n"/>
      <c r="M1268" s="282" t="n"/>
      <c r="P1268" s="282" t="n"/>
      <c r="S1268" s="282" t="n"/>
      <c r="V1268" s="282" t="n"/>
      <c r="Y1268" s="282" t="n"/>
      <c r="AB1268" s="282" t="n"/>
      <c r="AC1268" s="537" t="n"/>
      <c r="AD1268" s="537" t="n"/>
      <c r="AE1268" s="282" t="n"/>
      <c r="AF1268" s="537" t="n"/>
      <c r="AG1268" s="537" t="n"/>
      <c r="AI1268" s="537" t="n"/>
      <c r="AJ1268" s="537" t="n"/>
      <c r="AK1268" s="282" t="n"/>
      <c r="AL1268" s="286" t="n"/>
      <c r="AM1268" s="286" t="n"/>
      <c r="AN1268" s="282" t="n"/>
    </row>
    <row customHeight="1" ht="15.75" r="1269" s="452" spans="1:41">
      <c r="A1269" s="44" t="n"/>
      <c r="G1269" s="282" t="n"/>
      <c r="J1269" s="282" t="n"/>
      <c r="M1269" s="282" t="n"/>
      <c r="P1269" s="282" t="n"/>
      <c r="S1269" s="282" t="n"/>
      <c r="V1269" s="282" t="n"/>
      <c r="Y1269" s="282" t="n"/>
      <c r="AB1269" s="282" t="n"/>
      <c r="AC1269" s="537" t="n"/>
      <c r="AD1269" s="537" t="n"/>
      <c r="AE1269" s="282" t="n"/>
      <c r="AF1269" s="537" t="n"/>
      <c r="AG1269" s="537" t="n"/>
      <c r="AI1269" s="537" t="n"/>
      <c r="AJ1269" s="537" t="n"/>
      <c r="AK1269" s="282" t="n"/>
      <c r="AL1269" s="286" t="n"/>
      <c r="AM1269" s="286" t="n"/>
      <c r="AN1269" s="282" t="n"/>
    </row>
  </sheetData>
  <autoFilter ref="A1:AO323"/>
  <conditionalFormatting sqref="G2:G31 P2:P31 S2:S31 S33:S37 P33:P37 G33:G37 G39:G43 P39:P43 S39:S43 S45:S49 P45:P49 G45:G49 G51:G55 P51:P55 S51:S55 S57:S61 P57:P61 G57:G61 G63:G67 P63:P67 S63:S67 S69:S73 P69:P73 G69:G73 G75:G79 P75:P79 S75:S79 S81:S85 P81:P85 G81:G85 G87:G91 P87:P91 S87:S91 S93:S97 P93:P97 G93:G97 G99:G103 P99:P103 S99:S103 S105:S109 P105:P109 G105:G109 G111:G115 P111:P115 S111:S115 S117:S121 P117:P121 G117:G121 G123:G127 P123:P127 S123:S127 S129:S133 P129:P133 G129:G133 G135:G139 P135:P139 S135:S139 S141:S145 P141:P145 G141:G145 G147:G151 P147:P151 S147:S151 S153:S157 P153:P157 G153:G157 G159:G163 P159:P163 S159:S163 S165:S169 P165:P169 G165:G169 G171:G175 P171:P175 S171:S175 S177:S181 P177:P181 G177:G181 G183:G187 P183:P187 S183:S187 S189:S193 P189:P193 G189:G193 G195:G199 P195:P199 S195:S199 S201:S205 P201:P205 G201:G205 G207:G211 P207:P211 S207:S211 S213:S217 P213:P217 G213:G217 G219:G223 P219:P223 S219:S223 S225:S229 P225:P229 G225:G229 G231:G235 P231:P235 S231:S235 S237:S241 P237:P241 G237:G241 G243:G247 P243:P247 S243:S247 S249:S253 P249:P253 G249:G253 G255:G259 P255:P259 S255:S259 S261:S265 P261:P265 G261:G265 G267:G271 P267:P271 S267:S271 S273:S277 P273:P277 G273:G277 G300:G304 P300:P304 S300:S304 S306:S310 P306:P310 G306:G310 G312:G316 P312:P316 S312:S316 S318:S322 P318:P322 G318:G322 G279:G286 P279:P286 S279:S286 G288:G298 P288:P298 S288:S298 AK288:AK298 AH288:AH298 AE288:AE298 Y288:Y298 AB288:AB298 V288:V298 AN288:AN298">
    <cfRule dxfId="1" operator="lessThan" priority="3887" type="cellIs">
      <formula>0</formula>
    </cfRule>
    <cfRule dxfId="0" operator="greaterThanOrEqual" priority="3888" type="cellIs">
      <formula>0</formula>
    </cfRule>
  </conditionalFormatting>
  <conditionalFormatting sqref="J2:J31 M2:M31 M33:M37 J33:J37 J39:J43 M39:M43 M45:M49 J45:J49 J51:J55 M51:M55 M57:M61 J57:J61 J63:J67 M63:M67 M69:M73 J69:J73 J75:J79 M75:M79 M81:M85 J81:J85 J87:J91 M87:M91 M93:M97 J93:J97 J99:J103 M99:M103 M105:M109 J105:J109 J111:J115 M111:M115 M117:M121 J117:J121 J123:J127 M123:M127 M129:M133 J129:J133 J135:J139 M135:M139 M141:M145 J141:J145 J147:J151 M147:M151 M153:M157 J153:J157 J159:J163 M159:M163 M165:M169 J165:J169 J171:J175 M171:M175 M177:M181 J177:J181 J183:J187 M183:M187 M189:M193 J189:J193 J195:J199 M195:M199 M201:M205 J201:J205 J207:J211 M207:M211 M213:M217 J213:J217 J219:J223 M219:M223 M225:M229 J225:J229 J231:J235 M231:M235 M237:M241 J237:J241 J243:J247 M243:M247 M249:M253 J249:J253 J255:J259 M255:M259 M261:M265 J261:J265 J267:J271 M267:M271 M273:M277 J273:J277 J300:J304 M300:M304 M306:M310 J306:J310 J312:J316 M312:M316 M318:M322 J318:J322 J279:J286 M279:M286 J288:J298 M288:M298">
    <cfRule dxfId="0" operator="lessThanOrEqual" priority="3889" type="cellIs">
      <formula>0</formula>
    </cfRule>
    <cfRule dxfId="1" operator="greaterThan" priority="3890" type="cellIs">
      <formula>0</formula>
    </cfRule>
  </conditionalFormatting>
  <conditionalFormatting sqref="AN8">
    <cfRule dxfId="1" operator="lessThan" priority="3885" type="cellIs">
      <formula>0</formula>
    </cfRule>
    <cfRule dxfId="0" operator="greaterThanOrEqual" priority="3886" type="cellIs">
      <formula>0</formula>
    </cfRule>
  </conditionalFormatting>
  <conditionalFormatting sqref="V2:V7">
    <cfRule dxfId="1" operator="lessThan" priority="3901" type="cellIs">
      <formula>0</formula>
    </cfRule>
    <cfRule dxfId="0" operator="greaterThanOrEqual" priority="3902" type="cellIs">
      <formula>0</formula>
    </cfRule>
  </conditionalFormatting>
  <conditionalFormatting sqref="Y2:Y7">
    <cfRule dxfId="1" operator="lessThan" priority="3903" type="cellIs">
      <formula>0</formula>
    </cfRule>
    <cfRule dxfId="0" operator="greaterThanOrEqual" priority="3904" type="cellIs">
      <formula>0</formula>
    </cfRule>
  </conditionalFormatting>
  <conditionalFormatting sqref="V8">
    <cfRule dxfId="1" operator="lessThan" priority="3907" type="cellIs">
      <formula>0</formula>
    </cfRule>
    <cfRule dxfId="0" operator="greaterThanOrEqual" priority="3908" type="cellIs">
      <formula>0</formula>
    </cfRule>
  </conditionalFormatting>
  <conditionalFormatting sqref="Y8">
    <cfRule dxfId="1" operator="lessThan" priority="3909" type="cellIs">
      <formula>0</formula>
    </cfRule>
    <cfRule dxfId="0" operator="greaterThanOrEqual" priority="3910" type="cellIs">
      <formula>0</formula>
    </cfRule>
  </conditionalFormatting>
  <conditionalFormatting sqref="AH2:AH7">
    <cfRule dxfId="1" operator="lessThan" priority="3913" type="cellIs">
      <formula>0</formula>
    </cfRule>
    <cfRule dxfId="0" operator="greaterThanOrEqual" priority="3914" type="cellIs">
      <formula>0</formula>
    </cfRule>
  </conditionalFormatting>
  <conditionalFormatting sqref="AH8">
    <cfRule dxfId="1" operator="lessThan" priority="3915" type="cellIs">
      <formula>0</formula>
    </cfRule>
    <cfRule dxfId="0" operator="greaterThanOrEqual" priority="3916" type="cellIs">
      <formula>0</formula>
    </cfRule>
  </conditionalFormatting>
  <conditionalFormatting sqref="AK2:AK7">
    <cfRule dxfId="1" operator="lessThan" priority="3919" type="cellIs">
      <formula>0</formula>
    </cfRule>
    <cfRule dxfId="0" operator="greaterThanOrEqual" priority="3920" type="cellIs">
      <formula>0</formula>
    </cfRule>
  </conditionalFormatting>
  <conditionalFormatting sqref="AK8">
    <cfRule dxfId="1" operator="lessThan" priority="3921" type="cellIs">
      <formula>0</formula>
    </cfRule>
    <cfRule dxfId="0" operator="greaterThanOrEqual" priority="3922" type="cellIs">
      <formula>0</formula>
    </cfRule>
  </conditionalFormatting>
  <conditionalFormatting sqref="AN2:AN7">
    <cfRule dxfId="1" operator="lessThan" priority="3883" type="cellIs">
      <formula>0</formula>
    </cfRule>
    <cfRule dxfId="0" operator="greaterThanOrEqual" priority="3884" type="cellIs">
      <formula>0</formula>
    </cfRule>
  </conditionalFormatting>
  <conditionalFormatting sqref="AE2:AE7">
    <cfRule dxfId="1" operator="lessThan" priority="3877" type="cellIs">
      <formula>0</formula>
    </cfRule>
    <cfRule dxfId="0" operator="greaterThanOrEqual" priority="3878" type="cellIs">
      <formula>0</formula>
    </cfRule>
  </conditionalFormatting>
  <conditionalFormatting sqref="AE8">
    <cfRule dxfId="1" operator="lessThan" priority="3879" type="cellIs">
      <formula>0</formula>
    </cfRule>
    <cfRule dxfId="0" operator="greaterThanOrEqual" priority="3880" type="cellIs">
      <formula>0</formula>
    </cfRule>
  </conditionalFormatting>
  <conditionalFormatting sqref="AB2:AB7">
    <cfRule dxfId="1" operator="lessThan" priority="3871" type="cellIs">
      <formula>0</formula>
    </cfRule>
    <cfRule dxfId="0" operator="greaterThanOrEqual" priority="3872" type="cellIs">
      <formula>0</formula>
    </cfRule>
  </conditionalFormatting>
  <conditionalFormatting sqref="AB8">
    <cfRule dxfId="1" operator="lessThan" priority="3873" type="cellIs">
      <formula>0</formula>
    </cfRule>
    <cfRule dxfId="0" operator="greaterThanOrEqual" priority="3874" type="cellIs">
      <formula>0</formula>
    </cfRule>
  </conditionalFormatting>
  <conditionalFormatting sqref="G323">
    <cfRule dxfId="1" operator="lessThan" priority="3837" type="cellIs">
      <formula>0</formula>
    </cfRule>
    <cfRule dxfId="0" operator="greaterThanOrEqual" priority="3838" type="cellIs">
      <formula>0</formula>
    </cfRule>
  </conditionalFormatting>
  <conditionalFormatting sqref="J323">
    <cfRule dxfId="0" operator="lessThanOrEqual" priority="3835" type="cellIs">
      <formula>0</formula>
    </cfRule>
    <cfRule dxfId="1" operator="greaterThan" priority="3836" type="cellIs">
      <formula>0</formula>
    </cfRule>
  </conditionalFormatting>
  <conditionalFormatting sqref="M323">
    <cfRule dxfId="0" operator="lessThanOrEqual" priority="3833" type="cellIs">
      <formula>0</formula>
    </cfRule>
    <cfRule dxfId="1" operator="greaterThan" priority="3834" type="cellIs">
      <formula>0</formula>
    </cfRule>
  </conditionalFormatting>
  <conditionalFormatting sqref="P323">
    <cfRule dxfId="1" operator="lessThan" priority="3831" type="cellIs">
      <formula>0</formula>
    </cfRule>
    <cfRule dxfId="0" operator="greaterThanOrEqual" priority="3832" type="cellIs">
      <formula>0</formula>
    </cfRule>
  </conditionalFormatting>
  <conditionalFormatting sqref="S323">
    <cfRule dxfId="1" operator="lessThan" priority="3829" type="cellIs">
      <formula>0</formula>
    </cfRule>
    <cfRule dxfId="0" operator="greaterThanOrEqual" priority="3830" type="cellIs">
      <formula>0</formula>
    </cfRule>
  </conditionalFormatting>
  <conditionalFormatting sqref="V323">
    <cfRule dxfId="1" operator="lessThan" priority="3827" type="cellIs">
      <formula>0</formula>
    </cfRule>
    <cfRule dxfId="0" operator="greaterThanOrEqual" priority="3828" type="cellIs">
      <formula>0</formula>
    </cfRule>
  </conditionalFormatting>
  <conditionalFormatting sqref="AB323">
    <cfRule dxfId="1" operator="lessThan" priority="3825" type="cellIs">
      <formula>0</formula>
    </cfRule>
    <cfRule dxfId="0" operator="greaterThanOrEqual" priority="3826" type="cellIs">
      <formula>0</formula>
    </cfRule>
  </conditionalFormatting>
  <conditionalFormatting sqref="AE323">
    <cfRule dxfId="1" operator="lessThan" priority="3823" type="cellIs">
      <formula>0</formula>
    </cfRule>
    <cfRule dxfId="0" operator="greaterThanOrEqual" priority="3824" type="cellIs">
      <formula>0</formula>
    </cfRule>
  </conditionalFormatting>
  <conditionalFormatting sqref="AH323">
    <cfRule dxfId="1" operator="lessThan" priority="3821" type="cellIs">
      <formula>0</formula>
    </cfRule>
    <cfRule dxfId="0" operator="greaterThanOrEqual" priority="3822" type="cellIs">
      <formula>0</formula>
    </cfRule>
  </conditionalFormatting>
  <conditionalFormatting sqref="AK323">
    <cfRule dxfId="1" operator="lessThan" priority="3819" type="cellIs">
      <formula>0</formula>
    </cfRule>
    <cfRule dxfId="0" operator="greaterThanOrEqual" priority="3820" type="cellIs">
      <formula>0</formula>
    </cfRule>
  </conditionalFormatting>
  <conditionalFormatting sqref="AN323">
    <cfRule dxfId="1" operator="lessThan" priority="3817" type="cellIs">
      <formula>0</formula>
    </cfRule>
    <cfRule dxfId="0" operator="greaterThanOrEqual" priority="3818" type="cellIs">
      <formula>0</formula>
    </cfRule>
  </conditionalFormatting>
  <conditionalFormatting sqref="Y323">
    <cfRule dxfId="1" operator="lessThan" priority="3815" type="cellIs">
      <formula>0</formula>
    </cfRule>
    <cfRule dxfId="0" operator="greaterThanOrEqual" priority="3816" type="cellIs">
      <formula>0</formula>
    </cfRule>
  </conditionalFormatting>
  <conditionalFormatting sqref="AE189:AE193">
    <cfRule dxfId="1" operator="lessThan" priority="1497" type="cellIs">
      <formula>0</formula>
    </cfRule>
    <cfRule dxfId="0" operator="greaterThanOrEqual" priority="1498" type="cellIs">
      <formula>0</formula>
    </cfRule>
  </conditionalFormatting>
  <conditionalFormatting sqref="V9:V13">
    <cfRule dxfId="1" operator="lessThan" priority="2347" type="cellIs">
      <formula>0</formula>
    </cfRule>
    <cfRule dxfId="0" operator="greaterThanOrEqual" priority="2348" type="cellIs">
      <formula>0</formula>
    </cfRule>
  </conditionalFormatting>
  <conditionalFormatting sqref="Y9:Y13">
    <cfRule dxfId="1" operator="lessThan" priority="2349" type="cellIs">
      <formula>0</formula>
    </cfRule>
    <cfRule dxfId="0" operator="greaterThanOrEqual" priority="2350" type="cellIs">
      <formula>0</formula>
    </cfRule>
  </conditionalFormatting>
  <conditionalFormatting sqref="AH9:AH13">
    <cfRule dxfId="1" operator="lessThan" priority="2353" type="cellIs">
      <formula>0</formula>
    </cfRule>
    <cfRule dxfId="0" operator="greaterThanOrEqual" priority="2354" type="cellIs">
      <formula>0</formula>
    </cfRule>
  </conditionalFormatting>
  <conditionalFormatting sqref="Y189:Y193">
    <cfRule dxfId="1" operator="lessThan" priority="1509" type="cellIs">
      <formula>0</formula>
    </cfRule>
    <cfRule dxfId="0" operator="greaterThanOrEqual" priority="1510" type="cellIs">
      <formula>0</formula>
    </cfRule>
  </conditionalFormatting>
  <conditionalFormatting sqref="AK9:AK13">
    <cfRule dxfId="1" operator="lessThan" priority="2357" type="cellIs">
      <formula>0</formula>
    </cfRule>
    <cfRule dxfId="0" operator="greaterThanOrEqual" priority="2358" type="cellIs">
      <formula>0</formula>
    </cfRule>
  </conditionalFormatting>
  <conditionalFormatting sqref="AB189:AB193">
    <cfRule dxfId="1" operator="lessThan" priority="1493" type="cellIs">
      <formula>0</formula>
    </cfRule>
    <cfRule dxfId="0" operator="greaterThanOrEqual" priority="1494" type="cellIs">
      <formula>0</formula>
    </cfRule>
  </conditionalFormatting>
  <conditionalFormatting sqref="AN9:AN13">
    <cfRule dxfId="1" operator="lessThan" priority="2341" type="cellIs">
      <formula>0</formula>
    </cfRule>
    <cfRule dxfId="0" operator="greaterThanOrEqual" priority="2342" type="cellIs">
      <formula>0</formula>
    </cfRule>
  </conditionalFormatting>
  <conditionalFormatting sqref="AK195:AK199">
    <cfRule dxfId="1" operator="lessThan" priority="1489" type="cellIs">
      <formula>0</formula>
    </cfRule>
    <cfRule dxfId="0" operator="greaterThanOrEqual" priority="1490" type="cellIs">
      <formula>0</formula>
    </cfRule>
  </conditionalFormatting>
  <conditionalFormatting sqref="AE9:AE13">
    <cfRule dxfId="1" operator="lessThan" priority="2337" type="cellIs">
      <formula>0</formula>
    </cfRule>
    <cfRule dxfId="0" operator="greaterThanOrEqual" priority="2338" type="cellIs">
      <formula>0</formula>
    </cfRule>
  </conditionalFormatting>
  <conditionalFormatting sqref="AH195:AH199">
    <cfRule dxfId="1" operator="lessThan" priority="1485" type="cellIs">
      <formula>0</formula>
    </cfRule>
    <cfRule dxfId="0" operator="greaterThanOrEqual" priority="1486" type="cellIs">
      <formula>0</formula>
    </cfRule>
  </conditionalFormatting>
  <conditionalFormatting sqref="AB9:AB13">
    <cfRule dxfId="1" operator="lessThan" priority="2333" type="cellIs">
      <formula>0</formula>
    </cfRule>
    <cfRule dxfId="0" operator="greaterThanOrEqual" priority="2334" type="cellIs">
      <formula>0</formula>
    </cfRule>
  </conditionalFormatting>
  <conditionalFormatting sqref="AE195:AE199">
    <cfRule dxfId="1" operator="lessThan" priority="1469" type="cellIs">
      <formula>0</formula>
    </cfRule>
    <cfRule dxfId="0" operator="greaterThanOrEqual" priority="1470" type="cellIs">
      <formula>0</formula>
    </cfRule>
  </conditionalFormatting>
  <conditionalFormatting sqref="V15:V19">
    <cfRule dxfId="1" operator="lessThan" priority="2319" type="cellIs">
      <formula>0</formula>
    </cfRule>
    <cfRule dxfId="0" operator="greaterThanOrEqual" priority="2320" type="cellIs">
      <formula>0</formula>
    </cfRule>
  </conditionalFormatting>
  <conditionalFormatting sqref="Y15:Y19">
    <cfRule dxfId="1" operator="lessThan" priority="2321" type="cellIs">
      <formula>0</formula>
    </cfRule>
    <cfRule dxfId="0" operator="greaterThanOrEqual" priority="2322" type="cellIs">
      <formula>0</formula>
    </cfRule>
  </conditionalFormatting>
  <conditionalFormatting sqref="AH15:AH19">
    <cfRule dxfId="1" operator="lessThan" priority="2325" type="cellIs">
      <formula>0</formula>
    </cfRule>
    <cfRule dxfId="0" operator="greaterThanOrEqual" priority="2326" type="cellIs">
      <formula>0</formula>
    </cfRule>
  </conditionalFormatting>
  <conditionalFormatting sqref="Y195:Y199">
    <cfRule dxfId="1" operator="lessThan" priority="1481" type="cellIs">
      <formula>0</formula>
    </cfRule>
    <cfRule dxfId="0" operator="greaterThanOrEqual" priority="1482" type="cellIs">
      <formula>0</formula>
    </cfRule>
  </conditionalFormatting>
  <conditionalFormatting sqref="AK15:AK19">
    <cfRule dxfId="1" operator="lessThan" priority="2329" type="cellIs">
      <formula>0</formula>
    </cfRule>
    <cfRule dxfId="0" operator="greaterThanOrEqual" priority="2330" type="cellIs">
      <formula>0</formula>
    </cfRule>
  </conditionalFormatting>
  <conditionalFormatting sqref="AB195:AB199">
    <cfRule dxfId="1" operator="lessThan" priority="1465" type="cellIs">
      <formula>0</formula>
    </cfRule>
    <cfRule dxfId="0" operator="greaterThanOrEqual" priority="1466" type="cellIs">
      <formula>0</formula>
    </cfRule>
  </conditionalFormatting>
  <conditionalFormatting sqref="AN15:AN19">
    <cfRule dxfId="1" operator="lessThan" priority="2313" type="cellIs">
      <formula>0</formula>
    </cfRule>
    <cfRule dxfId="0" operator="greaterThanOrEqual" priority="2314" type="cellIs">
      <formula>0</formula>
    </cfRule>
  </conditionalFormatting>
  <conditionalFormatting sqref="AK201:AK205">
    <cfRule dxfId="1" operator="lessThan" priority="1461" type="cellIs">
      <formula>0</formula>
    </cfRule>
    <cfRule dxfId="0" operator="greaterThanOrEqual" priority="1462" type="cellIs">
      <formula>0</formula>
    </cfRule>
  </conditionalFormatting>
  <conditionalFormatting sqref="AE15:AE19">
    <cfRule dxfId="1" operator="lessThan" priority="2309" type="cellIs">
      <formula>0</formula>
    </cfRule>
    <cfRule dxfId="0" operator="greaterThanOrEqual" priority="2310" type="cellIs">
      <formula>0</formula>
    </cfRule>
  </conditionalFormatting>
  <conditionalFormatting sqref="AH201:AH205">
    <cfRule dxfId="1" operator="lessThan" priority="1457" type="cellIs">
      <formula>0</formula>
    </cfRule>
    <cfRule dxfId="0" operator="greaterThanOrEqual" priority="1458" type="cellIs">
      <formula>0</formula>
    </cfRule>
  </conditionalFormatting>
  <conditionalFormatting sqref="AB15:AB19">
    <cfRule dxfId="1" operator="lessThan" priority="2305" type="cellIs">
      <formula>0</formula>
    </cfRule>
    <cfRule dxfId="0" operator="greaterThanOrEqual" priority="2306" type="cellIs">
      <formula>0</formula>
    </cfRule>
  </conditionalFormatting>
  <conditionalFormatting sqref="AE201:AE205">
    <cfRule dxfId="1" operator="lessThan" priority="1441" type="cellIs">
      <formula>0</formula>
    </cfRule>
    <cfRule dxfId="0" operator="greaterThanOrEqual" priority="1442" type="cellIs">
      <formula>0</formula>
    </cfRule>
  </conditionalFormatting>
  <conditionalFormatting sqref="V21:V25">
    <cfRule dxfId="1" operator="lessThan" priority="2291" type="cellIs">
      <formula>0</formula>
    </cfRule>
    <cfRule dxfId="0" operator="greaterThanOrEqual" priority="2292" type="cellIs">
      <formula>0</formula>
    </cfRule>
  </conditionalFormatting>
  <conditionalFormatting sqref="Y21:Y25">
    <cfRule dxfId="1" operator="lessThan" priority="2293" type="cellIs">
      <formula>0</formula>
    </cfRule>
    <cfRule dxfId="0" operator="greaterThanOrEqual" priority="2294" type="cellIs">
      <formula>0</formula>
    </cfRule>
  </conditionalFormatting>
  <conditionalFormatting sqref="AH21:AH25">
    <cfRule dxfId="1" operator="lessThan" priority="2297" type="cellIs">
      <formula>0</formula>
    </cfRule>
    <cfRule dxfId="0" operator="greaterThanOrEqual" priority="2298" type="cellIs">
      <formula>0</formula>
    </cfRule>
  </conditionalFormatting>
  <conditionalFormatting sqref="Y201:Y205">
    <cfRule dxfId="1" operator="lessThan" priority="1453" type="cellIs">
      <formula>0</formula>
    </cfRule>
    <cfRule dxfId="0" operator="greaterThanOrEqual" priority="1454" type="cellIs">
      <formula>0</formula>
    </cfRule>
  </conditionalFormatting>
  <conditionalFormatting sqref="AK21:AK25">
    <cfRule dxfId="1" operator="lessThan" priority="2301" type="cellIs">
      <formula>0</formula>
    </cfRule>
    <cfRule dxfId="0" operator="greaterThanOrEqual" priority="2302" type="cellIs">
      <formula>0</formula>
    </cfRule>
  </conditionalFormatting>
  <conditionalFormatting sqref="AB201:AB205">
    <cfRule dxfId="1" operator="lessThan" priority="1437" type="cellIs">
      <formula>0</formula>
    </cfRule>
    <cfRule dxfId="0" operator="greaterThanOrEqual" priority="1438" type="cellIs">
      <formula>0</formula>
    </cfRule>
  </conditionalFormatting>
  <conditionalFormatting sqref="AN21:AN25">
    <cfRule dxfId="1" operator="lessThan" priority="2285" type="cellIs">
      <formula>0</formula>
    </cfRule>
    <cfRule dxfId="0" operator="greaterThanOrEqual" priority="2286" type="cellIs">
      <formula>0</formula>
    </cfRule>
  </conditionalFormatting>
  <conditionalFormatting sqref="AK207:AK211">
    <cfRule dxfId="1" operator="lessThan" priority="1433" type="cellIs">
      <formula>0</formula>
    </cfRule>
    <cfRule dxfId="0" operator="greaterThanOrEqual" priority="1434" type="cellIs">
      <formula>0</formula>
    </cfRule>
  </conditionalFormatting>
  <conditionalFormatting sqref="AE21:AE25">
    <cfRule dxfId="1" operator="lessThan" priority="2281" type="cellIs">
      <formula>0</formula>
    </cfRule>
    <cfRule dxfId="0" operator="greaterThanOrEqual" priority="2282" type="cellIs">
      <formula>0</formula>
    </cfRule>
  </conditionalFormatting>
  <conditionalFormatting sqref="AH207:AH211">
    <cfRule dxfId="1" operator="lessThan" priority="1429" type="cellIs">
      <formula>0</formula>
    </cfRule>
    <cfRule dxfId="0" operator="greaterThanOrEqual" priority="1430" type="cellIs">
      <formula>0</formula>
    </cfRule>
  </conditionalFormatting>
  <conditionalFormatting sqref="AB21:AB25">
    <cfRule dxfId="1" operator="lessThan" priority="2277" type="cellIs">
      <formula>0</formula>
    </cfRule>
    <cfRule dxfId="0" operator="greaterThanOrEqual" priority="2278" type="cellIs">
      <formula>0</formula>
    </cfRule>
  </conditionalFormatting>
  <conditionalFormatting sqref="AE207:AE211">
    <cfRule dxfId="1" operator="lessThan" priority="1413" type="cellIs">
      <formula>0</formula>
    </cfRule>
    <cfRule dxfId="0" operator="greaterThanOrEqual" priority="1414" type="cellIs">
      <formula>0</formula>
    </cfRule>
  </conditionalFormatting>
  <conditionalFormatting sqref="V27:V31">
    <cfRule dxfId="1" operator="lessThan" priority="2263" type="cellIs">
      <formula>0</formula>
    </cfRule>
    <cfRule dxfId="0" operator="greaterThanOrEqual" priority="2264" type="cellIs">
      <formula>0</formula>
    </cfRule>
  </conditionalFormatting>
  <conditionalFormatting sqref="Y27:Y31">
    <cfRule dxfId="1" operator="lessThan" priority="2265" type="cellIs">
      <formula>0</formula>
    </cfRule>
    <cfRule dxfId="0" operator="greaterThanOrEqual" priority="2266" type="cellIs">
      <formula>0</formula>
    </cfRule>
  </conditionalFormatting>
  <conditionalFormatting sqref="AH27:AH31">
    <cfRule dxfId="1" operator="lessThan" priority="2269" type="cellIs">
      <formula>0</formula>
    </cfRule>
    <cfRule dxfId="0" operator="greaterThanOrEqual" priority="2270" type="cellIs">
      <formula>0</formula>
    </cfRule>
  </conditionalFormatting>
  <conditionalFormatting sqref="Y207:Y211">
    <cfRule dxfId="1" operator="lessThan" priority="1425" type="cellIs">
      <formula>0</formula>
    </cfRule>
    <cfRule dxfId="0" operator="greaterThanOrEqual" priority="1426" type="cellIs">
      <formula>0</formula>
    </cfRule>
  </conditionalFormatting>
  <conditionalFormatting sqref="AK27:AK31">
    <cfRule dxfId="1" operator="lessThan" priority="2273" type="cellIs">
      <formula>0</formula>
    </cfRule>
    <cfRule dxfId="0" operator="greaterThanOrEqual" priority="2274" type="cellIs">
      <formula>0</formula>
    </cfRule>
  </conditionalFormatting>
  <conditionalFormatting sqref="AB207:AB211">
    <cfRule dxfId="1" operator="lessThan" priority="1409" type="cellIs">
      <formula>0</formula>
    </cfRule>
    <cfRule dxfId="0" operator="greaterThanOrEqual" priority="1410" type="cellIs">
      <formula>0</formula>
    </cfRule>
  </conditionalFormatting>
  <conditionalFormatting sqref="AN27:AN31">
    <cfRule dxfId="1" operator="lessThan" priority="2257" type="cellIs">
      <formula>0</formula>
    </cfRule>
    <cfRule dxfId="0" operator="greaterThanOrEqual" priority="2258" type="cellIs">
      <formula>0</formula>
    </cfRule>
  </conditionalFormatting>
  <conditionalFormatting sqref="AK213:AK217">
    <cfRule dxfId="1" operator="lessThan" priority="1405" type="cellIs">
      <formula>0</formula>
    </cfRule>
    <cfRule dxfId="0" operator="greaterThanOrEqual" priority="1406" type="cellIs">
      <formula>0</formula>
    </cfRule>
  </conditionalFormatting>
  <conditionalFormatting sqref="AE27:AE31">
    <cfRule dxfId="1" operator="lessThan" priority="2253" type="cellIs">
      <formula>0</formula>
    </cfRule>
    <cfRule dxfId="0" operator="greaterThanOrEqual" priority="2254" type="cellIs">
      <formula>0</formula>
    </cfRule>
  </conditionalFormatting>
  <conditionalFormatting sqref="AH213:AH217">
    <cfRule dxfId="1" operator="lessThan" priority="1401" type="cellIs">
      <formula>0</formula>
    </cfRule>
    <cfRule dxfId="0" operator="greaterThanOrEqual" priority="1402" type="cellIs">
      <formula>0</formula>
    </cfRule>
  </conditionalFormatting>
  <conditionalFormatting sqref="AB27:AB31">
    <cfRule dxfId="1" operator="lessThan" priority="2249" type="cellIs">
      <formula>0</formula>
    </cfRule>
    <cfRule dxfId="0" operator="greaterThanOrEqual" priority="2250" type="cellIs">
      <formula>0</formula>
    </cfRule>
  </conditionalFormatting>
  <conditionalFormatting sqref="AE213:AE217">
    <cfRule dxfId="1" operator="lessThan" priority="1385" type="cellIs">
      <formula>0</formula>
    </cfRule>
    <cfRule dxfId="0" operator="greaterThanOrEqual" priority="1386" type="cellIs">
      <formula>0</formula>
    </cfRule>
  </conditionalFormatting>
  <conditionalFormatting sqref="V33:V37">
    <cfRule dxfId="1" operator="lessThan" priority="2235" type="cellIs">
      <formula>0</formula>
    </cfRule>
    <cfRule dxfId="0" operator="greaterThanOrEqual" priority="2236" type="cellIs">
      <formula>0</formula>
    </cfRule>
  </conditionalFormatting>
  <conditionalFormatting sqref="Y33:Y37">
    <cfRule dxfId="1" operator="lessThan" priority="2237" type="cellIs">
      <formula>0</formula>
    </cfRule>
    <cfRule dxfId="0" operator="greaterThanOrEqual" priority="2238" type="cellIs">
      <formula>0</formula>
    </cfRule>
  </conditionalFormatting>
  <conditionalFormatting sqref="AH33:AH37">
    <cfRule dxfId="1" operator="lessThan" priority="2241" type="cellIs">
      <formula>0</formula>
    </cfRule>
    <cfRule dxfId="0" operator="greaterThanOrEqual" priority="2242" type="cellIs">
      <formula>0</formula>
    </cfRule>
  </conditionalFormatting>
  <conditionalFormatting sqref="Y213:Y217">
    <cfRule dxfId="1" operator="lessThan" priority="1397" type="cellIs">
      <formula>0</formula>
    </cfRule>
    <cfRule dxfId="0" operator="greaterThanOrEqual" priority="1398" type="cellIs">
      <formula>0</formula>
    </cfRule>
  </conditionalFormatting>
  <conditionalFormatting sqref="AK33:AK37">
    <cfRule dxfId="1" operator="lessThan" priority="2245" type="cellIs">
      <formula>0</formula>
    </cfRule>
    <cfRule dxfId="0" operator="greaterThanOrEqual" priority="2246" type="cellIs">
      <formula>0</formula>
    </cfRule>
  </conditionalFormatting>
  <conditionalFormatting sqref="AB213:AB217">
    <cfRule dxfId="1" operator="lessThan" priority="1381" type="cellIs">
      <formula>0</formula>
    </cfRule>
    <cfRule dxfId="0" operator="greaterThanOrEqual" priority="1382" type="cellIs">
      <formula>0</formula>
    </cfRule>
  </conditionalFormatting>
  <conditionalFormatting sqref="AN33:AN37">
    <cfRule dxfId="1" operator="lessThan" priority="2229" type="cellIs">
      <formula>0</formula>
    </cfRule>
    <cfRule dxfId="0" operator="greaterThanOrEqual" priority="2230" type="cellIs">
      <formula>0</formula>
    </cfRule>
  </conditionalFormatting>
  <conditionalFormatting sqref="AK219:AK223">
    <cfRule dxfId="1" operator="lessThan" priority="1377" type="cellIs">
      <formula>0</formula>
    </cfRule>
    <cfRule dxfId="0" operator="greaterThanOrEqual" priority="1378" type="cellIs">
      <formula>0</formula>
    </cfRule>
  </conditionalFormatting>
  <conditionalFormatting sqref="AE33:AE37">
    <cfRule dxfId="1" operator="lessThan" priority="2225" type="cellIs">
      <formula>0</formula>
    </cfRule>
    <cfRule dxfId="0" operator="greaterThanOrEqual" priority="2226" type="cellIs">
      <formula>0</formula>
    </cfRule>
  </conditionalFormatting>
  <conditionalFormatting sqref="AH219:AH223">
    <cfRule dxfId="1" operator="lessThan" priority="1373" type="cellIs">
      <formula>0</formula>
    </cfRule>
    <cfRule dxfId="0" operator="greaterThanOrEqual" priority="1374" type="cellIs">
      <formula>0</formula>
    </cfRule>
  </conditionalFormatting>
  <conditionalFormatting sqref="AB33:AB37">
    <cfRule dxfId="1" operator="lessThan" priority="2221" type="cellIs">
      <formula>0</formula>
    </cfRule>
    <cfRule dxfId="0" operator="greaterThanOrEqual" priority="2222" type="cellIs">
      <formula>0</formula>
    </cfRule>
  </conditionalFormatting>
  <conditionalFormatting sqref="AE219:AE223">
    <cfRule dxfId="1" operator="lessThan" priority="1357" type="cellIs">
      <formula>0</formula>
    </cfRule>
    <cfRule dxfId="0" operator="greaterThanOrEqual" priority="1358" type="cellIs">
      <formula>0</formula>
    </cfRule>
  </conditionalFormatting>
  <conditionalFormatting sqref="V39:V43">
    <cfRule dxfId="1" operator="lessThan" priority="2207" type="cellIs">
      <formula>0</formula>
    </cfRule>
    <cfRule dxfId="0" operator="greaterThanOrEqual" priority="2208" type="cellIs">
      <formula>0</formula>
    </cfRule>
  </conditionalFormatting>
  <conditionalFormatting sqref="Y39:Y43">
    <cfRule dxfId="1" operator="lessThan" priority="2209" type="cellIs">
      <formula>0</formula>
    </cfRule>
    <cfRule dxfId="0" operator="greaterThanOrEqual" priority="2210" type="cellIs">
      <formula>0</formula>
    </cfRule>
  </conditionalFormatting>
  <conditionalFormatting sqref="AH39:AH43">
    <cfRule dxfId="1" operator="lessThan" priority="2213" type="cellIs">
      <formula>0</formula>
    </cfRule>
    <cfRule dxfId="0" operator="greaterThanOrEqual" priority="2214" type="cellIs">
      <formula>0</formula>
    </cfRule>
  </conditionalFormatting>
  <conditionalFormatting sqref="Y219:Y223">
    <cfRule dxfId="1" operator="lessThan" priority="1369" type="cellIs">
      <formula>0</formula>
    </cfRule>
    <cfRule dxfId="0" operator="greaterThanOrEqual" priority="1370" type="cellIs">
      <formula>0</formula>
    </cfRule>
  </conditionalFormatting>
  <conditionalFormatting sqref="AK39:AK43">
    <cfRule dxfId="1" operator="lessThan" priority="2217" type="cellIs">
      <formula>0</formula>
    </cfRule>
    <cfRule dxfId="0" operator="greaterThanOrEqual" priority="2218" type="cellIs">
      <formula>0</formula>
    </cfRule>
  </conditionalFormatting>
  <conditionalFormatting sqref="AB219:AB223">
    <cfRule dxfId="1" operator="lessThan" priority="1353" type="cellIs">
      <formula>0</formula>
    </cfRule>
    <cfRule dxfId="0" operator="greaterThanOrEqual" priority="1354" type="cellIs">
      <formula>0</formula>
    </cfRule>
  </conditionalFormatting>
  <conditionalFormatting sqref="AN39:AN43">
    <cfRule dxfId="1" operator="lessThan" priority="2201" type="cellIs">
      <formula>0</formula>
    </cfRule>
    <cfRule dxfId="0" operator="greaterThanOrEqual" priority="2202" type="cellIs">
      <formula>0</formula>
    </cfRule>
  </conditionalFormatting>
  <conditionalFormatting sqref="AK225:AK229">
    <cfRule dxfId="1" operator="lessThan" priority="1349" type="cellIs">
      <formula>0</formula>
    </cfRule>
    <cfRule dxfId="0" operator="greaterThanOrEqual" priority="1350" type="cellIs">
      <formula>0</formula>
    </cfRule>
  </conditionalFormatting>
  <conditionalFormatting sqref="AE39:AE43">
    <cfRule dxfId="1" operator="lessThan" priority="2197" type="cellIs">
      <formula>0</formula>
    </cfRule>
    <cfRule dxfId="0" operator="greaterThanOrEqual" priority="2198" type="cellIs">
      <formula>0</formula>
    </cfRule>
  </conditionalFormatting>
  <conditionalFormatting sqref="AH225:AH229">
    <cfRule dxfId="1" operator="lessThan" priority="1345" type="cellIs">
      <formula>0</formula>
    </cfRule>
    <cfRule dxfId="0" operator="greaterThanOrEqual" priority="1346" type="cellIs">
      <formula>0</formula>
    </cfRule>
  </conditionalFormatting>
  <conditionalFormatting sqref="AB39:AB43">
    <cfRule dxfId="1" operator="lessThan" priority="2193" type="cellIs">
      <formula>0</formula>
    </cfRule>
    <cfRule dxfId="0" operator="greaterThanOrEqual" priority="2194" type="cellIs">
      <formula>0</formula>
    </cfRule>
  </conditionalFormatting>
  <conditionalFormatting sqref="AE225:AE229">
    <cfRule dxfId="1" operator="lessThan" priority="1329" type="cellIs">
      <formula>0</formula>
    </cfRule>
    <cfRule dxfId="0" operator="greaterThanOrEqual" priority="1330" type="cellIs">
      <formula>0</formula>
    </cfRule>
  </conditionalFormatting>
  <conditionalFormatting sqref="V45:V49">
    <cfRule dxfId="1" operator="lessThan" priority="2179" type="cellIs">
      <formula>0</formula>
    </cfRule>
    <cfRule dxfId="0" operator="greaterThanOrEqual" priority="2180" type="cellIs">
      <formula>0</formula>
    </cfRule>
  </conditionalFormatting>
  <conditionalFormatting sqref="Y45:Y49">
    <cfRule dxfId="1" operator="lessThan" priority="2181" type="cellIs">
      <formula>0</formula>
    </cfRule>
    <cfRule dxfId="0" operator="greaterThanOrEqual" priority="2182" type="cellIs">
      <formula>0</formula>
    </cfRule>
  </conditionalFormatting>
  <conditionalFormatting sqref="AH45:AH49">
    <cfRule dxfId="1" operator="lessThan" priority="2185" type="cellIs">
      <formula>0</formula>
    </cfRule>
    <cfRule dxfId="0" operator="greaterThanOrEqual" priority="2186" type="cellIs">
      <formula>0</formula>
    </cfRule>
  </conditionalFormatting>
  <conditionalFormatting sqref="Y225:Y229">
    <cfRule dxfId="1" operator="lessThan" priority="1341" type="cellIs">
      <formula>0</formula>
    </cfRule>
    <cfRule dxfId="0" operator="greaterThanOrEqual" priority="1342" type="cellIs">
      <formula>0</formula>
    </cfRule>
  </conditionalFormatting>
  <conditionalFormatting sqref="AK45:AK49">
    <cfRule dxfId="1" operator="lessThan" priority="2189" type="cellIs">
      <formula>0</formula>
    </cfRule>
    <cfRule dxfId="0" operator="greaterThanOrEqual" priority="2190" type="cellIs">
      <formula>0</formula>
    </cfRule>
  </conditionalFormatting>
  <conditionalFormatting sqref="AB225:AB229">
    <cfRule dxfId="1" operator="lessThan" priority="1325" type="cellIs">
      <formula>0</formula>
    </cfRule>
    <cfRule dxfId="0" operator="greaterThanOrEqual" priority="1326" type="cellIs">
      <formula>0</formula>
    </cfRule>
  </conditionalFormatting>
  <conditionalFormatting sqref="AN45:AN49">
    <cfRule dxfId="1" operator="lessThan" priority="2173" type="cellIs">
      <formula>0</formula>
    </cfRule>
    <cfRule dxfId="0" operator="greaterThanOrEqual" priority="2174" type="cellIs">
      <formula>0</formula>
    </cfRule>
  </conditionalFormatting>
  <conditionalFormatting sqref="AK231:AK235">
    <cfRule dxfId="1" operator="lessThan" priority="1321" type="cellIs">
      <formula>0</formula>
    </cfRule>
    <cfRule dxfId="0" operator="greaterThanOrEqual" priority="1322" type="cellIs">
      <formula>0</formula>
    </cfRule>
  </conditionalFormatting>
  <conditionalFormatting sqref="AE45:AE49">
    <cfRule dxfId="1" operator="lessThan" priority="2169" type="cellIs">
      <formula>0</formula>
    </cfRule>
    <cfRule dxfId="0" operator="greaterThanOrEqual" priority="2170" type="cellIs">
      <formula>0</formula>
    </cfRule>
  </conditionalFormatting>
  <conditionalFormatting sqref="AH231:AH235">
    <cfRule dxfId="1" operator="lessThan" priority="1317" type="cellIs">
      <formula>0</formula>
    </cfRule>
    <cfRule dxfId="0" operator="greaterThanOrEqual" priority="1318" type="cellIs">
      <formula>0</formula>
    </cfRule>
  </conditionalFormatting>
  <conditionalFormatting sqref="AB45:AB49">
    <cfRule dxfId="1" operator="lessThan" priority="2165" type="cellIs">
      <formula>0</formula>
    </cfRule>
    <cfRule dxfId="0" operator="greaterThanOrEqual" priority="2166" type="cellIs">
      <formula>0</formula>
    </cfRule>
  </conditionalFormatting>
  <conditionalFormatting sqref="AE231:AE235">
    <cfRule dxfId="1" operator="lessThan" priority="1301" type="cellIs">
      <formula>0</formula>
    </cfRule>
    <cfRule dxfId="0" operator="greaterThanOrEqual" priority="1302" type="cellIs">
      <formula>0</formula>
    </cfRule>
  </conditionalFormatting>
  <conditionalFormatting sqref="V51:V55">
    <cfRule dxfId="1" operator="lessThan" priority="2151" type="cellIs">
      <formula>0</formula>
    </cfRule>
    <cfRule dxfId="0" operator="greaterThanOrEqual" priority="2152" type="cellIs">
      <formula>0</formula>
    </cfRule>
  </conditionalFormatting>
  <conditionalFormatting sqref="Y51:Y55">
    <cfRule dxfId="1" operator="lessThan" priority="2153" type="cellIs">
      <formula>0</formula>
    </cfRule>
    <cfRule dxfId="0" operator="greaterThanOrEqual" priority="2154" type="cellIs">
      <formula>0</formula>
    </cfRule>
  </conditionalFormatting>
  <conditionalFormatting sqref="AH51:AH55">
    <cfRule dxfId="1" operator="lessThan" priority="2157" type="cellIs">
      <formula>0</formula>
    </cfRule>
    <cfRule dxfId="0" operator="greaterThanOrEqual" priority="2158" type="cellIs">
      <formula>0</formula>
    </cfRule>
  </conditionalFormatting>
  <conditionalFormatting sqref="Y231:Y235">
    <cfRule dxfId="1" operator="lessThan" priority="1313" type="cellIs">
      <formula>0</formula>
    </cfRule>
    <cfRule dxfId="0" operator="greaterThanOrEqual" priority="1314" type="cellIs">
      <formula>0</formula>
    </cfRule>
  </conditionalFormatting>
  <conditionalFormatting sqref="AK51:AK55">
    <cfRule dxfId="1" operator="lessThan" priority="2161" type="cellIs">
      <formula>0</formula>
    </cfRule>
    <cfRule dxfId="0" operator="greaterThanOrEqual" priority="2162" type="cellIs">
      <formula>0</formula>
    </cfRule>
  </conditionalFormatting>
  <conditionalFormatting sqref="AB231:AB235">
    <cfRule dxfId="1" operator="lessThan" priority="1297" type="cellIs">
      <formula>0</formula>
    </cfRule>
    <cfRule dxfId="0" operator="greaterThanOrEqual" priority="1298" type="cellIs">
      <formula>0</formula>
    </cfRule>
  </conditionalFormatting>
  <conditionalFormatting sqref="AN51:AN55">
    <cfRule dxfId="1" operator="lessThan" priority="2145" type="cellIs">
      <formula>0</formula>
    </cfRule>
    <cfRule dxfId="0" operator="greaterThanOrEqual" priority="2146" type="cellIs">
      <formula>0</formula>
    </cfRule>
  </conditionalFormatting>
  <conditionalFormatting sqref="AK237:AK241">
    <cfRule dxfId="1" operator="lessThan" priority="1293" type="cellIs">
      <formula>0</formula>
    </cfRule>
    <cfRule dxfId="0" operator="greaterThanOrEqual" priority="1294" type="cellIs">
      <formula>0</formula>
    </cfRule>
  </conditionalFormatting>
  <conditionalFormatting sqref="AE51:AE55">
    <cfRule dxfId="1" operator="lessThan" priority="2141" type="cellIs">
      <formula>0</formula>
    </cfRule>
    <cfRule dxfId="0" operator="greaterThanOrEqual" priority="2142" type="cellIs">
      <formula>0</formula>
    </cfRule>
  </conditionalFormatting>
  <conditionalFormatting sqref="AH237:AH241">
    <cfRule dxfId="1" operator="lessThan" priority="1289" type="cellIs">
      <formula>0</formula>
    </cfRule>
    <cfRule dxfId="0" operator="greaterThanOrEqual" priority="1290" type="cellIs">
      <formula>0</formula>
    </cfRule>
  </conditionalFormatting>
  <conditionalFormatting sqref="AB51:AB55">
    <cfRule dxfId="1" operator="lessThan" priority="2137" type="cellIs">
      <formula>0</formula>
    </cfRule>
    <cfRule dxfId="0" operator="greaterThanOrEqual" priority="2138" type="cellIs">
      <formula>0</formula>
    </cfRule>
  </conditionalFormatting>
  <conditionalFormatting sqref="AE237:AE241">
    <cfRule dxfId="1" operator="lessThan" priority="1273" type="cellIs">
      <formula>0</formula>
    </cfRule>
    <cfRule dxfId="0" operator="greaterThanOrEqual" priority="1274" type="cellIs">
      <formula>0</formula>
    </cfRule>
  </conditionalFormatting>
  <conditionalFormatting sqref="V57:V61">
    <cfRule dxfId="1" operator="lessThan" priority="2123" type="cellIs">
      <formula>0</formula>
    </cfRule>
    <cfRule dxfId="0" operator="greaterThanOrEqual" priority="2124" type="cellIs">
      <formula>0</formula>
    </cfRule>
  </conditionalFormatting>
  <conditionalFormatting sqref="Y57:Y61">
    <cfRule dxfId="1" operator="lessThan" priority="2125" type="cellIs">
      <formula>0</formula>
    </cfRule>
    <cfRule dxfId="0" operator="greaterThanOrEqual" priority="2126" type="cellIs">
      <formula>0</formula>
    </cfRule>
  </conditionalFormatting>
  <conditionalFormatting sqref="AH57:AH61">
    <cfRule dxfId="1" operator="lessThan" priority="2129" type="cellIs">
      <formula>0</formula>
    </cfRule>
    <cfRule dxfId="0" operator="greaterThanOrEqual" priority="2130" type="cellIs">
      <formula>0</formula>
    </cfRule>
  </conditionalFormatting>
  <conditionalFormatting sqref="Y237:Y241">
    <cfRule dxfId="1" operator="lessThan" priority="1285" type="cellIs">
      <formula>0</formula>
    </cfRule>
    <cfRule dxfId="0" operator="greaterThanOrEqual" priority="1286" type="cellIs">
      <formula>0</formula>
    </cfRule>
  </conditionalFormatting>
  <conditionalFormatting sqref="AK57:AK61">
    <cfRule dxfId="1" operator="lessThan" priority="2133" type="cellIs">
      <formula>0</formula>
    </cfRule>
    <cfRule dxfId="0" operator="greaterThanOrEqual" priority="2134" type="cellIs">
      <formula>0</formula>
    </cfRule>
  </conditionalFormatting>
  <conditionalFormatting sqref="AB237:AB241">
    <cfRule dxfId="1" operator="lessThan" priority="1269" type="cellIs">
      <formula>0</formula>
    </cfRule>
    <cfRule dxfId="0" operator="greaterThanOrEqual" priority="1270" type="cellIs">
      <formula>0</formula>
    </cfRule>
  </conditionalFormatting>
  <conditionalFormatting sqref="AN57:AN61">
    <cfRule dxfId="1" operator="lessThan" priority="2117" type="cellIs">
      <formula>0</formula>
    </cfRule>
    <cfRule dxfId="0" operator="greaterThanOrEqual" priority="2118" type="cellIs">
      <formula>0</formula>
    </cfRule>
  </conditionalFormatting>
  <conditionalFormatting sqref="AK243:AK247">
    <cfRule dxfId="1" operator="lessThan" priority="1265" type="cellIs">
      <formula>0</formula>
    </cfRule>
    <cfRule dxfId="0" operator="greaterThanOrEqual" priority="1266" type="cellIs">
      <formula>0</formula>
    </cfRule>
  </conditionalFormatting>
  <conditionalFormatting sqref="AE57:AE61">
    <cfRule dxfId="1" operator="lessThan" priority="2113" type="cellIs">
      <formula>0</formula>
    </cfRule>
    <cfRule dxfId="0" operator="greaterThanOrEqual" priority="2114" type="cellIs">
      <formula>0</formula>
    </cfRule>
  </conditionalFormatting>
  <conditionalFormatting sqref="AH243:AH247">
    <cfRule dxfId="1" operator="lessThan" priority="1261" type="cellIs">
      <formula>0</formula>
    </cfRule>
    <cfRule dxfId="0" operator="greaterThanOrEqual" priority="1262" type="cellIs">
      <formula>0</formula>
    </cfRule>
  </conditionalFormatting>
  <conditionalFormatting sqref="AB57:AB61">
    <cfRule dxfId="1" operator="lessThan" priority="2109" type="cellIs">
      <formula>0</formula>
    </cfRule>
    <cfRule dxfId="0" operator="greaterThanOrEqual" priority="2110" type="cellIs">
      <formula>0</formula>
    </cfRule>
  </conditionalFormatting>
  <conditionalFormatting sqref="AE243:AE247">
    <cfRule dxfId="1" operator="lessThan" priority="1245" type="cellIs">
      <formula>0</formula>
    </cfRule>
    <cfRule dxfId="0" operator="greaterThanOrEqual" priority="1246" type="cellIs">
      <formula>0</formula>
    </cfRule>
  </conditionalFormatting>
  <conditionalFormatting sqref="V63:V67">
    <cfRule dxfId="1" operator="lessThan" priority="2095" type="cellIs">
      <formula>0</formula>
    </cfRule>
    <cfRule dxfId="0" operator="greaterThanOrEqual" priority="2096" type="cellIs">
      <formula>0</formula>
    </cfRule>
  </conditionalFormatting>
  <conditionalFormatting sqref="Y63:Y67">
    <cfRule dxfId="1" operator="lessThan" priority="2097" type="cellIs">
      <formula>0</formula>
    </cfRule>
    <cfRule dxfId="0" operator="greaterThanOrEqual" priority="2098" type="cellIs">
      <formula>0</formula>
    </cfRule>
  </conditionalFormatting>
  <conditionalFormatting sqref="AH63:AH67">
    <cfRule dxfId="1" operator="lessThan" priority="2101" type="cellIs">
      <formula>0</formula>
    </cfRule>
    <cfRule dxfId="0" operator="greaterThanOrEqual" priority="2102" type="cellIs">
      <formula>0</formula>
    </cfRule>
  </conditionalFormatting>
  <conditionalFormatting sqref="Y243:Y247">
    <cfRule dxfId="1" operator="lessThan" priority="1257" type="cellIs">
      <formula>0</formula>
    </cfRule>
    <cfRule dxfId="0" operator="greaterThanOrEqual" priority="1258" type="cellIs">
      <formula>0</formula>
    </cfRule>
  </conditionalFormatting>
  <conditionalFormatting sqref="AK63:AK67">
    <cfRule dxfId="1" operator="lessThan" priority="2105" type="cellIs">
      <formula>0</formula>
    </cfRule>
    <cfRule dxfId="0" operator="greaterThanOrEqual" priority="2106" type="cellIs">
      <formula>0</formula>
    </cfRule>
  </conditionalFormatting>
  <conditionalFormatting sqref="AB243:AB247">
    <cfRule dxfId="1" operator="lessThan" priority="1241" type="cellIs">
      <formula>0</formula>
    </cfRule>
    <cfRule dxfId="0" operator="greaterThanOrEqual" priority="1242" type="cellIs">
      <formula>0</formula>
    </cfRule>
  </conditionalFormatting>
  <conditionalFormatting sqref="AN63:AN67">
    <cfRule dxfId="1" operator="lessThan" priority="2089" type="cellIs">
      <formula>0</formula>
    </cfRule>
    <cfRule dxfId="0" operator="greaterThanOrEqual" priority="2090" type="cellIs">
      <formula>0</formula>
    </cfRule>
  </conditionalFormatting>
  <conditionalFormatting sqref="AK249:AK253">
    <cfRule dxfId="1" operator="lessThan" priority="1237" type="cellIs">
      <formula>0</formula>
    </cfRule>
    <cfRule dxfId="0" operator="greaterThanOrEqual" priority="1238" type="cellIs">
      <formula>0</formula>
    </cfRule>
  </conditionalFormatting>
  <conditionalFormatting sqref="AE63:AE67">
    <cfRule dxfId="1" operator="lessThan" priority="2085" type="cellIs">
      <formula>0</formula>
    </cfRule>
    <cfRule dxfId="0" operator="greaterThanOrEqual" priority="2086" type="cellIs">
      <formula>0</formula>
    </cfRule>
  </conditionalFormatting>
  <conditionalFormatting sqref="AH249:AH253">
    <cfRule dxfId="1" operator="lessThan" priority="1233" type="cellIs">
      <formula>0</formula>
    </cfRule>
    <cfRule dxfId="0" operator="greaterThanOrEqual" priority="1234" type="cellIs">
      <formula>0</formula>
    </cfRule>
  </conditionalFormatting>
  <conditionalFormatting sqref="AB63:AB67">
    <cfRule dxfId="1" operator="lessThan" priority="2081" type="cellIs">
      <formula>0</formula>
    </cfRule>
    <cfRule dxfId="0" operator="greaterThanOrEqual" priority="2082" type="cellIs">
      <formula>0</formula>
    </cfRule>
  </conditionalFormatting>
  <conditionalFormatting sqref="AE249:AE253">
    <cfRule dxfId="1" operator="lessThan" priority="1217" type="cellIs">
      <formula>0</formula>
    </cfRule>
    <cfRule dxfId="0" operator="greaterThanOrEqual" priority="1218" type="cellIs">
      <formula>0</formula>
    </cfRule>
  </conditionalFormatting>
  <conditionalFormatting sqref="V69:V73">
    <cfRule dxfId="1" operator="lessThan" priority="2067" type="cellIs">
      <formula>0</formula>
    </cfRule>
    <cfRule dxfId="0" operator="greaterThanOrEqual" priority="2068" type="cellIs">
      <formula>0</formula>
    </cfRule>
  </conditionalFormatting>
  <conditionalFormatting sqref="Y69:Y73">
    <cfRule dxfId="1" operator="lessThan" priority="2069" type="cellIs">
      <formula>0</formula>
    </cfRule>
    <cfRule dxfId="0" operator="greaterThanOrEqual" priority="2070" type="cellIs">
      <formula>0</formula>
    </cfRule>
  </conditionalFormatting>
  <conditionalFormatting sqref="AH69:AH73">
    <cfRule dxfId="1" operator="lessThan" priority="2073" type="cellIs">
      <formula>0</formula>
    </cfRule>
    <cfRule dxfId="0" operator="greaterThanOrEqual" priority="2074" type="cellIs">
      <formula>0</formula>
    </cfRule>
  </conditionalFormatting>
  <conditionalFormatting sqref="Y249:Y253">
    <cfRule dxfId="1" operator="lessThan" priority="1229" type="cellIs">
      <formula>0</formula>
    </cfRule>
    <cfRule dxfId="0" operator="greaterThanOrEqual" priority="1230" type="cellIs">
      <formula>0</formula>
    </cfRule>
  </conditionalFormatting>
  <conditionalFormatting sqref="AK69:AK73">
    <cfRule dxfId="1" operator="lessThan" priority="2077" type="cellIs">
      <formula>0</formula>
    </cfRule>
    <cfRule dxfId="0" operator="greaterThanOrEqual" priority="2078" type="cellIs">
      <formula>0</formula>
    </cfRule>
  </conditionalFormatting>
  <conditionalFormatting sqref="AB249:AB253">
    <cfRule dxfId="1" operator="lessThan" priority="1213" type="cellIs">
      <formula>0</formula>
    </cfRule>
    <cfRule dxfId="0" operator="greaterThanOrEqual" priority="1214" type="cellIs">
      <formula>0</formula>
    </cfRule>
  </conditionalFormatting>
  <conditionalFormatting sqref="AN69:AN73">
    <cfRule dxfId="1" operator="lessThan" priority="2061" type="cellIs">
      <formula>0</formula>
    </cfRule>
    <cfRule dxfId="0" operator="greaterThanOrEqual" priority="2062" type="cellIs">
      <formula>0</formula>
    </cfRule>
  </conditionalFormatting>
  <conditionalFormatting sqref="AK255:AK259">
    <cfRule dxfId="1" operator="lessThan" priority="1209" type="cellIs">
      <formula>0</formula>
    </cfRule>
    <cfRule dxfId="0" operator="greaterThanOrEqual" priority="1210" type="cellIs">
      <formula>0</formula>
    </cfRule>
  </conditionalFormatting>
  <conditionalFormatting sqref="AE69:AE73">
    <cfRule dxfId="1" operator="lessThan" priority="2057" type="cellIs">
      <formula>0</formula>
    </cfRule>
    <cfRule dxfId="0" operator="greaterThanOrEqual" priority="2058" type="cellIs">
      <formula>0</formula>
    </cfRule>
  </conditionalFormatting>
  <conditionalFormatting sqref="AH255:AH259">
    <cfRule dxfId="1" operator="lessThan" priority="1205" type="cellIs">
      <formula>0</formula>
    </cfRule>
    <cfRule dxfId="0" operator="greaterThanOrEqual" priority="1206" type="cellIs">
      <formula>0</formula>
    </cfRule>
  </conditionalFormatting>
  <conditionalFormatting sqref="AB69:AB73">
    <cfRule dxfId="1" operator="lessThan" priority="2053" type="cellIs">
      <formula>0</formula>
    </cfRule>
    <cfRule dxfId="0" operator="greaterThanOrEqual" priority="2054" type="cellIs">
      <formula>0</formula>
    </cfRule>
  </conditionalFormatting>
  <conditionalFormatting sqref="AE255:AE259">
    <cfRule dxfId="1" operator="lessThan" priority="1189" type="cellIs">
      <formula>0</formula>
    </cfRule>
    <cfRule dxfId="0" operator="greaterThanOrEqual" priority="1190" type="cellIs">
      <formula>0</formula>
    </cfRule>
  </conditionalFormatting>
  <conditionalFormatting sqref="V75:V79">
    <cfRule dxfId="1" operator="lessThan" priority="2039" type="cellIs">
      <formula>0</formula>
    </cfRule>
    <cfRule dxfId="0" operator="greaterThanOrEqual" priority="2040" type="cellIs">
      <formula>0</formula>
    </cfRule>
  </conditionalFormatting>
  <conditionalFormatting sqref="Y75:Y79">
    <cfRule dxfId="1" operator="lessThan" priority="2041" type="cellIs">
      <formula>0</formula>
    </cfRule>
    <cfRule dxfId="0" operator="greaterThanOrEqual" priority="2042" type="cellIs">
      <formula>0</formula>
    </cfRule>
  </conditionalFormatting>
  <conditionalFormatting sqref="AH75:AH79">
    <cfRule dxfId="1" operator="lessThan" priority="2045" type="cellIs">
      <formula>0</formula>
    </cfRule>
    <cfRule dxfId="0" operator="greaterThanOrEqual" priority="2046" type="cellIs">
      <formula>0</formula>
    </cfRule>
  </conditionalFormatting>
  <conditionalFormatting sqref="Y255:Y259">
    <cfRule dxfId="1" operator="lessThan" priority="1201" type="cellIs">
      <formula>0</formula>
    </cfRule>
    <cfRule dxfId="0" operator="greaterThanOrEqual" priority="1202" type="cellIs">
      <formula>0</formula>
    </cfRule>
  </conditionalFormatting>
  <conditionalFormatting sqref="AK75:AK79">
    <cfRule dxfId="1" operator="lessThan" priority="2049" type="cellIs">
      <formula>0</formula>
    </cfRule>
    <cfRule dxfId="0" operator="greaterThanOrEqual" priority="2050" type="cellIs">
      <formula>0</formula>
    </cfRule>
  </conditionalFormatting>
  <conditionalFormatting sqref="AB255:AB259">
    <cfRule dxfId="1" operator="lessThan" priority="1185" type="cellIs">
      <formula>0</formula>
    </cfRule>
    <cfRule dxfId="0" operator="greaterThanOrEqual" priority="1186" type="cellIs">
      <formula>0</formula>
    </cfRule>
  </conditionalFormatting>
  <conditionalFormatting sqref="AN75:AN79">
    <cfRule dxfId="1" operator="lessThan" priority="2033" type="cellIs">
      <formula>0</formula>
    </cfRule>
    <cfRule dxfId="0" operator="greaterThanOrEqual" priority="2034" type="cellIs">
      <formula>0</formula>
    </cfRule>
  </conditionalFormatting>
  <conditionalFormatting sqref="AK261:AK265">
    <cfRule dxfId="1" operator="lessThan" priority="1181" type="cellIs">
      <formula>0</formula>
    </cfRule>
    <cfRule dxfId="0" operator="greaterThanOrEqual" priority="1182" type="cellIs">
      <formula>0</formula>
    </cfRule>
  </conditionalFormatting>
  <conditionalFormatting sqref="AE75:AE79">
    <cfRule dxfId="1" operator="lessThan" priority="2029" type="cellIs">
      <formula>0</formula>
    </cfRule>
    <cfRule dxfId="0" operator="greaterThanOrEqual" priority="2030" type="cellIs">
      <formula>0</formula>
    </cfRule>
  </conditionalFormatting>
  <conditionalFormatting sqref="AH261:AH265">
    <cfRule dxfId="1" operator="lessThan" priority="1177" type="cellIs">
      <formula>0</formula>
    </cfRule>
    <cfRule dxfId="0" operator="greaterThanOrEqual" priority="1178" type="cellIs">
      <formula>0</formula>
    </cfRule>
  </conditionalFormatting>
  <conditionalFormatting sqref="AB75:AB79">
    <cfRule dxfId="1" operator="lessThan" priority="2025" type="cellIs">
      <formula>0</formula>
    </cfRule>
    <cfRule dxfId="0" operator="greaterThanOrEqual" priority="2026" type="cellIs">
      <formula>0</formula>
    </cfRule>
  </conditionalFormatting>
  <conditionalFormatting sqref="AE261:AE265">
    <cfRule dxfId="1" operator="lessThan" priority="1161" type="cellIs">
      <formula>0</formula>
    </cfRule>
    <cfRule dxfId="0" operator="greaterThanOrEqual" priority="1162" type="cellIs">
      <formula>0</formula>
    </cfRule>
  </conditionalFormatting>
  <conditionalFormatting sqref="V81:V85">
    <cfRule dxfId="1" operator="lessThan" priority="2011" type="cellIs">
      <formula>0</formula>
    </cfRule>
    <cfRule dxfId="0" operator="greaterThanOrEqual" priority="2012" type="cellIs">
      <formula>0</formula>
    </cfRule>
  </conditionalFormatting>
  <conditionalFormatting sqref="Y81:Y85">
    <cfRule dxfId="1" operator="lessThan" priority="2013" type="cellIs">
      <formula>0</formula>
    </cfRule>
    <cfRule dxfId="0" operator="greaterThanOrEqual" priority="2014" type="cellIs">
      <formula>0</formula>
    </cfRule>
  </conditionalFormatting>
  <conditionalFormatting sqref="AH81:AH85">
    <cfRule dxfId="1" operator="lessThan" priority="2017" type="cellIs">
      <formula>0</formula>
    </cfRule>
    <cfRule dxfId="0" operator="greaterThanOrEqual" priority="2018" type="cellIs">
      <formula>0</formula>
    </cfRule>
  </conditionalFormatting>
  <conditionalFormatting sqref="Y261:Y265">
    <cfRule dxfId="1" operator="lessThan" priority="1173" type="cellIs">
      <formula>0</formula>
    </cfRule>
    <cfRule dxfId="0" operator="greaterThanOrEqual" priority="1174" type="cellIs">
      <formula>0</formula>
    </cfRule>
  </conditionalFormatting>
  <conditionalFormatting sqref="AK81:AK85">
    <cfRule dxfId="1" operator="lessThan" priority="2021" type="cellIs">
      <formula>0</formula>
    </cfRule>
    <cfRule dxfId="0" operator="greaterThanOrEqual" priority="2022" type="cellIs">
      <formula>0</formula>
    </cfRule>
  </conditionalFormatting>
  <conditionalFormatting sqref="AB261:AB265">
    <cfRule dxfId="1" operator="lessThan" priority="1157" type="cellIs">
      <formula>0</formula>
    </cfRule>
    <cfRule dxfId="0" operator="greaterThanOrEqual" priority="1158" type="cellIs">
      <formula>0</formula>
    </cfRule>
  </conditionalFormatting>
  <conditionalFormatting sqref="AN81:AN85">
    <cfRule dxfId="1" operator="lessThan" priority="2005" type="cellIs">
      <formula>0</formula>
    </cfRule>
    <cfRule dxfId="0" operator="greaterThanOrEqual" priority="2006" type="cellIs">
      <formula>0</formula>
    </cfRule>
  </conditionalFormatting>
  <conditionalFormatting sqref="AK267:AK271">
    <cfRule dxfId="1" operator="lessThan" priority="1153" type="cellIs">
      <formula>0</formula>
    </cfRule>
    <cfRule dxfId="0" operator="greaterThanOrEqual" priority="1154" type="cellIs">
      <formula>0</formula>
    </cfRule>
  </conditionalFormatting>
  <conditionalFormatting sqref="AE81:AE85">
    <cfRule dxfId="1" operator="lessThan" priority="2001" type="cellIs">
      <formula>0</formula>
    </cfRule>
    <cfRule dxfId="0" operator="greaterThanOrEqual" priority="2002" type="cellIs">
      <formula>0</formula>
    </cfRule>
  </conditionalFormatting>
  <conditionalFormatting sqref="AH267:AH271">
    <cfRule dxfId="1" operator="lessThan" priority="1149" type="cellIs">
      <formula>0</formula>
    </cfRule>
    <cfRule dxfId="0" operator="greaterThanOrEqual" priority="1150" type="cellIs">
      <formula>0</formula>
    </cfRule>
  </conditionalFormatting>
  <conditionalFormatting sqref="AB81:AB85">
    <cfRule dxfId="1" operator="lessThan" priority="1997" type="cellIs">
      <formula>0</formula>
    </cfRule>
    <cfRule dxfId="0" operator="greaterThanOrEqual" priority="1998" type="cellIs">
      <formula>0</formula>
    </cfRule>
  </conditionalFormatting>
  <conditionalFormatting sqref="AE267:AE271">
    <cfRule dxfId="1" operator="lessThan" priority="1133" type="cellIs">
      <formula>0</formula>
    </cfRule>
    <cfRule dxfId="0" operator="greaterThanOrEqual" priority="1134" type="cellIs">
      <formula>0</formula>
    </cfRule>
  </conditionalFormatting>
  <conditionalFormatting sqref="V87:V91">
    <cfRule dxfId="1" operator="lessThan" priority="1983" type="cellIs">
      <formula>0</formula>
    </cfRule>
    <cfRule dxfId="0" operator="greaterThanOrEqual" priority="1984" type="cellIs">
      <formula>0</formula>
    </cfRule>
  </conditionalFormatting>
  <conditionalFormatting sqref="Y87:Y91">
    <cfRule dxfId="1" operator="lessThan" priority="1985" type="cellIs">
      <formula>0</formula>
    </cfRule>
    <cfRule dxfId="0" operator="greaterThanOrEqual" priority="1986" type="cellIs">
      <formula>0</formula>
    </cfRule>
  </conditionalFormatting>
  <conditionalFormatting sqref="AH87:AH91">
    <cfRule dxfId="1" operator="lessThan" priority="1989" type="cellIs">
      <formula>0</formula>
    </cfRule>
    <cfRule dxfId="0" operator="greaterThanOrEqual" priority="1990" type="cellIs">
      <formula>0</formula>
    </cfRule>
  </conditionalFormatting>
  <conditionalFormatting sqref="Y267:Y271">
    <cfRule dxfId="1" operator="lessThan" priority="1145" type="cellIs">
      <formula>0</formula>
    </cfRule>
    <cfRule dxfId="0" operator="greaterThanOrEqual" priority="1146" type="cellIs">
      <formula>0</formula>
    </cfRule>
  </conditionalFormatting>
  <conditionalFormatting sqref="AK87:AK91">
    <cfRule dxfId="1" operator="lessThan" priority="1993" type="cellIs">
      <formula>0</formula>
    </cfRule>
    <cfRule dxfId="0" operator="greaterThanOrEqual" priority="1994" type="cellIs">
      <formula>0</formula>
    </cfRule>
  </conditionalFormatting>
  <conditionalFormatting sqref="AB267:AB271">
    <cfRule dxfId="1" operator="lessThan" priority="1129" type="cellIs">
      <formula>0</formula>
    </cfRule>
    <cfRule dxfId="0" operator="greaterThanOrEqual" priority="1130" type="cellIs">
      <formula>0</formula>
    </cfRule>
  </conditionalFormatting>
  <conditionalFormatting sqref="AN87:AN91">
    <cfRule dxfId="1" operator="lessThan" priority="1977" type="cellIs">
      <formula>0</formula>
    </cfRule>
    <cfRule dxfId="0" operator="greaterThanOrEqual" priority="1978" type="cellIs">
      <formula>0</formula>
    </cfRule>
  </conditionalFormatting>
  <conditionalFormatting sqref="AK273:AK277">
    <cfRule dxfId="1" operator="lessThan" priority="1125" type="cellIs">
      <formula>0</formula>
    </cfRule>
    <cfRule dxfId="0" operator="greaterThanOrEqual" priority="1126" type="cellIs">
      <formula>0</formula>
    </cfRule>
  </conditionalFormatting>
  <conditionalFormatting sqref="AE87:AE91">
    <cfRule dxfId="1" operator="lessThan" priority="1973" type="cellIs">
      <formula>0</formula>
    </cfRule>
    <cfRule dxfId="0" operator="greaterThanOrEqual" priority="1974" type="cellIs">
      <formula>0</formula>
    </cfRule>
  </conditionalFormatting>
  <conditionalFormatting sqref="AH273:AH277">
    <cfRule dxfId="1" operator="lessThan" priority="1121" type="cellIs">
      <formula>0</formula>
    </cfRule>
    <cfRule dxfId="0" operator="greaterThanOrEqual" priority="1122" type="cellIs">
      <formula>0</formula>
    </cfRule>
  </conditionalFormatting>
  <conditionalFormatting sqref="AB87:AB91">
    <cfRule dxfId="1" operator="lessThan" priority="1969" type="cellIs">
      <formula>0</formula>
    </cfRule>
    <cfRule dxfId="0" operator="greaterThanOrEqual" priority="1970" type="cellIs">
      <formula>0</formula>
    </cfRule>
  </conditionalFormatting>
  <conditionalFormatting sqref="AE273:AE277">
    <cfRule dxfId="1" operator="lessThan" priority="1105" type="cellIs">
      <formula>0</formula>
    </cfRule>
    <cfRule dxfId="0" operator="greaterThanOrEqual" priority="1106" type="cellIs">
      <formula>0</formula>
    </cfRule>
  </conditionalFormatting>
  <conditionalFormatting sqref="V93:V97">
    <cfRule dxfId="1" operator="lessThan" priority="1955" type="cellIs">
      <formula>0</formula>
    </cfRule>
    <cfRule dxfId="0" operator="greaterThanOrEqual" priority="1956" type="cellIs">
      <formula>0</formula>
    </cfRule>
  </conditionalFormatting>
  <conditionalFormatting sqref="Y93:Y97">
    <cfRule dxfId="1" operator="lessThan" priority="1957" type="cellIs">
      <formula>0</formula>
    </cfRule>
    <cfRule dxfId="0" operator="greaterThanOrEqual" priority="1958" type="cellIs">
      <formula>0</formula>
    </cfRule>
  </conditionalFormatting>
  <conditionalFormatting sqref="AH93:AH97">
    <cfRule dxfId="1" operator="lessThan" priority="1961" type="cellIs">
      <formula>0</formula>
    </cfRule>
    <cfRule dxfId="0" operator="greaterThanOrEqual" priority="1962" type="cellIs">
      <formula>0</formula>
    </cfRule>
  </conditionalFormatting>
  <conditionalFormatting sqref="Y273:Y277">
    <cfRule dxfId="1" operator="lessThan" priority="1117" type="cellIs">
      <formula>0</formula>
    </cfRule>
    <cfRule dxfId="0" operator="greaterThanOrEqual" priority="1118" type="cellIs">
      <formula>0</formula>
    </cfRule>
  </conditionalFormatting>
  <conditionalFormatting sqref="AK93:AK97">
    <cfRule dxfId="1" operator="lessThan" priority="1965" type="cellIs">
      <formula>0</formula>
    </cfRule>
    <cfRule dxfId="0" operator="greaterThanOrEqual" priority="1966" type="cellIs">
      <formula>0</formula>
    </cfRule>
  </conditionalFormatting>
  <conditionalFormatting sqref="AB273:AB277">
    <cfRule dxfId="1" operator="lessThan" priority="1101" type="cellIs">
      <formula>0</formula>
    </cfRule>
    <cfRule dxfId="0" operator="greaterThanOrEqual" priority="1102" type="cellIs">
      <formula>0</formula>
    </cfRule>
  </conditionalFormatting>
  <conditionalFormatting sqref="AN93:AN97">
    <cfRule dxfId="1" operator="lessThan" priority="1949" type="cellIs">
      <formula>0</formula>
    </cfRule>
    <cfRule dxfId="0" operator="greaterThanOrEqual" priority="1950" type="cellIs">
      <formula>0</formula>
    </cfRule>
  </conditionalFormatting>
  <conditionalFormatting sqref="AK279:AK286">
    <cfRule dxfId="1" operator="lessThan" priority="1097" type="cellIs">
      <formula>0</formula>
    </cfRule>
    <cfRule dxfId="0" operator="greaterThanOrEqual" priority="1098" type="cellIs">
      <formula>0</formula>
    </cfRule>
  </conditionalFormatting>
  <conditionalFormatting sqref="AE93:AE97">
    <cfRule dxfId="1" operator="lessThan" priority="1945" type="cellIs">
      <formula>0</formula>
    </cfRule>
    <cfRule dxfId="0" operator="greaterThanOrEqual" priority="1946" type="cellIs">
      <formula>0</formula>
    </cfRule>
  </conditionalFormatting>
  <conditionalFormatting sqref="AH279:AH286">
    <cfRule dxfId="1" operator="lessThan" priority="1093" type="cellIs">
      <formula>0</formula>
    </cfRule>
    <cfRule dxfId="0" operator="greaterThanOrEqual" priority="1094" type="cellIs">
      <formula>0</formula>
    </cfRule>
  </conditionalFormatting>
  <conditionalFormatting sqref="AB93:AB97">
    <cfRule dxfId="1" operator="lessThan" priority="1941" type="cellIs">
      <formula>0</formula>
    </cfRule>
    <cfRule dxfId="0" operator="greaterThanOrEqual" priority="1942" type="cellIs">
      <formula>0</formula>
    </cfRule>
  </conditionalFormatting>
  <conditionalFormatting sqref="AE279:AE286">
    <cfRule dxfId="1" operator="lessThan" priority="1077" type="cellIs">
      <formula>0</formula>
    </cfRule>
    <cfRule dxfId="0" operator="greaterThanOrEqual" priority="1078" type="cellIs">
      <formula>0</formula>
    </cfRule>
  </conditionalFormatting>
  <conditionalFormatting sqref="V99:V103">
    <cfRule dxfId="1" operator="lessThan" priority="1927" type="cellIs">
      <formula>0</formula>
    </cfRule>
    <cfRule dxfId="0" operator="greaterThanOrEqual" priority="1928" type="cellIs">
      <formula>0</formula>
    </cfRule>
  </conditionalFormatting>
  <conditionalFormatting sqref="Y99:Y103">
    <cfRule dxfId="1" operator="lessThan" priority="1929" type="cellIs">
      <formula>0</formula>
    </cfRule>
    <cfRule dxfId="0" operator="greaterThanOrEqual" priority="1930" type="cellIs">
      <formula>0</formula>
    </cfRule>
  </conditionalFormatting>
  <conditionalFormatting sqref="AH99:AH103">
    <cfRule dxfId="1" operator="lessThan" priority="1933" type="cellIs">
      <formula>0</formula>
    </cfRule>
    <cfRule dxfId="0" operator="greaterThanOrEqual" priority="1934" type="cellIs">
      <formula>0</formula>
    </cfRule>
  </conditionalFormatting>
  <conditionalFormatting sqref="Y279:Y286">
    <cfRule dxfId="1" operator="lessThan" priority="1089" type="cellIs">
      <formula>0</formula>
    </cfRule>
    <cfRule dxfId="0" operator="greaterThanOrEqual" priority="1090" type="cellIs">
      <formula>0</formula>
    </cfRule>
  </conditionalFormatting>
  <conditionalFormatting sqref="AK99:AK103">
    <cfRule dxfId="1" operator="lessThan" priority="1937" type="cellIs">
      <formula>0</formula>
    </cfRule>
    <cfRule dxfId="0" operator="greaterThanOrEqual" priority="1938" type="cellIs">
      <formula>0</formula>
    </cfRule>
  </conditionalFormatting>
  <conditionalFormatting sqref="AB279:AB286">
    <cfRule dxfId="1" operator="lessThan" priority="1073" type="cellIs">
      <formula>0</formula>
    </cfRule>
    <cfRule dxfId="0" operator="greaterThanOrEqual" priority="1074" type="cellIs">
      <formula>0</formula>
    </cfRule>
  </conditionalFormatting>
  <conditionalFormatting sqref="AN99:AN103">
    <cfRule dxfId="1" operator="lessThan" priority="1921" type="cellIs">
      <formula>0</formula>
    </cfRule>
    <cfRule dxfId="0" operator="greaterThanOrEqual" priority="1922" type="cellIs">
      <formula>0</formula>
    </cfRule>
  </conditionalFormatting>
  <conditionalFormatting sqref="AE99:AE103">
    <cfRule dxfId="1" operator="lessThan" priority="1917" type="cellIs">
      <formula>0</formula>
    </cfRule>
    <cfRule dxfId="0" operator="greaterThanOrEqual" priority="1918" type="cellIs">
      <formula>0</formula>
    </cfRule>
  </conditionalFormatting>
  <conditionalFormatting sqref="AB99:AB103">
    <cfRule dxfId="1" operator="lessThan" priority="1913" type="cellIs">
      <formula>0</formula>
    </cfRule>
    <cfRule dxfId="0" operator="greaterThanOrEqual" priority="1914" type="cellIs">
      <formula>0</formula>
    </cfRule>
  </conditionalFormatting>
  <conditionalFormatting sqref="V105:V109">
    <cfRule dxfId="1" operator="lessThan" priority="1899" type="cellIs">
      <formula>0</formula>
    </cfRule>
    <cfRule dxfId="0" operator="greaterThanOrEqual" priority="1900" type="cellIs">
      <formula>0</formula>
    </cfRule>
  </conditionalFormatting>
  <conditionalFormatting sqref="Y105:Y109">
    <cfRule dxfId="1" operator="lessThan" priority="1901" type="cellIs">
      <formula>0</formula>
    </cfRule>
    <cfRule dxfId="0" operator="greaterThanOrEqual" priority="1902" type="cellIs">
      <formula>0</formula>
    </cfRule>
  </conditionalFormatting>
  <conditionalFormatting sqref="AH105:AH109">
    <cfRule dxfId="1" operator="lessThan" priority="1905" type="cellIs">
      <formula>0</formula>
    </cfRule>
    <cfRule dxfId="0" operator="greaterThanOrEqual" priority="1906" type="cellIs">
      <formula>0</formula>
    </cfRule>
  </conditionalFormatting>
  <conditionalFormatting sqref="AK105:AK109">
    <cfRule dxfId="1" operator="lessThan" priority="1909" type="cellIs">
      <formula>0</formula>
    </cfRule>
    <cfRule dxfId="0" operator="greaterThanOrEqual" priority="1910" type="cellIs">
      <formula>0</formula>
    </cfRule>
  </conditionalFormatting>
  <conditionalFormatting sqref="AN105:AN109">
    <cfRule dxfId="1" operator="lessThan" priority="1893" type="cellIs">
      <formula>0</formula>
    </cfRule>
    <cfRule dxfId="0" operator="greaterThanOrEqual" priority="1894" type="cellIs">
      <formula>0</formula>
    </cfRule>
  </conditionalFormatting>
  <conditionalFormatting sqref="AK300:AK304">
    <cfRule dxfId="1" operator="lessThan" priority="1041" type="cellIs">
      <formula>0</formula>
    </cfRule>
    <cfRule dxfId="0" operator="greaterThanOrEqual" priority="1042" type="cellIs">
      <formula>0</formula>
    </cfRule>
  </conditionalFormatting>
  <conditionalFormatting sqref="AE105:AE109">
    <cfRule dxfId="1" operator="lessThan" priority="1889" type="cellIs">
      <formula>0</formula>
    </cfRule>
    <cfRule dxfId="0" operator="greaterThanOrEqual" priority="1890" type="cellIs">
      <formula>0</formula>
    </cfRule>
  </conditionalFormatting>
  <conditionalFormatting sqref="AH300:AH304">
    <cfRule dxfId="1" operator="lessThan" priority="1037" type="cellIs">
      <formula>0</formula>
    </cfRule>
    <cfRule dxfId="0" operator="greaterThanOrEqual" priority="1038" type="cellIs">
      <formula>0</formula>
    </cfRule>
  </conditionalFormatting>
  <conditionalFormatting sqref="AB105:AB109">
    <cfRule dxfId="1" operator="lessThan" priority="1885" type="cellIs">
      <formula>0</formula>
    </cfRule>
    <cfRule dxfId="0" operator="greaterThanOrEqual" priority="1886" type="cellIs">
      <formula>0</formula>
    </cfRule>
  </conditionalFormatting>
  <conditionalFormatting sqref="AE300:AE304">
    <cfRule dxfId="1" operator="lessThan" priority="1021" type="cellIs">
      <formula>0</formula>
    </cfRule>
    <cfRule dxfId="0" operator="greaterThanOrEqual" priority="1022" type="cellIs">
      <formula>0</formula>
    </cfRule>
  </conditionalFormatting>
  <conditionalFormatting sqref="V111:V115">
    <cfRule dxfId="1" operator="lessThan" priority="1871" type="cellIs">
      <formula>0</formula>
    </cfRule>
    <cfRule dxfId="0" operator="greaterThanOrEqual" priority="1872" type="cellIs">
      <formula>0</formula>
    </cfRule>
  </conditionalFormatting>
  <conditionalFormatting sqref="Y111:Y115">
    <cfRule dxfId="1" operator="lessThan" priority="1873" type="cellIs">
      <formula>0</formula>
    </cfRule>
    <cfRule dxfId="0" operator="greaterThanOrEqual" priority="1874" type="cellIs">
      <formula>0</formula>
    </cfRule>
  </conditionalFormatting>
  <conditionalFormatting sqref="AH111:AH115">
    <cfRule dxfId="1" operator="lessThan" priority="1877" type="cellIs">
      <formula>0</formula>
    </cfRule>
    <cfRule dxfId="0" operator="greaterThanOrEqual" priority="1878" type="cellIs">
      <formula>0</formula>
    </cfRule>
  </conditionalFormatting>
  <conditionalFormatting sqref="Y300:Y304">
    <cfRule dxfId="1" operator="lessThan" priority="1033" type="cellIs">
      <formula>0</formula>
    </cfRule>
    <cfRule dxfId="0" operator="greaterThanOrEqual" priority="1034" type="cellIs">
      <formula>0</formula>
    </cfRule>
  </conditionalFormatting>
  <conditionalFormatting sqref="AK111:AK115">
    <cfRule dxfId="1" operator="lessThan" priority="1881" type="cellIs">
      <formula>0</formula>
    </cfRule>
    <cfRule dxfId="0" operator="greaterThanOrEqual" priority="1882" type="cellIs">
      <formula>0</formula>
    </cfRule>
  </conditionalFormatting>
  <conditionalFormatting sqref="AB300:AB304">
    <cfRule dxfId="1" operator="lessThan" priority="1017" type="cellIs">
      <formula>0</formula>
    </cfRule>
    <cfRule dxfId="0" operator="greaterThanOrEqual" priority="1018" type="cellIs">
      <formula>0</formula>
    </cfRule>
  </conditionalFormatting>
  <conditionalFormatting sqref="AN111:AN115">
    <cfRule dxfId="1" operator="lessThan" priority="1865" type="cellIs">
      <formula>0</formula>
    </cfRule>
    <cfRule dxfId="0" operator="greaterThanOrEqual" priority="1866" type="cellIs">
      <formula>0</formula>
    </cfRule>
  </conditionalFormatting>
  <conditionalFormatting sqref="AK306:AK310">
    <cfRule dxfId="1" operator="lessThan" priority="1013" type="cellIs">
      <formula>0</formula>
    </cfRule>
    <cfRule dxfId="0" operator="greaterThanOrEqual" priority="1014" type="cellIs">
      <formula>0</formula>
    </cfRule>
  </conditionalFormatting>
  <conditionalFormatting sqref="AE111:AE115">
    <cfRule dxfId="1" operator="lessThan" priority="1861" type="cellIs">
      <formula>0</formula>
    </cfRule>
    <cfRule dxfId="0" operator="greaterThanOrEqual" priority="1862" type="cellIs">
      <formula>0</formula>
    </cfRule>
  </conditionalFormatting>
  <conditionalFormatting sqref="AH306:AH310">
    <cfRule dxfId="1" operator="lessThan" priority="1009" type="cellIs">
      <formula>0</formula>
    </cfRule>
    <cfRule dxfId="0" operator="greaterThanOrEqual" priority="1010" type="cellIs">
      <formula>0</formula>
    </cfRule>
  </conditionalFormatting>
  <conditionalFormatting sqref="AB111:AB115">
    <cfRule dxfId="1" operator="lessThan" priority="1857" type="cellIs">
      <formula>0</formula>
    </cfRule>
    <cfRule dxfId="0" operator="greaterThanOrEqual" priority="1858" type="cellIs">
      <formula>0</formula>
    </cfRule>
  </conditionalFormatting>
  <conditionalFormatting sqref="AE306:AE310">
    <cfRule dxfId="1" operator="lessThan" priority="993" type="cellIs">
      <formula>0</formula>
    </cfRule>
    <cfRule dxfId="0" operator="greaterThanOrEqual" priority="994" type="cellIs">
      <formula>0</formula>
    </cfRule>
  </conditionalFormatting>
  <conditionalFormatting sqref="V117:V121">
    <cfRule dxfId="1" operator="lessThan" priority="1843" type="cellIs">
      <formula>0</formula>
    </cfRule>
    <cfRule dxfId="0" operator="greaterThanOrEqual" priority="1844" type="cellIs">
      <formula>0</formula>
    </cfRule>
  </conditionalFormatting>
  <conditionalFormatting sqref="Y117:Y121">
    <cfRule dxfId="1" operator="lessThan" priority="1845" type="cellIs">
      <formula>0</formula>
    </cfRule>
    <cfRule dxfId="0" operator="greaterThanOrEqual" priority="1846" type="cellIs">
      <formula>0</formula>
    </cfRule>
  </conditionalFormatting>
  <conditionalFormatting sqref="AH117:AH121">
    <cfRule dxfId="1" operator="lessThan" priority="1849" type="cellIs">
      <formula>0</formula>
    </cfRule>
    <cfRule dxfId="0" operator="greaterThanOrEqual" priority="1850" type="cellIs">
      <formula>0</formula>
    </cfRule>
  </conditionalFormatting>
  <conditionalFormatting sqref="Y306:Y310">
    <cfRule dxfId="1" operator="lessThan" priority="1005" type="cellIs">
      <formula>0</formula>
    </cfRule>
    <cfRule dxfId="0" operator="greaterThanOrEqual" priority="1006" type="cellIs">
      <formula>0</formula>
    </cfRule>
  </conditionalFormatting>
  <conditionalFormatting sqref="AK117:AK121">
    <cfRule dxfId="1" operator="lessThan" priority="1853" type="cellIs">
      <formula>0</formula>
    </cfRule>
    <cfRule dxfId="0" operator="greaterThanOrEqual" priority="1854" type="cellIs">
      <formula>0</formula>
    </cfRule>
  </conditionalFormatting>
  <conditionalFormatting sqref="AB306:AB310">
    <cfRule dxfId="1" operator="lessThan" priority="989" type="cellIs">
      <formula>0</formula>
    </cfRule>
    <cfRule dxfId="0" operator="greaterThanOrEqual" priority="990" type="cellIs">
      <formula>0</formula>
    </cfRule>
  </conditionalFormatting>
  <conditionalFormatting sqref="AN117:AN121">
    <cfRule dxfId="1" operator="lessThan" priority="1837" type="cellIs">
      <formula>0</formula>
    </cfRule>
    <cfRule dxfId="0" operator="greaterThanOrEqual" priority="1838" type="cellIs">
      <formula>0</formula>
    </cfRule>
  </conditionalFormatting>
  <conditionalFormatting sqref="AK312:AK316">
    <cfRule dxfId="1" operator="lessThan" priority="985" type="cellIs">
      <formula>0</formula>
    </cfRule>
    <cfRule dxfId="0" operator="greaterThanOrEqual" priority="986" type="cellIs">
      <formula>0</formula>
    </cfRule>
  </conditionalFormatting>
  <conditionalFormatting sqref="AE117:AE121">
    <cfRule dxfId="1" operator="lessThan" priority="1833" type="cellIs">
      <formula>0</formula>
    </cfRule>
    <cfRule dxfId="0" operator="greaterThanOrEqual" priority="1834" type="cellIs">
      <formula>0</formula>
    </cfRule>
  </conditionalFormatting>
  <conditionalFormatting sqref="AH312:AH316">
    <cfRule dxfId="1" operator="lessThan" priority="981" type="cellIs">
      <formula>0</formula>
    </cfRule>
    <cfRule dxfId="0" operator="greaterThanOrEqual" priority="982" type="cellIs">
      <formula>0</formula>
    </cfRule>
  </conditionalFormatting>
  <conditionalFormatting sqref="AB117:AB121">
    <cfRule dxfId="1" operator="lessThan" priority="1829" type="cellIs">
      <formula>0</formula>
    </cfRule>
    <cfRule dxfId="0" operator="greaterThanOrEqual" priority="1830" type="cellIs">
      <formula>0</formula>
    </cfRule>
  </conditionalFormatting>
  <conditionalFormatting sqref="AE312:AE316">
    <cfRule dxfId="1" operator="lessThan" priority="965" type="cellIs">
      <formula>0</formula>
    </cfRule>
    <cfRule dxfId="0" operator="greaterThanOrEqual" priority="966" type="cellIs">
      <formula>0</formula>
    </cfRule>
  </conditionalFormatting>
  <conditionalFormatting sqref="V123:V127">
    <cfRule dxfId="1" operator="lessThan" priority="1815" type="cellIs">
      <formula>0</formula>
    </cfRule>
    <cfRule dxfId="0" operator="greaterThanOrEqual" priority="1816" type="cellIs">
      <formula>0</formula>
    </cfRule>
  </conditionalFormatting>
  <conditionalFormatting sqref="Y123:Y127">
    <cfRule dxfId="1" operator="lessThan" priority="1817" type="cellIs">
      <formula>0</formula>
    </cfRule>
    <cfRule dxfId="0" operator="greaterThanOrEqual" priority="1818" type="cellIs">
      <formula>0</formula>
    </cfRule>
  </conditionalFormatting>
  <conditionalFormatting sqref="AH123:AH127">
    <cfRule dxfId="1" operator="lessThan" priority="1821" type="cellIs">
      <formula>0</formula>
    </cfRule>
    <cfRule dxfId="0" operator="greaterThanOrEqual" priority="1822" type="cellIs">
      <formula>0</formula>
    </cfRule>
  </conditionalFormatting>
  <conditionalFormatting sqref="Y312:Y316">
    <cfRule dxfId="1" operator="lessThan" priority="977" type="cellIs">
      <formula>0</formula>
    </cfRule>
    <cfRule dxfId="0" operator="greaterThanOrEqual" priority="978" type="cellIs">
      <formula>0</formula>
    </cfRule>
  </conditionalFormatting>
  <conditionalFormatting sqref="AK123:AK127">
    <cfRule dxfId="1" operator="lessThan" priority="1825" type="cellIs">
      <formula>0</formula>
    </cfRule>
    <cfRule dxfId="0" operator="greaterThanOrEqual" priority="1826" type="cellIs">
      <formula>0</formula>
    </cfRule>
  </conditionalFormatting>
  <conditionalFormatting sqref="AB312:AB316">
    <cfRule dxfId="1" operator="lessThan" priority="961" type="cellIs">
      <formula>0</formula>
    </cfRule>
    <cfRule dxfId="0" operator="greaterThanOrEqual" priority="962" type="cellIs">
      <formula>0</formula>
    </cfRule>
  </conditionalFormatting>
  <conditionalFormatting sqref="AN123:AN127">
    <cfRule dxfId="1" operator="lessThan" priority="1809" type="cellIs">
      <formula>0</formula>
    </cfRule>
    <cfRule dxfId="0" operator="greaterThanOrEqual" priority="1810" type="cellIs">
      <formula>0</formula>
    </cfRule>
  </conditionalFormatting>
  <conditionalFormatting sqref="AK318:AK322">
    <cfRule dxfId="1" operator="lessThan" priority="957" type="cellIs">
      <formula>0</formula>
    </cfRule>
    <cfRule dxfId="0" operator="greaterThanOrEqual" priority="958" type="cellIs">
      <formula>0</formula>
    </cfRule>
  </conditionalFormatting>
  <conditionalFormatting sqref="AE123:AE127">
    <cfRule dxfId="1" operator="lessThan" priority="1805" type="cellIs">
      <formula>0</formula>
    </cfRule>
    <cfRule dxfId="0" operator="greaterThanOrEqual" priority="1806" type="cellIs">
      <formula>0</formula>
    </cfRule>
  </conditionalFormatting>
  <conditionalFormatting sqref="AH318:AH322">
    <cfRule dxfId="1" operator="lessThan" priority="953" type="cellIs">
      <formula>0</formula>
    </cfRule>
    <cfRule dxfId="0" operator="greaterThanOrEqual" priority="954" type="cellIs">
      <formula>0</formula>
    </cfRule>
  </conditionalFormatting>
  <conditionalFormatting sqref="AB123:AB127">
    <cfRule dxfId="1" operator="lessThan" priority="1801" type="cellIs">
      <formula>0</formula>
    </cfRule>
    <cfRule dxfId="0" operator="greaterThanOrEqual" priority="1802" type="cellIs">
      <formula>0</formula>
    </cfRule>
  </conditionalFormatting>
  <conditionalFormatting sqref="AE318:AE322">
    <cfRule dxfId="1" operator="lessThan" priority="937" type="cellIs">
      <formula>0</formula>
    </cfRule>
    <cfRule dxfId="0" operator="greaterThanOrEqual" priority="938" type="cellIs">
      <formula>0</formula>
    </cfRule>
  </conditionalFormatting>
  <conditionalFormatting sqref="V129:V133">
    <cfRule dxfId="1" operator="lessThan" priority="1787" type="cellIs">
      <formula>0</formula>
    </cfRule>
    <cfRule dxfId="0" operator="greaterThanOrEqual" priority="1788" type="cellIs">
      <formula>0</formula>
    </cfRule>
  </conditionalFormatting>
  <conditionalFormatting sqref="Y129:Y133">
    <cfRule dxfId="1" operator="lessThan" priority="1789" type="cellIs">
      <formula>0</formula>
    </cfRule>
    <cfRule dxfId="0" operator="greaterThanOrEqual" priority="1790" type="cellIs">
      <formula>0</formula>
    </cfRule>
  </conditionalFormatting>
  <conditionalFormatting sqref="AH129:AH133">
    <cfRule dxfId="1" operator="lessThan" priority="1793" type="cellIs">
      <formula>0</formula>
    </cfRule>
    <cfRule dxfId="0" operator="greaterThanOrEqual" priority="1794" type="cellIs">
      <formula>0</formula>
    </cfRule>
  </conditionalFormatting>
  <conditionalFormatting sqref="Y318:Y322">
    <cfRule dxfId="1" operator="lessThan" priority="949" type="cellIs">
      <formula>0</formula>
    </cfRule>
    <cfRule dxfId="0" operator="greaterThanOrEqual" priority="950" type="cellIs">
      <formula>0</formula>
    </cfRule>
  </conditionalFormatting>
  <conditionalFormatting sqref="AK129:AK133">
    <cfRule dxfId="1" operator="lessThan" priority="1797" type="cellIs">
      <formula>0</formula>
    </cfRule>
    <cfRule dxfId="0" operator="greaterThanOrEqual" priority="1798" type="cellIs">
      <formula>0</formula>
    </cfRule>
  </conditionalFormatting>
  <conditionalFormatting sqref="AB318:AB322">
    <cfRule dxfId="1" operator="lessThan" priority="933" type="cellIs">
      <formula>0</formula>
    </cfRule>
    <cfRule dxfId="0" operator="greaterThanOrEqual" priority="934" type="cellIs">
      <formula>0</formula>
    </cfRule>
  </conditionalFormatting>
  <conditionalFormatting sqref="AN129:AN133">
    <cfRule dxfId="1" operator="lessThan" priority="1781" type="cellIs">
      <formula>0</formula>
    </cfRule>
    <cfRule dxfId="0" operator="greaterThanOrEqual" priority="1782" type="cellIs">
      <formula>0</formula>
    </cfRule>
  </conditionalFormatting>
  <conditionalFormatting sqref="AK14">
    <cfRule dxfId="1" operator="lessThan" priority="929" type="cellIs">
      <formula>0</formula>
    </cfRule>
    <cfRule dxfId="0" operator="greaterThanOrEqual" priority="930" type="cellIs">
      <formula>0</formula>
    </cfRule>
  </conditionalFormatting>
  <conditionalFormatting sqref="AE129:AE133">
    <cfRule dxfId="1" operator="lessThan" priority="1777" type="cellIs">
      <formula>0</formula>
    </cfRule>
    <cfRule dxfId="0" operator="greaterThanOrEqual" priority="1778" type="cellIs">
      <formula>0</formula>
    </cfRule>
  </conditionalFormatting>
  <conditionalFormatting sqref="AH14">
    <cfRule dxfId="1" operator="lessThan" priority="925" type="cellIs">
      <formula>0</formula>
    </cfRule>
    <cfRule dxfId="0" operator="greaterThanOrEqual" priority="926" type="cellIs">
      <formula>0</formula>
    </cfRule>
  </conditionalFormatting>
  <conditionalFormatting sqref="AB129:AB133">
    <cfRule dxfId="1" operator="lessThan" priority="1773" type="cellIs">
      <formula>0</formula>
    </cfRule>
    <cfRule dxfId="0" operator="greaterThanOrEqual" priority="1774" type="cellIs">
      <formula>0</formula>
    </cfRule>
  </conditionalFormatting>
  <conditionalFormatting sqref="AE14">
    <cfRule dxfId="1" operator="lessThan" priority="909" type="cellIs">
      <formula>0</formula>
    </cfRule>
    <cfRule dxfId="0" operator="greaterThanOrEqual" priority="910" type="cellIs">
      <formula>0</formula>
    </cfRule>
  </conditionalFormatting>
  <conditionalFormatting sqref="V135:V139">
    <cfRule dxfId="1" operator="lessThan" priority="1759" type="cellIs">
      <formula>0</formula>
    </cfRule>
    <cfRule dxfId="0" operator="greaterThanOrEqual" priority="1760" type="cellIs">
      <formula>0</formula>
    </cfRule>
  </conditionalFormatting>
  <conditionalFormatting sqref="Y135:Y139">
    <cfRule dxfId="1" operator="lessThan" priority="1761" type="cellIs">
      <formula>0</formula>
    </cfRule>
    <cfRule dxfId="0" operator="greaterThanOrEqual" priority="1762" type="cellIs">
      <formula>0</formula>
    </cfRule>
  </conditionalFormatting>
  <conditionalFormatting sqref="AH135:AH139">
    <cfRule dxfId="1" operator="lessThan" priority="1765" type="cellIs">
      <formula>0</formula>
    </cfRule>
    <cfRule dxfId="0" operator="greaterThanOrEqual" priority="1766" type="cellIs">
      <formula>0</formula>
    </cfRule>
  </conditionalFormatting>
  <conditionalFormatting sqref="Y14">
    <cfRule dxfId="1" operator="lessThan" priority="921" type="cellIs">
      <formula>0</formula>
    </cfRule>
    <cfRule dxfId="0" operator="greaterThanOrEqual" priority="922" type="cellIs">
      <formula>0</formula>
    </cfRule>
  </conditionalFormatting>
  <conditionalFormatting sqref="AK135:AK139">
    <cfRule dxfId="1" operator="lessThan" priority="1769" type="cellIs">
      <formula>0</formula>
    </cfRule>
    <cfRule dxfId="0" operator="greaterThanOrEqual" priority="1770" type="cellIs">
      <formula>0</formula>
    </cfRule>
  </conditionalFormatting>
  <conditionalFormatting sqref="AB14">
    <cfRule dxfId="1" operator="lessThan" priority="905" type="cellIs">
      <formula>0</formula>
    </cfRule>
    <cfRule dxfId="0" operator="greaterThanOrEqual" priority="906" type="cellIs">
      <formula>0</formula>
    </cfRule>
  </conditionalFormatting>
  <conditionalFormatting sqref="AN135:AN139">
    <cfRule dxfId="1" operator="lessThan" priority="1753" type="cellIs">
      <formula>0</formula>
    </cfRule>
    <cfRule dxfId="0" operator="greaterThanOrEqual" priority="1754" type="cellIs">
      <formula>0</formula>
    </cfRule>
  </conditionalFormatting>
  <conditionalFormatting sqref="AK20">
    <cfRule dxfId="1" operator="lessThan" priority="901" type="cellIs">
      <formula>0</formula>
    </cfRule>
    <cfRule dxfId="0" operator="greaterThanOrEqual" priority="902" type="cellIs">
      <formula>0</formula>
    </cfRule>
  </conditionalFormatting>
  <conditionalFormatting sqref="AE135:AE139">
    <cfRule dxfId="1" operator="lessThan" priority="1749" type="cellIs">
      <formula>0</formula>
    </cfRule>
    <cfRule dxfId="0" operator="greaterThanOrEqual" priority="1750" type="cellIs">
      <formula>0</formula>
    </cfRule>
  </conditionalFormatting>
  <conditionalFormatting sqref="AH20">
    <cfRule dxfId="1" operator="lessThan" priority="897" type="cellIs">
      <formula>0</formula>
    </cfRule>
    <cfRule dxfId="0" operator="greaterThanOrEqual" priority="898" type="cellIs">
      <formula>0</formula>
    </cfRule>
  </conditionalFormatting>
  <conditionalFormatting sqref="AB135:AB139">
    <cfRule dxfId="1" operator="lessThan" priority="1745" type="cellIs">
      <formula>0</formula>
    </cfRule>
    <cfRule dxfId="0" operator="greaterThanOrEqual" priority="1746" type="cellIs">
      <formula>0</formula>
    </cfRule>
  </conditionalFormatting>
  <conditionalFormatting sqref="AE20">
    <cfRule dxfId="1" operator="lessThan" priority="881" type="cellIs">
      <formula>0</formula>
    </cfRule>
    <cfRule dxfId="0" operator="greaterThanOrEqual" priority="882" type="cellIs">
      <formula>0</formula>
    </cfRule>
  </conditionalFormatting>
  <conditionalFormatting sqref="V141:V145">
    <cfRule dxfId="1" operator="lessThan" priority="1731" type="cellIs">
      <formula>0</formula>
    </cfRule>
    <cfRule dxfId="0" operator="greaterThanOrEqual" priority="1732" type="cellIs">
      <formula>0</formula>
    </cfRule>
  </conditionalFormatting>
  <conditionalFormatting sqref="Y141:Y145">
    <cfRule dxfId="1" operator="lessThan" priority="1733" type="cellIs">
      <formula>0</formula>
    </cfRule>
    <cfRule dxfId="0" operator="greaterThanOrEqual" priority="1734" type="cellIs">
      <formula>0</formula>
    </cfRule>
  </conditionalFormatting>
  <conditionalFormatting sqref="AH141:AH145">
    <cfRule dxfId="1" operator="lessThan" priority="1737" type="cellIs">
      <formula>0</formula>
    </cfRule>
    <cfRule dxfId="0" operator="greaterThanOrEqual" priority="1738" type="cellIs">
      <formula>0</formula>
    </cfRule>
  </conditionalFormatting>
  <conditionalFormatting sqref="Y20">
    <cfRule dxfId="1" operator="lessThan" priority="893" type="cellIs">
      <formula>0</formula>
    </cfRule>
    <cfRule dxfId="0" operator="greaterThanOrEqual" priority="894" type="cellIs">
      <formula>0</formula>
    </cfRule>
  </conditionalFormatting>
  <conditionalFormatting sqref="AK141:AK145">
    <cfRule dxfId="1" operator="lessThan" priority="1741" type="cellIs">
      <formula>0</formula>
    </cfRule>
    <cfRule dxfId="0" operator="greaterThanOrEqual" priority="1742" type="cellIs">
      <formula>0</formula>
    </cfRule>
  </conditionalFormatting>
  <conditionalFormatting sqref="AB20">
    <cfRule dxfId="1" operator="lessThan" priority="877" type="cellIs">
      <formula>0</formula>
    </cfRule>
    <cfRule dxfId="0" operator="greaterThanOrEqual" priority="878" type="cellIs">
      <formula>0</formula>
    </cfRule>
  </conditionalFormatting>
  <conditionalFormatting sqref="AN141:AN145">
    <cfRule dxfId="1" operator="lessThan" priority="1725" type="cellIs">
      <formula>0</formula>
    </cfRule>
    <cfRule dxfId="0" operator="greaterThanOrEqual" priority="1726" type="cellIs">
      <formula>0</formula>
    </cfRule>
  </conditionalFormatting>
  <conditionalFormatting sqref="AK26">
    <cfRule dxfId="1" operator="lessThan" priority="873" type="cellIs">
      <formula>0</formula>
    </cfRule>
    <cfRule dxfId="0" operator="greaterThanOrEqual" priority="874" type="cellIs">
      <formula>0</formula>
    </cfRule>
  </conditionalFormatting>
  <conditionalFormatting sqref="AE141:AE145">
    <cfRule dxfId="1" operator="lessThan" priority="1721" type="cellIs">
      <formula>0</formula>
    </cfRule>
    <cfRule dxfId="0" operator="greaterThanOrEqual" priority="1722" type="cellIs">
      <formula>0</formula>
    </cfRule>
  </conditionalFormatting>
  <conditionalFormatting sqref="AH26">
    <cfRule dxfId="1" operator="lessThan" priority="869" type="cellIs">
      <formula>0</formula>
    </cfRule>
    <cfRule dxfId="0" operator="greaterThanOrEqual" priority="870" type="cellIs">
      <formula>0</formula>
    </cfRule>
  </conditionalFormatting>
  <conditionalFormatting sqref="AB141:AB145">
    <cfRule dxfId="1" operator="lessThan" priority="1717" type="cellIs">
      <formula>0</formula>
    </cfRule>
    <cfRule dxfId="0" operator="greaterThanOrEqual" priority="1718" type="cellIs">
      <formula>0</formula>
    </cfRule>
  </conditionalFormatting>
  <conditionalFormatting sqref="AE26">
    <cfRule dxfId="1" operator="lessThan" priority="853" type="cellIs">
      <formula>0</formula>
    </cfRule>
    <cfRule dxfId="0" operator="greaterThanOrEqual" priority="854" type="cellIs">
      <formula>0</formula>
    </cfRule>
  </conditionalFormatting>
  <conditionalFormatting sqref="V147:V151">
    <cfRule dxfId="1" operator="lessThan" priority="1703" type="cellIs">
      <formula>0</formula>
    </cfRule>
    <cfRule dxfId="0" operator="greaterThanOrEqual" priority="1704" type="cellIs">
      <formula>0</formula>
    </cfRule>
  </conditionalFormatting>
  <conditionalFormatting sqref="Y147:Y151">
    <cfRule dxfId="1" operator="lessThan" priority="1705" type="cellIs">
      <formula>0</formula>
    </cfRule>
    <cfRule dxfId="0" operator="greaterThanOrEqual" priority="1706" type="cellIs">
      <formula>0</formula>
    </cfRule>
  </conditionalFormatting>
  <conditionalFormatting sqref="AH147:AH151">
    <cfRule dxfId="1" operator="lessThan" priority="1709" type="cellIs">
      <formula>0</formula>
    </cfRule>
    <cfRule dxfId="0" operator="greaterThanOrEqual" priority="1710" type="cellIs">
      <formula>0</formula>
    </cfRule>
  </conditionalFormatting>
  <conditionalFormatting sqref="Y26">
    <cfRule dxfId="1" operator="lessThan" priority="865" type="cellIs">
      <formula>0</formula>
    </cfRule>
    <cfRule dxfId="0" operator="greaterThanOrEqual" priority="866" type="cellIs">
      <formula>0</formula>
    </cfRule>
  </conditionalFormatting>
  <conditionalFormatting sqref="AK147:AK151">
    <cfRule dxfId="1" operator="lessThan" priority="1713" type="cellIs">
      <formula>0</formula>
    </cfRule>
    <cfRule dxfId="0" operator="greaterThanOrEqual" priority="1714" type="cellIs">
      <formula>0</formula>
    </cfRule>
  </conditionalFormatting>
  <conditionalFormatting sqref="AB26">
    <cfRule dxfId="1" operator="lessThan" priority="849" type="cellIs">
      <formula>0</formula>
    </cfRule>
    <cfRule dxfId="0" operator="greaterThanOrEqual" priority="850" type="cellIs">
      <formula>0</formula>
    </cfRule>
  </conditionalFormatting>
  <conditionalFormatting sqref="AN147:AN151">
    <cfRule dxfId="1" operator="lessThan" priority="1697" type="cellIs">
      <formula>0</formula>
    </cfRule>
    <cfRule dxfId="0" operator="greaterThanOrEqual" priority="1698" type="cellIs">
      <formula>0</formula>
    </cfRule>
  </conditionalFormatting>
  <conditionalFormatting sqref="AE147:AE151">
    <cfRule dxfId="1" operator="lessThan" priority="1693" type="cellIs">
      <formula>0</formula>
    </cfRule>
    <cfRule dxfId="0" operator="greaterThanOrEqual" priority="1694" type="cellIs">
      <formula>0</formula>
    </cfRule>
  </conditionalFormatting>
  <conditionalFormatting sqref="AK32">
    <cfRule dxfId="1" operator="lessThan" priority="841" type="cellIs">
      <formula>0</formula>
    </cfRule>
    <cfRule dxfId="0" operator="greaterThanOrEqual" priority="842" type="cellIs">
      <formula>0</formula>
    </cfRule>
  </conditionalFormatting>
  <conditionalFormatting sqref="AB147:AB151">
    <cfRule dxfId="1" operator="lessThan" priority="1689" type="cellIs">
      <formula>0</formula>
    </cfRule>
    <cfRule dxfId="0" operator="greaterThanOrEqual" priority="1690" type="cellIs">
      <formula>0</formula>
    </cfRule>
  </conditionalFormatting>
  <conditionalFormatting sqref="G38 P38 S38">
    <cfRule dxfId="1" operator="lessThan" priority="825" type="cellIs">
      <formula>0</formula>
    </cfRule>
    <cfRule dxfId="0" operator="greaterThanOrEqual" priority="826" type="cellIs">
      <formula>0</formula>
    </cfRule>
  </conditionalFormatting>
  <conditionalFormatting sqref="V153:V157">
    <cfRule dxfId="1" operator="lessThan" priority="1675" type="cellIs">
      <formula>0</formula>
    </cfRule>
    <cfRule dxfId="0" operator="greaterThanOrEqual" priority="1676" type="cellIs">
      <formula>0</formula>
    </cfRule>
  </conditionalFormatting>
  <conditionalFormatting sqref="Y153:Y157">
    <cfRule dxfId="1" operator="lessThan" priority="1677" type="cellIs">
      <formula>0</formula>
    </cfRule>
    <cfRule dxfId="0" operator="greaterThanOrEqual" priority="1678" type="cellIs">
      <formula>0</formula>
    </cfRule>
  </conditionalFormatting>
  <conditionalFormatting sqref="AN32">
    <cfRule dxfId="1" operator="lessThan" priority="833" type="cellIs">
      <formula>0</formula>
    </cfRule>
    <cfRule dxfId="0" operator="greaterThanOrEqual" priority="834" type="cellIs">
      <formula>0</formula>
    </cfRule>
  </conditionalFormatting>
  <conditionalFormatting sqref="AH153:AH157">
    <cfRule dxfId="1" operator="lessThan" priority="1681" type="cellIs">
      <formula>0</formula>
    </cfRule>
    <cfRule dxfId="0" operator="greaterThanOrEqual" priority="1682" type="cellIs">
      <formula>0</formula>
    </cfRule>
  </conditionalFormatting>
  <conditionalFormatting sqref="Y32">
    <cfRule dxfId="1" operator="lessThan" priority="837" type="cellIs">
      <formula>0</formula>
    </cfRule>
    <cfRule dxfId="0" operator="greaterThanOrEqual" priority="838" type="cellIs">
      <formula>0</formula>
    </cfRule>
  </conditionalFormatting>
  <conditionalFormatting sqref="AK153:AK157">
    <cfRule dxfId="1" operator="lessThan" priority="1685" type="cellIs">
      <formula>0</formula>
    </cfRule>
    <cfRule dxfId="0" operator="greaterThanOrEqual" priority="1686" type="cellIs">
      <formula>0</formula>
    </cfRule>
  </conditionalFormatting>
  <conditionalFormatting sqref="AH38">
    <cfRule dxfId="1" operator="lessThan" priority="821" type="cellIs">
      <formula>0</formula>
    </cfRule>
    <cfRule dxfId="0" operator="greaterThanOrEqual" priority="822" type="cellIs">
      <formula>0</formula>
    </cfRule>
  </conditionalFormatting>
  <conditionalFormatting sqref="AN153:AN157">
    <cfRule dxfId="1" operator="lessThan" priority="1669" type="cellIs">
      <formula>0</formula>
    </cfRule>
    <cfRule dxfId="0" operator="greaterThanOrEqual" priority="1670" type="cellIs">
      <formula>0</formula>
    </cfRule>
  </conditionalFormatting>
  <conditionalFormatting sqref="V38">
    <cfRule dxfId="1" operator="lessThan" priority="817" type="cellIs">
      <formula>0</formula>
    </cfRule>
    <cfRule dxfId="0" operator="greaterThanOrEqual" priority="818" type="cellIs">
      <formula>0</formula>
    </cfRule>
  </conditionalFormatting>
  <conditionalFormatting sqref="AE153:AE157">
    <cfRule dxfId="1" operator="lessThan" priority="1665" type="cellIs">
      <formula>0</formula>
    </cfRule>
    <cfRule dxfId="0" operator="greaterThanOrEqual" priority="1666" type="cellIs">
      <formula>0</formula>
    </cfRule>
  </conditionalFormatting>
  <conditionalFormatting sqref="AE38">
    <cfRule dxfId="1" operator="lessThan" priority="813" type="cellIs">
      <formula>0</formula>
    </cfRule>
    <cfRule dxfId="0" operator="greaterThanOrEqual" priority="814" type="cellIs">
      <formula>0</formula>
    </cfRule>
  </conditionalFormatting>
  <conditionalFormatting sqref="AB153:AB157">
    <cfRule dxfId="1" operator="lessThan" priority="1661" type="cellIs">
      <formula>0</formula>
    </cfRule>
    <cfRule dxfId="0" operator="greaterThanOrEqual" priority="1662" type="cellIs">
      <formula>0</formula>
    </cfRule>
  </conditionalFormatting>
  <conditionalFormatting sqref="AN44">
    <cfRule dxfId="1" operator="lessThan" priority="797" type="cellIs">
      <formula>0</formula>
    </cfRule>
    <cfRule dxfId="0" operator="greaterThanOrEqual" priority="798" type="cellIs">
      <formula>0</formula>
    </cfRule>
  </conditionalFormatting>
  <conditionalFormatting sqref="V159:V163">
    <cfRule dxfId="1" operator="lessThan" priority="1647" type="cellIs">
      <formula>0</formula>
    </cfRule>
    <cfRule dxfId="0" operator="greaterThanOrEqual" priority="1648" type="cellIs">
      <formula>0</formula>
    </cfRule>
  </conditionalFormatting>
  <conditionalFormatting sqref="Y159:Y163">
    <cfRule dxfId="1" operator="lessThan" priority="1649" type="cellIs">
      <formula>0</formula>
    </cfRule>
    <cfRule dxfId="0" operator="greaterThanOrEqual" priority="1650" type="cellIs">
      <formula>0</formula>
    </cfRule>
  </conditionalFormatting>
  <conditionalFormatting sqref="AK44">
    <cfRule dxfId="1" operator="lessThan" priority="805" type="cellIs">
      <formula>0</formula>
    </cfRule>
    <cfRule dxfId="0" operator="greaterThanOrEqual" priority="806" type="cellIs">
      <formula>0</formula>
    </cfRule>
  </conditionalFormatting>
  <conditionalFormatting sqref="AH159:AH163">
    <cfRule dxfId="1" operator="lessThan" priority="1653" type="cellIs">
      <formula>0</formula>
    </cfRule>
    <cfRule dxfId="0" operator="greaterThanOrEqual" priority="1654" type="cellIs">
      <formula>0</formula>
    </cfRule>
  </conditionalFormatting>
  <conditionalFormatting sqref="AK159:AK163">
    <cfRule dxfId="1" operator="lessThan" priority="1657" type="cellIs">
      <formula>0</formula>
    </cfRule>
    <cfRule dxfId="0" operator="greaterThanOrEqual" priority="1658" type="cellIs">
      <formula>0</formula>
    </cfRule>
  </conditionalFormatting>
  <conditionalFormatting sqref="AB44">
    <cfRule dxfId="1" operator="lessThan" priority="793" type="cellIs">
      <formula>0</formula>
    </cfRule>
    <cfRule dxfId="0" operator="greaterThanOrEqual" priority="794" type="cellIs">
      <formula>0</formula>
    </cfRule>
  </conditionalFormatting>
  <conditionalFormatting sqref="AN159:AN163">
    <cfRule dxfId="1" operator="lessThan" priority="1641" type="cellIs">
      <formula>0</formula>
    </cfRule>
    <cfRule dxfId="0" operator="greaterThanOrEqual" priority="1642" type="cellIs">
      <formula>0</formula>
    </cfRule>
  </conditionalFormatting>
  <conditionalFormatting sqref="G50 P50 S50">
    <cfRule dxfId="1" operator="lessThan" priority="789" type="cellIs">
      <formula>0</formula>
    </cfRule>
    <cfRule dxfId="0" operator="greaterThanOrEqual" priority="790" type="cellIs">
      <formula>0</formula>
    </cfRule>
  </conditionalFormatting>
  <conditionalFormatting sqref="AE159:AE163">
    <cfRule dxfId="1" operator="lessThan" priority="1637" type="cellIs">
      <formula>0</formula>
    </cfRule>
    <cfRule dxfId="0" operator="greaterThanOrEqual" priority="1638" type="cellIs">
      <formula>0</formula>
    </cfRule>
  </conditionalFormatting>
  <conditionalFormatting sqref="AH50">
    <cfRule dxfId="1" operator="lessThan" priority="785" type="cellIs">
      <formula>0</formula>
    </cfRule>
    <cfRule dxfId="0" operator="greaterThanOrEqual" priority="786" type="cellIs">
      <formula>0</formula>
    </cfRule>
  </conditionalFormatting>
  <conditionalFormatting sqref="AB159:AB163">
    <cfRule dxfId="1" operator="lessThan" priority="1633" type="cellIs">
      <formula>0</formula>
    </cfRule>
    <cfRule dxfId="0" operator="greaterThanOrEqual" priority="1634" type="cellIs">
      <formula>0</formula>
    </cfRule>
  </conditionalFormatting>
  <conditionalFormatting sqref="AK56">
    <cfRule dxfId="1" operator="lessThan" priority="769" type="cellIs">
      <formula>0</formula>
    </cfRule>
    <cfRule dxfId="0" operator="greaterThanOrEqual" priority="770" type="cellIs">
      <formula>0</formula>
    </cfRule>
  </conditionalFormatting>
  <conditionalFormatting sqref="V165:V169">
    <cfRule dxfId="1" operator="lessThan" priority="1619" type="cellIs">
      <formula>0</formula>
    </cfRule>
    <cfRule dxfId="0" operator="greaterThanOrEqual" priority="1620" type="cellIs">
      <formula>0</formula>
    </cfRule>
  </conditionalFormatting>
  <conditionalFormatting sqref="Y165:Y169">
    <cfRule dxfId="1" operator="lessThan" priority="1621" type="cellIs">
      <formula>0</formula>
    </cfRule>
    <cfRule dxfId="0" operator="greaterThanOrEqual" priority="1622" type="cellIs">
      <formula>0</formula>
    </cfRule>
  </conditionalFormatting>
  <conditionalFormatting sqref="AE50">
    <cfRule dxfId="1" operator="lessThan" priority="777" type="cellIs">
      <formula>0</formula>
    </cfRule>
    <cfRule dxfId="0" operator="greaterThanOrEqual" priority="778" type="cellIs">
      <formula>0</formula>
    </cfRule>
  </conditionalFormatting>
  <conditionalFormatting sqref="AH165:AH169">
    <cfRule dxfId="1" operator="lessThan" priority="1625" type="cellIs">
      <formula>0</formula>
    </cfRule>
    <cfRule dxfId="0" operator="greaterThanOrEqual" priority="1626" type="cellIs">
      <formula>0</formula>
    </cfRule>
  </conditionalFormatting>
  <conditionalFormatting sqref="V50">
    <cfRule dxfId="1" operator="lessThan" priority="781" type="cellIs">
      <formula>0</formula>
    </cfRule>
    <cfRule dxfId="0" operator="greaterThanOrEqual" priority="782" type="cellIs">
      <formula>0</formula>
    </cfRule>
  </conditionalFormatting>
  <conditionalFormatting sqref="AK165:AK169">
    <cfRule dxfId="1" operator="lessThan" priority="1629" type="cellIs">
      <formula>0</formula>
    </cfRule>
    <cfRule dxfId="0" operator="greaterThanOrEqual" priority="1630" type="cellIs">
      <formula>0</formula>
    </cfRule>
  </conditionalFormatting>
  <conditionalFormatting sqref="Y56">
    <cfRule dxfId="1" operator="lessThan" priority="765" type="cellIs">
      <formula>0</formula>
    </cfRule>
    <cfRule dxfId="0" operator="greaterThanOrEqual" priority="766" type="cellIs">
      <formula>0</formula>
    </cfRule>
  </conditionalFormatting>
  <conditionalFormatting sqref="AN165:AN169">
    <cfRule dxfId="1" operator="lessThan" priority="1613" type="cellIs">
      <formula>0</formula>
    </cfRule>
    <cfRule dxfId="0" operator="greaterThanOrEqual" priority="1614" type="cellIs">
      <formula>0</formula>
    </cfRule>
  </conditionalFormatting>
  <conditionalFormatting sqref="AN56">
    <cfRule dxfId="1" operator="lessThan" priority="761" type="cellIs">
      <formula>0</formula>
    </cfRule>
    <cfRule dxfId="0" operator="greaterThanOrEqual" priority="762" type="cellIs">
      <formula>0</formula>
    </cfRule>
  </conditionalFormatting>
  <conditionalFormatting sqref="AE165:AE169">
    <cfRule dxfId="1" operator="lessThan" priority="1609" type="cellIs">
      <formula>0</formula>
    </cfRule>
    <cfRule dxfId="0" operator="greaterThanOrEqual" priority="1610" type="cellIs">
      <formula>0</formula>
    </cfRule>
  </conditionalFormatting>
  <conditionalFormatting sqref="AB56">
    <cfRule dxfId="1" operator="lessThan" priority="757" type="cellIs">
      <formula>0</formula>
    </cfRule>
    <cfRule dxfId="0" operator="greaterThanOrEqual" priority="758" type="cellIs">
      <formula>0</formula>
    </cfRule>
  </conditionalFormatting>
  <conditionalFormatting sqref="AB165:AB169">
    <cfRule dxfId="1" operator="lessThan" priority="1605" type="cellIs">
      <formula>0</formula>
    </cfRule>
    <cfRule dxfId="0" operator="greaterThanOrEqual" priority="1606" type="cellIs">
      <formula>0</formula>
    </cfRule>
  </conditionalFormatting>
  <conditionalFormatting sqref="AE62">
    <cfRule dxfId="1" operator="lessThan" priority="741" type="cellIs">
      <formula>0</formula>
    </cfRule>
    <cfRule dxfId="0" operator="greaterThanOrEqual" priority="742" type="cellIs">
      <formula>0</formula>
    </cfRule>
  </conditionalFormatting>
  <conditionalFormatting sqref="V171:V175">
    <cfRule dxfId="1" operator="lessThan" priority="1591" type="cellIs">
      <formula>0</formula>
    </cfRule>
    <cfRule dxfId="0" operator="greaterThanOrEqual" priority="1592" type="cellIs">
      <formula>0</formula>
    </cfRule>
  </conditionalFormatting>
  <conditionalFormatting sqref="Y171:Y175">
    <cfRule dxfId="1" operator="lessThan" priority="1593" type="cellIs">
      <formula>0</formula>
    </cfRule>
    <cfRule dxfId="0" operator="greaterThanOrEqual" priority="1594" type="cellIs">
      <formula>0</formula>
    </cfRule>
  </conditionalFormatting>
  <conditionalFormatting sqref="AH62">
    <cfRule dxfId="1" operator="lessThan" priority="749" type="cellIs">
      <formula>0</formula>
    </cfRule>
    <cfRule dxfId="0" operator="greaterThanOrEqual" priority="750" type="cellIs">
      <formula>0</formula>
    </cfRule>
  </conditionalFormatting>
  <conditionalFormatting sqref="AH171:AH175">
    <cfRule dxfId="1" operator="lessThan" priority="1597" type="cellIs">
      <formula>0</formula>
    </cfRule>
    <cfRule dxfId="0" operator="greaterThanOrEqual" priority="1598" type="cellIs">
      <formula>0</formula>
    </cfRule>
  </conditionalFormatting>
  <conditionalFormatting sqref="G62 P62 S62">
    <cfRule dxfId="1" operator="lessThan" priority="753" type="cellIs">
      <formula>0</formula>
    </cfRule>
    <cfRule dxfId="0" operator="greaterThanOrEqual" priority="754" type="cellIs">
      <formula>0</formula>
    </cfRule>
  </conditionalFormatting>
  <conditionalFormatting sqref="AK171:AK175">
    <cfRule dxfId="1" operator="lessThan" priority="1601" type="cellIs">
      <formula>0</formula>
    </cfRule>
    <cfRule dxfId="0" operator="greaterThanOrEqual" priority="1602" type="cellIs">
      <formula>0</formula>
    </cfRule>
  </conditionalFormatting>
  <conditionalFormatting sqref="AN171:AN175">
    <cfRule dxfId="1" operator="lessThan" priority="1585" type="cellIs">
      <formula>0</formula>
    </cfRule>
    <cfRule dxfId="0" operator="greaterThanOrEqual" priority="1586" type="cellIs">
      <formula>0</formula>
    </cfRule>
  </conditionalFormatting>
  <conditionalFormatting sqref="AK68">
    <cfRule dxfId="1" operator="lessThan" priority="733" type="cellIs">
      <formula>0</formula>
    </cfRule>
    <cfRule dxfId="0" operator="greaterThanOrEqual" priority="734" type="cellIs">
      <formula>0</formula>
    </cfRule>
  </conditionalFormatting>
  <conditionalFormatting sqref="AE171:AE175">
    <cfRule dxfId="1" operator="lessThan" priority="1581" type="cellIs">
      <formula>0</formula>
    </cfRule>
    <cfRule dxfId="0" operator="greaterThanOrEqual" priority="1582" type="cellIs">
      <formula>0</formula>
    </cfRule>
  </conditionalFormatting>
  <conditionalFormatting sqref="Y68">
    <cfRule dxfId="1" operator="lessThan" priority="729" type="cellIs">
      <formula>0</formula>
    </cfRule>
    <cfRule dxfId="0" operator="greaterThanOrEqual" priority="730" type="cellIs">
      <formula>0</formula>
    </cfRule>
  </conditionalFormatting>
  <conditionalFormatting sqref="AB171:AB175">
    <cfRule dxfId="1" operator="lessThan" priority="1577" type="cellIs">
      <formula>0</formula>
    </cfRule>
    <cfRule dxfId="0" operator="greaterThanOrEqual" priority="1578" type="cellIs">
      <formula>0</formula>
    </cfRule>
  </conditionalFormatting>
  <conditionalFormatting sqref="AH74">
    <cfRule dxfId="1" operator="lessThan" priority="713" type="cellIs">
      <formula>0</formula>
    </cfRule>
    <cfRule dxfId="0" operator="greaterThanOrEqual" priority="714" type="cellIs">
      <formula>0</formula>
    </cfRule>
  </conditionalFormatting>
  <conditionalFormatting sqref="V177:V181">
    <cfRule dxfId="1" operator="lessThan" priority="1563" type="cellIs">
      <formula>0</formula>
    </cfRule>
    <cfRule dxfId="0" operator="greaterThanOrEqual" priority="1564" type="cellIs">
      <formula>0</formula>
    </cfRule>
  </conditionalFormatting>
  <conditionalFormatting sqref="Y177:Y181">
    <cfRule dxfId="1" operator="lessThan" priority="1565" type="cellIs">
      <formula>0</formula>
    </cfRule>
    <cfRule dxfId="0" operator="greaterThanOrEqual" priority="1566" type="cellIs">
      <formula>0</formula>
    </cfRule>
  </conditionalFormatting>
  <conditionalFormatting sqref="AB68">
    <cfRule dxfId="1" operator="lessThan" priority="721" type="cellIs">
      <formula>0</formula>
    </cfRule>
    <cfRule dxfId="0" operator="greaterThanOrEqual" priority="722" type="cellIs">
      <formula>0</formula>
    </cfRule>
  </conditionalFormatting>
  <conditionalFormatting sqref="AH177:AH181">
    <cfRule dxfId="1" operator="lessThan" priority="1569" type="cellIs">
      <formula>0</formula>
    </cfRule>
    <cfRule dxfId="0" operator="greaterThanOrEqual" priority="1570" type="cellIs">
      <formula>0</formula>
    </cfRule>
  </conditionalFormatting>
  <conditionalFormatting sqref="AN68">
    <cfRule dxfId="1" operator="lessThan" priority="725" type="cellIs">
      <formula>0</formula>
    </cfRule>
    <cfRule dxfId="0" operator="greaterThanOrEqual" priority="726" type="cellIs">
      <formula>0</formula>
    </cfRule>
  </conditionalFormatting>
  <conditionalFormatting sqref="AK177:AK181">
    <cfRule dxfId="1" operator="lessThan" priority="1573" type="cellIs">
      <formula>0</formula>
    </cfRule>
    <cfRule dxfId="0" operator="greaterThanOrEqual" priority="1574" type="cellIs">
      <formula>0</formula>
    </cfRule>
  </conditionalFormatting>
  <conditionalFormatting sqref="V74">
    <cfRule dxfId="1" operator="lessThan" priority="709" type="cellIs">
      <formula>0</formula>
    </cfRule>
    <cfRule dxfId="0" operator="greaterThanOrEqual" priority="710" type="cellIs">
      <formula>0</formula>
    </cfRule>
  </conditionalFormatting>
  <conditionalFormatting sqref="AN177:AN181">
    <cfRule dxfId="1" operator="lessThan" priority="1557" type="cellIs">
      <formula>0</formula>
    </cfRule>
    <cfRule dxfId="0" operator="greaterThanOrEqual" priority="1558" type="cellIs">
      <formula>0</formula>
    </cfRule>
  </conditionalFormatting>
  <conditionalFormatting sqref="AE74">
    <cfRule dxfId="1" operator="lessThan" priority="705" type="cellIs">
      <formula>0</formula>
    </cfRule>
    <cfRule dxfId="0" operator="greaterThanOrEqual" priority="706" type="cellIs">
      <formula>0</formula>
    </cfRule>
  </conditionalFormatting>
  <conditionalFormatting sqref="AE177:AE181">
    <cfRule dxfId="1" operator="lessThan" priority="1553" type="cellIs">
      <formula>0</formula>
    </cfRule>
    <cfRule dxfId="0" operator="greaterThanOrEqual" priority="1554" type="cellIs">
      <formula>0</formula>
    </cfRule>
  </conditionalFormatting>
  <conditionalFormatting sqref="AB177:AB181">
    <cfRule dxfId="1" operator="lessThan" priority="1549" type="cellIs">
      <formula>0</formula>
    </cfRule>
    <cfRule dxfId="0" operator="greaterThanOrEqual" priority="1550" type="cellIs">
      <formula>0</formula>
    </cfRule>
  </conditionalFormatting>
  <conditionalFormatting sqref="AB80">
    <cfRule dxfId="1" operator="lessThan" priority="685" type="cellIs">
      <formula>0</formula>
    </cfRule>
    <cfRule dxfId="0" operator="greaterThanOrEqual" priority="686" type="cellIs">
      <formula>0</formula>
    </cfRule>
  </conditionalFormatting>
  <conditionalFormatting sqref="V183:V187">
    <cfRule dxfId="1" operator="lessThan" priority="1535" type="cellIs">
      <formula>0</formula>
    </cfRule>
    <cfRule dxfId="0" operator="greaterThanOrEqual" priority="1536" type="cellIs">
      <formula>0</formula>
    </cfRule>
  </conditionalFormatting>
  <conditionalFormatting sqref="Y183:Y187">
    <cfRule dxfId="1" operator="lessThan" priority="1537" type="cellIs">
      <formula>0</formula>
    </cfRule>
    <cfRule dxfId="0" operator="greaterThanOrEqual" priority="1538" type="cellIs">
      <formula>0</formula>
    </cfRule>
  </conditionalFormatting>
  <conditionalFormatting sqref="Y80">
    <cfRule dxfId="1" operator="lessThan" priority="693" type="cellIs">
      <formula>0</formula>
    </cfRule>
    <cfRule dxfId="0" operator="greaterThanOrEqual" priority="694" type="cellIs">
      <formula>0</formula>
    </cfRule>
  </conditionalFormatting>
  <conditionalFormatting sqref="AH183:AH187">
    <cfRule dxfId="1" operator="lessThan" priority="1541" type="cellIs">
      <formula>0</formula>
    </cfRule>
    <cfRule dxfId="0" operator="greaterThanOrEqual" priority="1542" type="cellIs">
      <formula>0</formula>
    </cfRule>
  </conditionalFormatting>
  <conditionalFormatting sqref="AK80">
    <cfRule dxfId="1" operator="lessThan" priority="697" type="cellIs">
      <formula>0</formula>
    </cfRule>
    <cfRule dxfId="0" operator="greaterThanOrEqual" priority="698" type="cellIs">
      <formula>0</formula>
    </cfRule>
  </conditionalFormatting>
  <conditionalFormatting sqref="AK183:AK187">
    <cfRule dxfId="1" operator="lessThan" priority="1545" type="cellIs">
      <formula>0</formula>
    </cfRule>
    <cfRule dxfId="0" operator="greaterThanOrEqual" priority="1546" type="cellIs">
      <formula>0</formula>
    </cfRule>
  </conditionalFormatting>
  <conditionalFormatting sqref="G86 P86 S86">
    <cfRule dxfId="1" operator="lessThan" priority="681" type="cellIs">
      <formula>0</formula>
    </cfRule>
    <cfRule dxfId="0" operator="greaterThanOrEqual" priority="682" type="cellIs">
      <formula>0</formula>
    </cfRule>
  </conditionalFormatting>
  <conditionalFormatting sqref="AN183:AN187">
    <cfRule dxfId="1" operator="lessThan" priority="1529" type="cellIs">
      <formula>0</formula>
    </cfRule>
    <cfRule dxfId="0" operator="greaterThanOrEqual" priority="1530" type="cellIs">
      <formula>0</formula>
    </cfRule>
  </conditionalFormatting>
  <conditionalFormatting sqref="AH86">
    <cfRule dxfId="1" operator="lessThan" priority="677" type="cellIs">
      <formula>0</formula>
    </cfRule>
    <cfRule dxfId="0" operator="greaterThanOrEqual" priority="678" type="cellIs">
      <formula>0</formula>
    </cfRule>
  </conditionalFormatting>
  <conditionalFormatting sqref="AE183:AE187">
    <cfRule dxfId="1" operator="lessThan" priority="1525" type="cellIs">
      <formula>0</formula>
    </cfRule>
    <cfRule dxfId="0" operator="greaterThanOrEqual" priority="1526" type="cellIs">
      <formula>0</formula>
    </cfRule>
  </conditionalFormatting>
  <conditionalFormatting sqref="V86">
    <cfRule dxfId="1" operator="lessThan" priority="673" type="cellIs">
      <formula>0</formula>
    </cfRule>
    <cfRule dxfId="0" operator="greaterThanOrEqual" priority="674" type="cellIs">
      <formula>0</formula>
    </cfRule>
  </conditionalFormatting>
  <conditionalFormatting sqref="AB183:AB187">
    <cfRule dxfId="1" operator="lessThan" priority="1521" type="cellIs">
      <formula>0</formula>
    </cfRule>
    <cfRule dxfId="0" operator="greaterThanOrEqual" priority="1522" type="cellIs">
      <formula>0</formula>
    </cfRule>
  </conditionalFormatting>
  <conditionalFormatting sqref="Y92">
    <cfRule dxfId="1" operator="lessThan" priority="657" type="cellIs">
      <formula>0</formula>
    </cfRule>
    <cfRule dxfId="0" operator="greaterThanOrEqual" priority="658" type="cellIs">
      <formula>0</formula>
    </cfRule>
  </conditionalFormatting>
  <conditionalFormatting sqref="V189:V193">
    <cfRule dxfId="1" operator="lessThan" priority="1507" type="cellIs">
      <formula>0</formula>
    </cfRule>
    <cfRule dxfId="0" operator="greaterThanOrEqual" priority="1508" type="cellIs">
      <formula>0</formula>
    </cfRule>
  </conditionalFormatting>
  <conditionalFormatting sqref="AH189:AH193">
    <cfRule dxfId="1" operator="lessThan" priority="1513" type="cellIs">
      <formula>0</formula>
    </cfRule>
    <cfRule dxfId="0" operator="greaterThanOrEqual" priority="1514" type="cellIs">
      <formula>0</formula>
    </cfRule>
  </conditionalFormatting>
  <conditionalFormatting sqref="AE86">
    <cfRule dxfId="1" operator="lessThan" priority="669" type="cellIs">
      <formula>0</formula>
    </cfRule>
    <cfRule dxfId="0" operator="greaterThanOrEqual" priority="670" type="cellIs">
      <formula>0</formula>
    </cfRule>
  </conditionalFormatting>
  <conditionalFormatting sqref="AK189:AK193">
    <cfRule dxfId="1" operator="lessThan" priority="1517" type="cellIs">
      <formula>0</formula>
    </cfRule>
    <cfRule dxfId="0" operator="greaterThanOrEqual" priority="1518" type="cellIs">
      <formula>0</formula>
    </cfRule>
  </conditionalFormatting>
  <conditionalFormatting sqref="AN92">
    <cfRule dxfId="1" operator="lessThan" priority="653" type="cellIs">
      <formula>0</formula>
    </cfRule>
    <cfRule dxfId="0" operator="greaterThanOrEqual" priority="654" type="cellIs">
      <formula>0</formula>
    </cfRule>
  </conditionalFormatting>
  <conditionalFormatting sqref="AN189:AN193">
    <cfRule dxfId="1" operator="lessThan" priority="1501" type="cellIs">
      <formula>0</formula>
    </cfRule>
    <cfRule dxfId="0" operator="greaterThanOrEqual" priority="1502" type="cellIs">
      <formula>0</formula>
    </cfRule>
  </conditionalFormatting>
  <conditionalFormatting sqref="AB92">
    <cfRule dxfId="1" operator="lessThan" priority="649" type="cellIs">
      <formula>0</formula>
    </cfRule>
    <cfRule dxfId="0" operator="greaterThanOrEqual" priority="650" type="cellIs">
      <formula>0</formula>
    </cfRule>
  </conditionalFormatting>
  <conditionalFormatting sqref="G98 P98 S98">
    <cfRule dxfId="1" operator="lessThan" priority="645" type="cellIs">
      <formula>0</formula>
    </cfRule>
    <cfRule dxfId="0" operator="greaterThanOrEqual" priority="646" type="cellIs">
      <formula>0</formula>
    </cfRule>
  </conditionalFormatting>
  <conditionalFormatting sqref="V195:V199">
    <cfRule dxfId="1" operator="lessThan" priority="1479" type="cellIs">
      <formula>0</formula>
    </cfRule>
    <cfRule dxfId="0" operator="greaterThanOrEqual" priority="1480" type="cellIs">
      <formula>0</formula>
    </cfRule>
  </conditionalFormatting>
  <conditionalFormatting sqref="V98">
    <cfRule dxfId="1" operator="lessThan" priority="637" type="cellIs">
      <formula>0</formula>
    </cfRule>
    <cfRule dxfId="0" operator="greaterThanOrEqual" priority="638" type="cellIs">
      <formula>0</formula>
    </cfRule>
  </conditionalFormatting>
  <conditionalFormatting sqref="AH98">
    <cfRule dxfId="1" operator="lessThan" priority="641" type="cellIs">
      <formula>0</formula>
    </cfRule>
    <cfRule dxfId="0" operator="greaterThanOrEqual" priority="642" type="cellIs">
      <formula>0</formula>
    </cfRule>
  </conditionalFormatting>
  <conditionalFormatting sqref="AK104">
    <cfRule dxfId="1" operator="lessThan" priority="625" type="cellIs">
      <formula>0</formula>
    </cfRule>
    <cfRule dxfId="0" operator="greaterThanOrEqual" priority="626" type="cellIs">
      <formula>0</formula>
    </cfRule>
  </conditionalFormatting>
  <conditionalFormatting sqref="AN195:AN199">
    <cfRule dxfId="1" operator="lessThan" priority="1473" type="cellIs">
      <formula>0</formula>
    </cfRule>
    <cfRule dxfId="0" operator="greaterThanOrEqual" priority="1474" type="cellIs">
      <formula>0</formula>
    </cfRule>
  </conditionalFormatting>
  <conditionalFormatting sqref="Y104">
    <cfRule dxfId="1" operator="lessThan" priority="621" type="cellIs">
      <formula>0</formula>
    </cfRule>
    <cfRule dxfId="0" operator="greaterThanOrEqual" priority="622" type="cellIs">
      <formula>0</formula>
    </cfRule>
  </conditionalFormatting>
  <conditionalFormatting sqref="AN104">
    <cfRule dxfId="1" operator="lessThan" priority="617" type="cellIs">
      <formula>0</formula>
    </cfRule>
    <cfRule dxfId="0" operator="greaterThanOrEqual" priority="618" type="cellIs">
      <formula>0</formula>
    </cfRule>
  </conditionalFormatting>
  <conditionalFormatting sqref="V110">
    <cfRule dxfId="1" operator="lessThan" priority="601" type="cellIs">
      <formula>0</formula>
    </cfRule>
    <cfRule dxfId="0" operator="greaterThanOrEqual" priority="602" type="cellIs">
      <formula>0</formula>
    </cfRule>
  </conditionalFormatting>
  <conditionalFormatting sqref="V201:V205">
    <cfRule dxfId="1" operator="lessThan" priority="1451" type="cellIs">
      <formula>0</formula>
    </cfRule>
    <cfRule dxfId="0" operator="greaterThanOrEqual" priority="1452" type="cellIs">
      <formula>0</formula>
    </cfRule>
  </conditionalFormatting>
  <conditionalFormatting sqref="G110 P110 S110">
    <cfRule dxfId="1" operator="lessThan" priority="609" type="cellIs">
      <formula>0</formula>
    </cfRule>
    <cfRule dxfId="0" operator="greaterThanOrEqual" priority="610" type="cellIs">
      <formula>0</formula>
    </cfRule>
  </conditionalFormatting>
  <conditionalFormatting sqref="AB104">
    <cfRule dxfId="1" operator="lessThan" priority="613" type="cellIs">
      <formula>0</formula>
    </cfRule>
    <cfRule dxfId="0" operator="greaterThanOrEqual" priority="614" type="cellIs">
      <formula>0</formula>
    </cfRule>
  </conditionalFormatting>
  <conditionalFormatting sqref="AE110">
    <cfRule dxfId="1" operator="lessThan" priority="597" type="cellIs">
      <formula>0</formula>
    </cfRule>
    <cfRule dxfId="0" operator="greaterThanOrEqual" priority="598" type="cellIs">
      <formula>0</formula>
    </cfRule>
  </conditionalFormatting>
  <conditionalFormatting sqref="AN201:AN205">
    <cfRule dxfId="1" operator="lessThan" priority="1445" type="cellIs">
      <formula>0</formula>
    </cfRule>
    <cfRule dxfId="0" operator="greaterThanOrEqual" priority="1446" type="cellIs">
      <formula>0</formula>
    </cfRule>
  </conditionalFormatting>
  <conditionalFormatting sqref="AK116">
    <cfRule dxfId="1" operator="lessThan" priority="589" type="cellIs">
      <formula>0</formula>
    </cfRule>
    <cfRule dxfId="0" operator="greaterThanOrEqual" priority="590" type="cellIs">
      <formula>0</formula>
    </cfRule>
  </conditionalFormatting>
  <conditionalFormatting sqref="G122 P122 S122">
    <cfRule dxfId="1" operator="lessThan" priority="573" type="cellIs">
      <formula>0</formula>
    </cfRule>
    <cfRule dxfId="0" operator="greaterThanOrEqual" priority="574" type="cellIs">
      <formula>0</formula>
    </cfRule>
  </conditionalFormatting>
  <conditionalFormatting sqref="V207:V211">
    <cfRule dxfId="1" operator="lessThan" priority="1423" type="cellIs">
      <formula>0</formula>
    </cfRule>
    <cfRule dxfId="0" operator="greaterThanOrEqual" priority="1424" type="cellIs">
      <formula>0</formula>
    </cfRule>
  </conditionalFormatting>
  <conditionalFormatting sqref="AN116">
    <cfRule dxfId="1" operator="lessThan" priority="581" type="cellIs">
      <formula>0</formula>
    </cfRule>
    <cfRule dxfId="0" operator="greaterThanOrEqual" priority="582" type="cellIs">
      <formula>0</formula>
    </cfRule>
  </conditionalFormatting>
  <conditionalFormatting sqref="Y116">
    <cfRule dxfId="1" operator="lessThan" priority="585" type="cellIs">
      <formula>0</formula>
    </cfRule>
    <cfRule dxfId="0" operator="greaterThanOrEqual" priority="586" type="cellIs">
      <formula>0</formula>
    </cfRule>
  </conditionalFormatting>
  <conditionalFormatting sqref="AH122">
    <cfRule dxfId="1" operator="lessThan" priority="569" type="cellIs">
      <formula>0</formula>
    </cfRule>
    <cfRule dxfId="0" operator="greaterThanOrEqual" priority="570" type="cellIs">
      <formula>0</formula>
    </cfRule>
  </conditionalFormatting>
  <conditionalFormatting sqref="AN207:AN211">
    <cfRule dxfId="1" operator="lessThan" priority="1417" type="cellIs">
      <formula>0</formula>
    </cfRule>
    <cfRule dxfId="0" operator="greaterThanOrEqual" priority="1418" type="cellIs">
      <formula>0</formula>
    </cfRule>
  </conditionalFormatting>
  <conditionalFormatting sqref="V122">
    <cfRule dxfId="1" operator="lessThan" priority="565" type="cellIs">
      <formula>0</formula>
    </cfRule>
    <cfRule dxfId="0" operator="greaterThanOrEqual" priority="566" type="cellIs">
      <formula>0</formula>
    </cfRule>
  </conditionalFormatting>
  <conditionalFormatting sqref="AE122">
    <cfRule dxfId="1" operator="lessThan" priority="561" type="cellIs">
      <formula>0</formula>
    </cfRule>
    <cfRule dxfId="0" operator="greaterThanOrEqual" priority="562" type="cellIs">
      <formula>0</formula>
    </cfRule>
  </conditionalFormatting>
  <conditionalFormatting sqref="AN128">
    <cfRule dxfId="1" operator="lessThan" priority="545" type="cellIs">
      <formula>0</formula>
    </cfRule>
    <cfRule dxfId="0" operator="greaterThanOrEqual" priority="546" type="cellIs">
      <formula>0</formula>
    </cfRule>
  </conditionalFormatting>
  <conditionalFormatting sqref="V213:V217">
    <cfRule dxfId="1" operator="lessThan" priority="1395" type="cellIs">
      <formula>0</formula>
    </cfRule>
    <cfRule dxfId="0" operator="greaterThanOrEqual" priority="1396" type="cellIs">
      <formula>0</formula>
    </cfRule>
  </conditionalFormatting>
  <conditionalFormatting sqref="AK128">
    <cfRule dxfId="1" operator="lessThan" priority="553" type="cellIs">
      <formula>0</formula>
    </cfRule>
    <cfRule dxfId="0" operator="greaterThanOrEqual" priority="554" type="cellIs">
      <formula>0</formula>
    </cfRule>
  </conditionalFormatting>
  <conditionalFormatting sqref="AB128">
    <cfRule dxfId="1" operator="lessThan" priority="541" type="cellIs">
      <formula>0</formula>
    </cfRule>
    <cfRule dxfId="0" operator="greaterThanOrEqual" priority="542" type="cellIs">
      <formula>0</formula>
    </cfRule>
  </conditionalFormatting>
  <conditionalFormatting sqref="AN213:AN217">
    <cfRule dxfId="1" operator="lessThan" priority="1389" type="cellIs">
      <formula>0</formula>
    </cfRule>
    <cfRule dxfId="0" operator="greaterThanOrEqual" priority="1390" type="cellIs">
      <formula>0</formula>
    </cfRule>
  </conditionalFormatting>
  <conditionalFormatting sqref="G134 P134 S134">
    <cfRule dxfId="1" operator="lessThan" priority="537" type="cellIs">
      <formula>0</formula>
    </cfRule>
    <cfRule dxfId="0" operator="greaterThanOrEqual" priority="538" type="cellIs">
      <formula>0</formula>
    </cfRule>
  </conditionalFormatting>
  <conditionalFormatting sqref="AH134">
    <cfRule dxfId="1" operator="lessThan" priority="533" type="cellIs">
      <formula>0</formula>
    </cfRule>
    <cfRule dxfId="0" operator="greaterThanOrEqual" priority="534" type="cellIs">
      <formula>0</formula>
    </cfRule>
  </conditionalFormatting>
  <conditionalFormatting sqref="AK140">
    <cfRule dxfId="1" operator="lessThan" priority="517" type="cellIs">
      <formula>0</formula>
    </cfRule>
    <cfRule dxfId="0" operator="greaterThanOrEqual" priority="518" type="cellIs">
      <formula>0</formula>
    </cfRule>
  </conditionalFormatting>
  <conditionalFormatting sqref="V219:V223">
    <cfRule dxfId="1" operator="lessThan" priority="1367" type="cellIs">
      <formula>0</formula>
    </cfRule>
    <cfRule dxfId="0" operator="greaterThanOrEqual" priority="1368" type="cellIs">
      <formula>0</formula>
    </cfRule>
  </conditionalFormatting>
  <conditionalFormatting sqref="AE134">
    <cfRule dxfId="1" operator="lessThan" priority="525" type="cellIs">
      <formula>0</formula>
    </cfRule>
    <cfRule dxfId="0" operator="greaterThanOrEqual" priority="526" type="cellIs">
      <formula>0</formula>
    </cfRule>
  </conditionalFormatting>
  <conditionalFormatting sqref="V134">
    <cfRule dxfId="1" operator="lessThan" priority="529" type="cellIs">
      <formula>0</formula>
    </cfRule>
    <cfRule dxfId="0" operator="greaterThanOrEqual" priority="530" type="cellIs">
      <formula>0</formula>
    </cfRule>
  </conditionalFormatting>
  <conditionalFormatting sqref="Y140">
    <cfRule dxfId="1" operator="lessThan" priority="513" type="cellIs">
      <formula>0</formula>
    </cfRule>
    <cfRule dxfId="0" operator="greaterThanOrEqual" priority="514" type="cellIs">
      <formula>0</formula>
    </cfRule>
  </conditionalFormatting>
  <conditionalFormatting sqref="AN219:AN223">
    <cfRule dxfId="1" operator="lessThan" priority="1361" type="cellIs">
      <formula>0</formula>
    </cfRule>
    <cfRule dxfId="0" operator="greaterThanOrEqual" priority="1362" type="cellIs">
      <formula>0</formula>
    </cfRule>
  </conditionalFormatting>
  <conditionalFormatting sqref="AN140">
    <cfRule dxfId="1" operator="lessThan" priority="509" type="cellIs">
      <formula>0</formula>
    </cfRule>
    <cfRule dxfId="0" operator="greaterThanOrEqual" priority="510" type="cellIs">
      <formula>0</formula>
    </cfRule>
  </conditionalFormatting>
  <conditionalFormatting sqref="AB140">
    <cfRule dxfId="1" operator="lessThan" priority="505" type="cellIs">
      <formula>0</formula>
    </cfRule>
    <cfRule dxfId="0" operator="greaterThanOrEqual" priority="506" type="cellIs">
      <formula>0</formula>
    </cfRule>
  </conditionalFormatting>
  <conditionalFormatting sqref="AE146">
    <cfRule dxfId="1" operator="lessThan" priority="489" type="cellIs">
      <formula>0</formula>
    </cfRule>
    <cfRule dxfId="0" operator="greaterThanOrEqual" priority="490" type="cellIs">
      <formula>0</formula>
    </cfRule>
  </conditionalFormatting>
  <conditionalFormatting sqref="V225:V229">
    <cfRule dxfId="1" operator="lessThan" priority="1339" type="cellIs">
      <formula>0</formula>
    </cfRule>
    <cfRule dxfId="0" operator="greaterThanOrEqual" priority="1340" type="cellIs">
      <formula>0</formula>
    </cfRule>
  </conditionalFormatting>
  <conditionalFormatting sqref="AH146">
    <cfRule dxfId="1" operator="lessThan" priority="497" type="cellIs">
      <formula>0</formula>
    </cfRule>
    <cfRule dxfId="0" operator="greaterThanOrEqual" priority="498" type="cellIs">
      <formula>0</formula>
    </cfRule>
  </conditionalFormatting>
  <conditionalFormatting sqref="G146 P146 S146">
    <cfRule dxfId="1" operator="lessThan" priority="501" type="cellIs">
      <formula>0</formula>
    </cfRule>
    <cfRule dxfId="0" operator="greaterThanOrEqual" priority="502" type="cellIs">
      <formula>0</formula>
    </cfRule>
  </conditionalFormatting>
  <conditionalFormatting sqref="AN225:AN229">
    <cfRule dxfId="1" operator="lessThan" priority="1333" type="cellIs">
      <formula>0</formula>
    </cfRule>
    <cfRule dxfId="0" operator="greaterThanOrEqual" priority="1334" type="cellIs">
      <formula>0</formula>
    </cfRule>
  </conditionalFormatting>
  <conditionalFormatting sqref="AK152">
    <cfRule dxfId="1" operator="lessThan" priority="481" type="cellIs">
      <formula>0</formula>
    </cfRule>
    <cfRule dxfId="0" operator="greaterThanOrEqual" priority="482" type="cellIs">
      <formula>0</formula>
    </cfRule>
  </conditionalFormatting>
  <conditionalFormatting sqref="Y152">
    <cfRule dxfId="1" operator="lessThan" priority="477" type="cellIs">
      <formula>0</formula>
    </cfRule>
    <cfRule dxfId="0" operator="greaterThanOrEqual" priority="478" type="cellIs">
      <formula>0</formula>
    </cfRule>
  </conditionalFormatting>
  <conditionalFormatting sqref="AH158">
    <cfRule dxfId="1" operator="lessThan" priority="461" type="cellIs">
      <formula>0</formula>
    </cfRule>
    <cfRule dxfId="0" operator="greaterThanOrEqual" priority="462" type="cellIs">
      <formula>0</formula>
    </cfRule>
  </conditionalFormatting>
  <conditionalFormatting sqref="V231:V235">
    <cfRule dxfId="1" operator="lessThan" priority="1311" type="cellIs">
      <formula>0</formula>
    </cfRule>
    <cfRule dxfId="0" operator="greaterThanOrEqual" priority="1312" type="cellIs">
      <formula>0</formula>
    </cfRule>
  </conditionalFormatting>
  <conditionalFormatting sqref="AB152">
    <cfRule dxfId="1" operator="lessThan" priority="469" type="cellIs">
      <formula>0</formula>
    </cfRule>
    <cfRule dxfId="0" operator="greaterThanOrEqual" priority="470" type="cellIs">
      <formula>0</formula>
    </cfRule>
  </conditionalFormatting>
  <conditionalFormatting sqref="AN152">
    <cfRule dxfId="1" operator="lessThan" priority="473" type="cellIs">
      <formula>0</formula>
    </cfRule>
    <cfRule dxfId="0" operator="greaterThanOrEqual" priority="474" type="cellIs">
      <formula>0</formula>
    </cfRule>
  </conditionalFormatting>
  <conditionalFormatting sqref="V158">
    <cfRule dxfId="1" operator="lessThan" priority="457" type="cellIs">
      <formula>0</formula>
    </cfRule>
    <cfRule dxfId="0" operator="greaterThanOrEqual" priority="458" type="cellIs">
      <formula>0</formula>
    </cfRule>
  </conditionalFormatting>
  <conditionalFormatting sqref="AN231:AN235">
    <cfRule dxfId="1" operator="lessThan" priority="1305" type="cellIs">
      <formula>0</formula>
    </cfRule>
    <cfRule dxfId="0" operator="greaterThanOrEqual" priority="1306" type="cellIs">
      <formula>0</formula>
    </cfRule>
  </conditionalFormatting>
  <conditionalFormatting sqref="AE158">
    <cfRule dxfId="1" operator="lessThan" priority="453" type="cellIs">
      <formula>0</formula>
    </cfRule>
    <cfRule dxfId="0" operator="greaterThanOrEqual" priority="454" type="cellIs">
      <formula>0</formula>
    </cfRule>
  </conditionalFormatting>
  <conditionalFormatting sqref="AB164">
    <cfRule dxfId="1" operator="lessThan" priority="433" type="cellIs">
      <formula>0</formula>
    </cfRule>
    <cfRule dxfId="0" operator="greaterThanOrEqual" priority="434" type="cellIs">
      <formula>0</formula>
    </cfRule>
  </conditionalFormatting>
  <conditionalFormatting sqref="V237:V241">
    <cfRule dxfId="1" operator="lessThan" priority="1283" type="cellIs">
      <formula>0</formula>
    </cfRule>
    <cfRule dxfId="0" operator="greaterThanOrEqual" priority="1284" type="cellIs">
      <formula>0</formula>
    </cfRule>
  </conditionalFormatting>
  <conditionalFormatting sqref="Y164">
    <cfRule dxfId="1" operator="lessThan" priority="441" type="cellIs">
      <formula>0</formula>
    </cfRule>
    <cfRule dxfId="0" operator="greaterThanOrEqual" priority="442" type="cellIs">
      <formula>0</formula>
    </cfRule>
  </conditionalFormatting>
  <conditionalFormatting sqref="AK164">
    <cfRule dxfId="1" operator="lessThan" priority="445" type="cellIs">
      <formula>0</formula>
    </cfRule>
    <cfRule dxfId="0" operator="greaterThanOrEqual" priority="446" type="cellIs">
      <formula>0</formula>
    </cfRule>
  </conditionalFormatting>
  <conditionalFormatting sqref="G170 P170 S170">
    <cfRule dxfId="1" operator="lessThan" priority="429" type="cellIs">
      <formula>0</formula>
    </cfRule>
    <cfRule dxfId="0" operator="greaterThanOrEqual" priority="430" type="cellIs">
      <formula>0</formula>
    </cfRule>
  </conditionalFormatting>
  <conditionalFormatting sqref="AN237:AN241">
    <cfRule dxfId="1" operator="lessThan" priority="1277" type="cellIs">
      <formula>0</formula>
    </cfRule>
    <cfRule dxfId="0" operator="greaterThanOrEqual" priority="1278" type="cellIs">
      <formula>0</formula>
    </cfRule>
  </conditionalFormatting>
  <conditionalFormatting sqref="AH170">
    <cfRule dxfId="1" operator="lessThan" priority="425" type="cellIs">
      <formula>0</formula>
    </cfRule>
    <cfRule dxfId="0" operator="greaterThanOrEqual" priority="426" type="cellIs">
      <formula>0</formula>
    </cfRule>
  </conditionalFormatting>
  <conditionalFormatting sqref="V170">
    <cfRule dxfId="1" operator="lessThan" priority="421" type="cellIs">
      <formula>0</formula>
    </cfRule>
    <cfRule dxfId="0" operator="greaterThanOrEqual" priority="422" type="cellIs">
      <formula>0</formula>
    </cfRule>
  </conditionalFormatting>
  <conditionalFormatting sqref="Y176">
    <cfRule dxfId="1" operator="lessThan" priority="405" type="cellIs">
      <formula>0</formula>
    </cfRule>
    <cfRule dxfId="0" operator="greaterThanOrEqual" priority="406" type="cellIs">
      <formula>0</formula>
    </cfRule>
  </conditionalFormatting>
  <conditionalFormatting sqref="V243:V247">
    <cfRule dxfId="1" operator="lessThan" priority="1255" type="cellIs">
      <formula>0</formula>
    </cfRule>
    <cfRule dxfId="0" operator="greaterThanOrEqual" priority="1256" type="cellIs">
      <formula>0</formula>
    </cfRule>
  </conditionalFormatting>
  <conditionalFormatting sqref="AE170">
    <cfRule dxfId="1" operator="lessThan" priority="417" type="cellIs">
      <formula>0</formula>
    </cfRule>
    <cfRule dxfId="0" operator="greaterThanOrEqual" priority="418" type="cellIs">
      <formula>0</formula>
    </cfRule>
  </conditionalFormatting>
  <conditionalFormatting sqref="AN176">
    <cfRule dxfId="1" operator="lessThan" priority="401" type="cellIs">
      <formula>0</formula>
    </cfRule>
    <cfRule dxfId="0" operator="greaterThanOrEqual" priority="402" type="cellIs">
      <formula>0</formula>
    </cfRule>
  </conditionalFormatting>
  <conditionalFormatting sqref="AN243:AN247">
    <cfRule dxfId="1" operator="lessThan" priority="1249" type="cellIs">
      <formula>0</formula>
    </cfRule>
    <cfRule dxfId="0" operator="greaterThanOrEqual" priority="1250" type="cellIs">
      <formula>0</formula>
    </cfRule>
  </conditionalFormatting>
  <conditionalFormatting sqref="AB176">
    <cfRule dxfId="1" operator="lessThan" priority="397" type="cellIs">
      <formula>0</formula>
    </cfRule>
    <cfRule dxfId="0" operator="greaterThanOrEqual" priority="398" type="cellIs">
      <formula>0</formula>
    </cfRule>
  </conditionalFormatting>
  <conditionalFormatting sqref="G182 P182 S182">
    <cfRule dxfId="1" operator="lessThan" priority="393" type="cellIs">
      <formula>0</formula>
    </cfRule>
    <cfRule dxfId="0" operator="greaterThanOrEqual" priority="394" type="cellIs">
      <formula>0</formula>
    </cfRule>
  </conditionalFormatting>
  <conditionalFormatting sqref="V249:V253">
    <cfRule dxfId="1" operator="lessThan" priority="1227" type="cellIs">
      <formula>0</formula>
    </cfRule>
    <cfRule dxfId="0" operator="greaterThanOrEqual" priority="1228" type="cellIs">
      <formula>0</formula>
    </cfRule>
  </conditionalFormatting>
  <conditionalFormatting sqref="V182">
    <cfRule dxfId="1" operator="lessThan" priority="385" type="cellIs">
      <formula>0</formula>
    </cfRule>
    <cfRule dxfId="0" operator="greaterThanOrEqual" priority="386" type="cellIs">
      <formula>0</formula>
    </cfRule>
  </conditionalFormatting>
  <conditionalFormatting sqref="AH182">
    <cfRule dxfId="1" operator="lessThan" priority="389" type="cellIs">
      <formula>0</formula>
    </cfRule>
    <cfRule dxfId="0" operator="greaterThanOrEqual" priority="390" type="cellIs">
      <formula>0</formula>
    </cfRule>
  </conditionalFormatting>
  <conditionalFormatting sqref="AK188">
    <cfRule dxfId="1" operator="lessThan" priority="373" type="cellIs">
      <formula>0</formula>
    </cfRule>
    <cfRule dxfId="0" operator="greaterThanOrEqual" priority="374" type="cellIs">
      <formula>0</formula>
    </cfRule>
  </conditionalFormatting>
  <conditionalFormatting sqref="AN249:AN253">
    <cfRule dxfId="1" operator="lessThan" priority="1221" type="cellIs">
      <formula>0</formula>
    </cfRule>
    <cfRule dxfId="0" operator="greaterThanOrEqual" priority="1222" type="cellIs">
      <formula>0</formula>
    </cfRule>
  </conditionalFormatting>
  <conditionalFormatting sqref="Y188">
    <cfRule dxfId="1" operator="lessThan" priority="369" type="cellIs">
      <formula>0</formula>
    </cfRule>
    <cfRule dxfId="0" operator="greaterThanOrEqual" priority="370" type="cellIs">
      <formula>0</formula>
    </cfRule>
  </conditionalFormatting>
  <conditionalFormatting sqref="AN188">
    <cfRule dxfId="1" operator="lessThan" priority="365" type="cellIs">
      <formula>0</formula>
    </cfRule>
    <cfRule dxfId="0" operator="greaterThanOrEqual" priority="366" type="cellIs">
      <formula>0</formula>
    </cfRule>
  </conditionalFormatting>
  <conditionalFormatting sqref="V194">
    <cfRule dxfId="1" operator="lessThan" priority="349" type="cellIs">
      <formula>0</formula>
    </cfRule>
    <cfRule dxfId="0" operator="greaterThanOrEqual" priority="350" type="cellIs">
      <formula>0</formula>
    </cfRule>
  </conditionalFormatting>
  <conditionalFormatting sqref="V255:V259">
    <cfRule dxfId="1" operator="lessThan" priority="1199" type="cellIs">
      <formula>0</formula>
    </cfRule>
    <cfRule dxfId="0" operator="greaterThanOrEqual" priority="1200" type="cellIs">
      <formula>0</formula>
    </cfRule>
  </conditionalFormatting>
  <conditionalFormatting sqref="G194 P194 S194">
    <cfRule dxfId="1" operator="lessThan" priority="357" type="cellIs">
      <formula>0</formula>
    </cfRule>
    <cfRule dxfId="0" operator="greaterThanOrEqual" priority="358" type="cellIs">
      <formula>0</formula>
    </cfRule>
  </conditionalFormatting>
  <conditionalFormatting sqref="AB188">
    <cfRule dxfId="1" operator="lessThan" priority="361" type="cellIs">
      <formula>0</formula>
    </cfRule>
    <cfRule dxfId="0" operator="greaterThanOrEqual" priority="362" type="cellIs">
      <formula>0</formula>
    </cfRule>
  </conditionalFormatting>
  <conditionalFormatting sqref="AE194">
    <cfRule dxfId="1" operator="lessThan" priority="345" type="cellIs">
      <formula>0</formula>
    </cfRule>
    <cfRule dxfId="0" operator="greaterThanOrEqual" priority="346" type="cellIs">
      <formula>0</formula>
    </cfRule>
  </conditionalFormatting>
  <conditionalFormatting sqref="AN255:AN259">
    <cfRule dxfId="1" operator="lessThan" priority="1193" type="cellIs">
      <formula>0</formula>
    </cfRule>
    <cfRule dxfId="0" operator="greaterThanOrEqual" priority="1194" type="cellIs">
      <formula>0</formula>
    </cfRule>
  </conditionalFormatting>
  <conditionalFormatting sqref="AK200">
    <cfRule dxfId="1" operator="lessThan" priority="337" type="cellIs">
      <formula>0</formula>
    </cfRule>
    <cfRule dxfId="0" operator="greaterThanOrEqual" priority="338" type="cellIs">
      <formula>0</formula>
    </cfRule>
  </conditionalFormatting>
  <conditionalFormatting sqref="G206 P206 S206">
    <cfRule dxfId="1" operator="lessThan" priority="321" type="cellIs">
      <formula>0</formula>
    </cfRule>
    <cfRule dxfId="0" operator="greaterThanOrEqual" priority="322" type="cellIs">
      <formula>0</formula>
    </cfRule>
  </conditionalFormatting>
  <conditionalFormatting sqref="V261:V265">
    <cfRule dxfId="1" operator="lessThan" priority="1171" type="cellIs">
      <formula>0</formula>
    </cfRule>
    <cfRule dxfId="0" operator="greaterThanOrEqual" priority="1172" type="cellIs">
      <formula>0</formula>
    </cfRule>
  </conditionalFormatting>
  <conditionalFormatting sqref="AN200">
    <cfRule dxfId="1" operator="lessThan" priority="329" type="cellIs">
      <formula>0</formula>
    </cfRule>
    <cfRule dxfId="0" operator="greaterThanOrEqual" priority="330" type="cellIs">
      <formula>0</formula>
    </cfRule>
  </conditionalFormatting>
  <conditionalFormatting sqref="Y200">
    <cfRule dxfId="1" operator="lessThan" priority="333" type="cellIs">
      <formula>0</formula>
    </cfRule>
    <cfRule dxfId="0" operator="greaterThanOrEqual" priority="334" type="cellIs">
      <formula>0</formula>
    </cfRule>
  </conditionalFormatting>
  <conditionalFormatting sqref="AH206">
    <cfRule dxfId="1" operator="lessThan" priority="317" type="cellIs">
      <formula>0</formula>
    </cfRule>
    <cfRule dxfId="0" operator="greaterThanOrEqual" priority="318" type="cellIs">
      <formula>0</formula>
    </cfRule>
  </conditionalFormatting>
  <conditionalFormatting sqref="AN261:AN265">
    <cfRule dxfId="1" operator="lessThan" priority="1165" type="cellIs">
      <formula>0</formula>
    </cfRule>
    <cfRule dxfId="0" operator="greaterThanOrEqual" priority="1166" type="cellIs">
      <formula>0</formula>
    </cfRule>
  </conditionalFormatting>
  <conditionalFormatting sqref="V206">
    <cfRule dxfId="1" operator="lessThan" priority="313" type="cellIs">
      <formula>0</formula>
    </cfRule>
    <cfRule dxfId="0" operator="greaterThanOrEqual" priority="314" type="cellIs">
      <formula>0</formula>
    </cfRule>
  </conditionalFormatting>
  <conditionalFormatting sqref="AE206">
    <cfRule dxfId="1" operator="lessThan" priority="309" type="cellIs">
      <formula>0</formula>
    </cfRule>
    <cfRule dxfId="0" operator="greaterThanOrEqual" priority="310" type="cellIs">
      <formula>0</formula>
    </cfRule>
  </conditionalFormatting>
  <conditionalFormatting sqref="AN212">
    <cfRule dxfId="1" operator="lessThan" priority="293" type="cellIs">
      <formula>0</formula>
    </cfRule>
    <cfRule dxfId="0" operator="greaterThanOrEqual" priority="294" type="cellIs">
      <formula>0</formula>
    </cfRule>
  </conditionalFormatting>
  <conditionalFormatting sqref="V267:V271">
    <cfRule dxfId="1" operator="lessThan" priority="1143" type="cellIs">
      <formula>0</formula>
    </cfRule>
    <cfRule dxfId="0" operator="greaterThanOrEqual" priority="1144" type="cellIs">
      <formula>0</formula>
    </cfRule>
  </conditionalFormatting>
  <conditionalFormatting sqref="AK212">
    <cfRule dxfId="1" operator="lessThan" priority="301" type="cellIs">
      <formula>0</formula>
    </cfRule>
    <cfRule dxfId="0" operator="greaterThanOrEqual" priority="302" type="cellIs">
      <formula>0</formula>
    </cfRule>
  </conditionalFormatting>
  <conditionalFormatting sqref="AB212">
    <cfRule dxfId="1" operator="lessThan" priority="289" type="cellIs">
      <formula>0</formula>
    </cfRule>
    <cfRule dxfId="0" operator="greaterThanOrEqual" priority="290" type="cellIs">
      <formula>0</formula>
    </cfRule>
  </conditionalFormatting>
  <conditionalFormatting sqref="AN267:AN271">
    <cfRule dxfId="1" operator="lessThan" priority="1137" type="cellIs">
      <formula>0</formula>
    </cfRule>
    <cfRule dxfId="0" operator="greaterThanOrEqual" priority="1138" type="cellIs">
      <formula>0</formula>
    </cfRule>
  </conditionalFormatting>
  <conditionalFormatting sqref="G218 P218 S218">
    <cfRule dxfId="1" operator="lessThan" priority="285" type="cellIs">
      <formula>0</formula>
    </cfRule>
    <cfRule dxfId="0" operator="greaterThanOrEqual" priority="286" type="cellIs">
      <formula>0</formula>
    </cfRule>
  </conditionalFormatting>
  <conditionalFormatting sqref="AH218">
    <cfRule dxfId="1" operator="lessThan" priority="281" type="cellIs">
      <formula>0</formula>
    </cfRule>
    <cfRule dxfId="0" operator="greaterThanOrEqual" priority="282" type="cellIs">
      <formula>0</formula>
    </cfRule>
  </conditionalFormatting>
  <conditionalFormatting sqref="AK224">
    <cfRule dxfId="1" operator="lessThan" priority="265" type="cellIs">
      <formula>0</formula>
    </cfRule>
    <cfRule dxfId="0" operator="greaterThanOrEqual" priority="266" type="cellIs">
      <formula>0</formula>
    </cfRule>
  </conditionalFormatting>
  <conditionalFormatting sqref="V273:V277">
    <cfRule dxfId="1" operator="lessThan" priority="1115" type="cellIs">
      <formula>0</formula>
    </cfRule>
    <cfRule dxfId="0" operator="greaterThanOrEqual" priority="1116" type="cellIs">
      <formula>0</formula>
    </cfRule>
  </conditionalFormatting>
  <conditionalFormatting sqref="AE218">
    <cfRule dxfId="1" operator="lessThan" priority="273" type="cellIs">
      <formula>0</formula>
    </cfRule>
    <cfRule dxfId="0" operator="greaterThanOrEqual" priority="274" type="cellIs">
      <formula>0</formula>
    </cfRule>
  </conditionalFormatting>
  <conditionalFormatting sqref="V218">
    <cfRule dxfId="1" operator="lessThan" priority="277" type="cellIs">
      <formula>0</formula>
    </cfRule>
    <cfRule dxfId="0" operator="greaterThanOrEqual" priority="278" type="cellIs">
      <formula>0</formula>
    </cfRule>
  </conditionalFormatting>
  <conditionalFormatting sqref="Y224">
    <cfRule dxfId="1" operator="lessThan" priority="261" type="cellIs">
      <formula>0</formula>
    </cfRule>
    <cfRule dxfId="0" operator="greaterThanOrEqual" priority="262" type="cellIs">
      <formula>0</formula>
    </cfRule>
  </conditionalFormatting>
  <conditionalFormatting sqref="AN273:AN277">
    <cfRule dxfId="1" operator="lessThan" priority="1109" type="cellIs">
      <formula>0</formula>
    </cfRule>
    <cfRule dxfId="0" operator="greaterThanOrEqual" priority="1110" type="cellIs">
      <formula>0</formula>
    </cfRule>
  </conditionalFormatting>
  <conditionalFormatting sqref="AN224">
    <cfRule dxfId="1" operator="lessThan" priority="257" type="cellIs">
      <formula>0</formula>
    </cfRule>
    <cfRule dxfId="0" operator="greaterThanOrEqual" priority="258" type="cellIs">
      <formula>0</formula>
    </cfRule>
  </conditionalFormatting>
  <conditionalFormatting sqref="AB224">
    <cfRule dxfId="1" operator="lessThan" priority="253" type="cellIs">
      <formula>0</formula>
    </cfRule>
    <cfRule dxfId="0" operator="greaterThanOrEqual" priority="254" type="cellIs">
      <formula>0</formula>
    </cfRule>
  </conditionalFormatting>
  <conditionalFormatting sqref="AE230">
    <cfRule dxfId="1" operator="lessThan" priority="237" type="cellIs">
      <formula>0</formula>
    </cfRule>
    <cfRule dxfId="0" operator="greaterThanOrEqual" priority="238" type="cellIs">
      <formula>0</formula>
    </cfRule>
  </conditionalFormatting>
  <conditionalFormatting sqref="V279:V286">
    <cfRule dxfId="1" operator="lessThan" priority="1087" type="cellIs">
      <formula>0</formula>
    </cfRule>
    <cfRule dxfId="0" operator="greaterThanOrEqual" priority="1088" type="cellIs">
      <formula>0</formula>
    </cfRule>
  </conditionalFormatting>
  <conditionalFormatting sqref="AH230">
    <cfRule dxfId="1" operator="lessThan" priority="245" type="cellIs">
      <formula>0</formula>
    </cfRule>
    <cfRule dxfId="0" operator="greaterThanOrEqual" priority="246" type="cellIs">
      <formula>0</formula>
    </cfRule>
  </conditionalFormatting>
  <conditionalFormatting sqref="G230 P230 S230">
    <cfRule dxfId="1" operator="lessThan" priority="249" type="cellIs">
      <formula>0</formula>
    </cfRule>
    <cfRule dxfId="0" operator="greaterThanOrEqual" priority="250" type="cellIs">
      <formula>0</formula>
    </cfRule>
  </conditionalFormatting>
  <conditionalFormatting sqref="AN279:AN286">
    <cfRule dxfId="1" operator="lessThan" priority="1081" type="cellIs">
      <formula>0</formula>
    </cfRule>
    <cfRule dxfId="0" operator="greaterThanOrEqual" priority="1082" type="cellIs">
      <formula>0</formula>
    </cfRule>
  </conditionalFormatting>
  <conditionalFormatting sqref="AK236">
    <cfRule dxfId="1" operator="lessThan" priority="229" type="cellIs">
      <formula>0</formula>
    </cfRule>
    <cfRule dxfId="0" operator="greaterThanOrEqual" priority="230" type="cellIs">
      <formula>0</formula>
    </cfRule>
  </conditionalFormatting>
  <conditionalFormatting sqref="Y236">
    <cfRule dxfId="1" operator="lessThan" priority="225" type="cellIs">
      <formula>0</formula>
    </cfRule>
    <cfRule dxfId="0" operator="greaterThanOrEqual" priority="226" type="cellIs">
      <formula>0</formula>
    </cfRule>
  </conditionalFormatting>
  <conditionalFormatting sqref="AH242">
    <cfRule dxfId="1" operator="lessThan" priority="209" type="cellIs">
      <formula>0</formula>
    </cfRule>
    <cfRule dxfId="0" operator="greaterThanOrEqual" priority="210" type="cellIs">
      <formula>0</formula>
    </cfRule>
  </conditionalFormatting>
  <conditionalFormatting sqref="AB236">
    <cfRule dxfId="1" operator="lessThan" priority="217" type="cellIs">
      <formula>0</formula>
    </cfRule>
    <cfRule dxfId="0" operator="greaterThanOrEqual" priority="218" type="cellIs">
      <formula>0</formula>
    </cfRule>
  </conditionalFormatting>
  <conditionalFormatting sqref="AN236">
    <cfRule dxfId="1" operator="lessThan" priority="221" type="cellIs">
      <formula>0</formula>
    </cfRule>
    <cfRule dxfId="0" operator="greaterThanOrEqual" priority="222" type="cellIs">
      <formula>0</formula>
    </cfRule>
  </conditionalFormatting>
  <conditionalFormatting sqref="V242">
    <cfRule dxfId="1" operator="lessThan" priority="205" type="cellIs">
      <formula>0</formula>
    </cfRule>
    <cfRule dxfId="0" operator="greaterThanOrEqual" priority="206" type="cellIs">
      <formula>0</formula>
    </cfRule>
  </conditionalFormatting>
  <conditionalFormatting sqref="AE242">
    <cfRule dxfId="1" operator="lessThan" priority="201" type="cellIs">
      <formula>0</formula>
    </cfRule>
    <cfRule dxfId="0" operator="greaterThanOrEqual" priority="202" type="cellIs">
      <formula>0</formula>
    </cfRule>
  </conditionalFormatting>
  <conditionalFormatting sqref="AB248">
    <cfRule dxfId="1" operator="lessThan" priority="181" type="cellIs">
      <formula>0</formula>
    </cfRule>
    <cfRule dxfId="0" operator="greaterThanOrEqual" priority="182" type="cellIs">
      <formula>0</formula>
    </cfRule>
  </conditionalFormatting>
  <conditionalFormatting sqref="V300:V304">
    <cfRule dxfId="1" operator="lessThan" priority="1031" type="cellIs">
      <formula>0</formula>
    </cfRule>
    <cfRule dxfId="0" operator="greaterThanOrEqual" priority="1032" type="cellIs">
      <formula>0</formula>
    </cfRule>
  </conditionalFormatting>
  <conditionalFormatting sqref="Y248">
    <cfRule dxfId="1" operator="lessThan" priority="189" type="cellIs">
      <formula>0</formula>
    </cfRule>
    <cfRule dxfId="0" operator="greaterThanOrEqual" priority="190" type="cellIs">
      <formula>0</formula>
    </cfRule>
  </conditionalFormatting>
  <conditionalFormatting sqref="AK248">
    <cfRule dxfId="1" operator="lessThan" priority="193" type="cellIs">
      <formula>0</formula>
    </cfRule>
    <cfRule dxfId="0" operator="greaterThanOrEqual" priority="194" type="cellIs">
      <formula>0</formula>
    </cfRule>
  </conditionalFormatting>
  <conditionalFormatting sqref="G254 P254 S254">
    <cfRule dxfId="1" operator="lessThan" priority="177" type="cellIs">
      <formula>0</formula>
    </cfRule>
    <cfRule dxfId="0" operator="greaterThanOrEqual" priority="178" type="cellIs">
      <formula>0</formula>
    </cfRule>
  </conditionalFormatting>
  <conditionalFormatting sqref="AN300:AN304">
    <cfRule dxfId="1" operator="lessThan" priority="1025" type="cellIs">
      <formula>0</formula>
    </cfRule>
    <cfRule dxfId="0" operator="greaterThanOrEqual" priority="1026" type="cellIs">
      <formula>0</formula>
    </cfRule>
  </conditionalFormatting>
  <conditionalFormatting sqref="AH254">
    <cfRule dxfId="1" operator="lessThan" priority="173" type="cellIs">
      <formula>0</formula>
    </cfRule>
    <cfRule dxfId="0" operator="greaterThanOrEqual" priority="174" type="cellIs">
      <formula>0</formula>
    </cfRule>
  </conditionalFormatting>
  <conditionalFormatting sqref="V254">
    <cfRule dxfId="1" operator="lessThan" priority="169" type="cellIs">
      <formula>0</formula>
    </cfRule>
    <cfRule dxfId="0" operator="greaterThanOrEqual" priority="170" type="cellIs">
      <formula>0</formula>
    </cfRule>
  </conditionalFormatting>
  <conditionalFormatting sqref="Y260">
    <cfRule dxfId="1" operator="lessThan" priority="153" type="cellIs">
      <formula>0</formula>
    </cfRule>
    <cfRule dxfId="0" operator="greaterThanOrEqual" priority="154" type="cellIs">
      <formula>0</formula>
    </cfRule>
  </conditionalFormatting>
  <conditionalFormatting sqref="V306:V310">
    <cfRule dxfId="1" operator="lessThan" priority="1003" type="cellIs">
      <formula>0</formula>
    </cfRule>
    <cfRule dxfId="0" operator="greaterThanOrEqual" priority="1004" type="cellIs">
      <formula>0</formula>
    </cfRule>
  </conditionalFormatting>
  <conditionalFormatting sqref="AE254">
    <cfRule dxfId="1" operator="lessThan" priority="165" type="cellIs">
      <formula>0</formula>
    </cfRule>
    <cfRule dxfId="0" operator="greaterThanOrEqual" priority="166" type="cellIs">
      <formula>0</formula>
    </cfRule>
  </conditionalFormatting>
  <conditionalFormatting sqref="AN260">
    <cfRule dxfId="1" operator="lessThan" priority="149" type="cellIs">
      <formula>0</formula>
    </cfRule>
    <cfRule dxfId="0" operator="greaterThanOrEqual" priority="150" type="cellIs">
      <formula>0</formula>
    </cfRule>
  </conditionalFormatting>
  <conditionalFormatting sqref="AN306:AN310">
    <cfRule dxfId="1" operator="lessThan" priority="997" type="cellIs">
      <formula>0</formula>
    </cfRule>
    <cfRule dxfId="0" operator="greaterThanOrEqual" priority="998" type="cellIs">
      <formula>0</formula>
    </cfRule>
  </conditionalFormatting>
  <conditionalFormatting sqref="AB260">
    <cfRule dxfId="1" operator="lessThan" priority="145" type="cellIs">
      <formula>0</formula>
    </cfRule>
    <cfRule dxfId="0" operator="greaterThanOrEqual" priority="146" type="cellIs">
      <formula>0</formula>
    </cfRule>
  </conditionalFormatting>
  <conditionalFormatting sqref="G266 P266 S266">
    <cfRule dxfId="1" operator="lessThan" priority="141" type="cellIs">
      <formula>0</formula>
    </cfRule>
    <cfRule dxfId="0" operator="greaterThanOrEqual" priority="142" type="cellIs">
      <formula>0</formula>
    </cfRule>
  </conditionalFormatting>
  <conditionalFormatting sqref="V312:V316">
    <cfRule dxfId="1" operator="lessThan" priority="975" type="cellIs">
      <formula>0</formula>
    </cfRule>
    <cfRule dxfId="0" operator="greaterThanOrEqual" priority="976" type="cellIs">
      <formula>0</formula>
    </cfRule>
  </conditionalFormatting>
  <conditionalFormatting sqref="V266">
    <cfRule dxfId="1" operator="lessThan" priority="133" type="cellIs">
      <formula>0</formula>
    </cfRule>
    <cfRule dxfId="0" operator="greaterThanOrEqual" priority="134" type="cellIs">
      <formula>0</formula>
    </cfRule>
  </conditionalFormatting>
  <conditionalFormatting sqref="AH266">
    <cfRule dxfId="1" operator="lessThan" priority="137" type="cellIs">
      <formula>0</formula>
    </cfRule>
    <cfRule dxfId="0" operator="greaterThanOrEqual" priority="138" type="cellIs">
      <formula>0</formula>
    </cfRule>
  </conditionalFormatting>
  <conditionalFormatting sqref="AK272">
    <cfRule dxfId="1" operator="lessThan" priority="121" type="cellIs">
      <formula>0</formula>
    </cfRule>
    <cfRule dxfId="0" operator="greaterThanOrEqual" priority="122" type="cellIs">
      <formula>0</formula>
    </cfRule>
  </conditionalFormatting>
  <conditionalFormatting sqref="AN312:AN316">
    <cfRule dxfId="1" operator="lessThan" priority="969" type="cellIs">
      <formula>0</formula>
    </cfRule>
    <cfRule dxfId="0" operator="greaterThanOrEqual" priority="970" type="cellIs">
      <formula>0</formula>
    </cfRule>
  </conditionalFormatting>
  <conditionalFormatting sqref="Y272">
    <cfRule dxfId="1" operator="lessThan" priority="117" type="cellIs">
      <formula>0</formula>
    </cfRule>
    <cfRule dxfId="0" operator="greaterThanOrEqual" priority="118" type="cellIs">
      <formula>0</formula>
    </cfRule>
  </conditionalFormatting>
  <conditionalFormatting sqref="AN272">
    <cfRule dxfId="1" operator="lessThan" priority="113" type="cellIs">
      <formula>0</formula>
    </cfRule>
    <cfRule dxfId="0" operator="greaterThanOrEqual" priority="114" type="cellIs">
      <formula>0</formula>
    </cfRule>
  </conditionalFormatting>
  <conditionalFormatting sqref="V278">
    <cfRule dxfId="1" operator="lessThan" priority="97" type="cellIs">
      <formula>0</formula>
    </cfRule>
    <cfRule dxfId="0" operator="greaterThanOrEqual" priority="98" type="cellIs">
      <formula>0</formula>
    </cfRule>
  </conditionalFormatting>
  <conditionalFormatting sqref="V318:V322">
    <cfRule dxfId="1" operator="lessThan" priority="947" type="cellIs">
      <formula>0</formula>
    </cfRule>
    <cfRule dxfId="0" operator="greaterThanOrEqual" priority="948" type="cellIs">
      <formula>0</formula>
    </cfRule>
  </conditionalFormatting>
  <conditionalFormatting sqref="G278 P278 S278">
    <cfRule dxfId="1" operator="lessThan" priority="105" type="cellIs">
      <formula>0</formula>
    </cfRule>
    <cfRule dxfId="0" operator="greaterThanOrEqual" priority="106" type="cellIs">
      <formula>0</formula>
    </cfRule>
  </conditionalFormatting>
  <conditionalFormatting sqref="AB272">
    <cfRule dxfId="1" operator="lessThan" priority="109" type="cellIs">
      <formula>0</formula>
    </cfRule>
    <cfRule dxfId="0" operator="greaterThanOrEqual" priority="110" type="cellIs">
      <formula>0</formula>
    </cfRule>
  </conditionalFormatting>
  <conditionalFormatting sqref="AE278">
    <cfRule dxfId="1" operator="lessThan" priority="93" type="cellIs">
      <formula>0</formula>
    </cfRule>
    <cfRule dxfId="0" operator="greaterThanOrEqual" priority="94" type="cellIs">
      <formula>0</formula>
    </cfRule>
  </conditionalFormatting>
  <conditionalFormatting sqref="AN318:AN322">
    <cfRule dxfId="1" operator="lessThan" priority="941" type="cellIs">
      <formula>0</formula>
    </cfRule>
    <cfRule dxfId="0" operator="greaterThanOrEqual" priority="942" type="cellIs">
      <formula>0</formula>
    </cfRule>
  </conditionalFormatting>
  <conditionalFormatting sqref="AK287">
    <cfRule dxfId="1" operator="lessThan" priority="85" type="cellIs">
      <formula>0</formula>
    </cfRule>
    <cfRule dxfId="0" operator="greaterThanOrEqual" priority="86" type="cellIs">
      <formula>0</formula>
    </cfRule>
  </conditionalFormatting>
  <conditionalFormatting sqref="G299 P299 S299">
    <cfRule dxfId="1" operator="lessThan" priority="69" type="cellIs">
      <formula>0</formula>
    </cfRule>
    <cfRule dxfId="0" operator="greaterThanOrEqual" priority="70" type="cellIs">
      <formula>0</formula>
    </cfRule>
  </conditionalFormatting>
  <conditionalFormatting sqref="AN14">
    <cfRule dxfId="1" operator="lessThan" priority="913" type="cellIs">
      <formula>0</formula>
    </cfRule>
    <cfRule dxfId="0" operator="greaterThanOrEqual" priority="914" type="cellIs">
      <formula>0</formula>
    </cfRule>
  </conditionalFormatting>
  <conditionalFormatting sqref="V14">
    <cfRule dxfId="1" operator="lessThan" priority="919" type="cellIs">
      <formula>0</formula>
    </cfRule>
    <cfRule dxfId="0" operator="greaterThanOrEqual" priority="920" type="cellIs">
      <formula>0</formula>
    </cfRule>
  </conditionalFormatting>
  <conditionalFormatting sqref="AN287">
    <cfRule dxfId="1" operator="lessThan" priority="77" type="cellIs">
      <formula>0</formula>
    </cfRule>
    <cfRule dxfId="0" operator="greaterThanOrEqual" priority="78" type="cellIs">
      <formula>0</formula>
    </cfRule>
  </conditionalFormatting>
  <conditionalFormatting sqref="Y287">
    <cfRule dxfId="1" operator="lessThan" priority="81" type="cellIs">
      <formula>0</formula>
    </cfRule>
    <cfRule dxfId="0" operator="greaterThanOrEqual" priority="82" type="cellIs">
      <formula>0</formula>
    </cfRule>
  </conditionalFormatting>
  <conditionalFormatting sqref="AH299">
    <cfRule dxfId="1" operator="lessThan" priority="65" type="cellIs">
      <formula>0</formula>
    </cfRule>
    <cfRule dxfId="0" operator="greaterThanOrEqual" priority="66" type="cellIs">
      <formula>0</formula>
    </cfRule>
  </conditionalFormatting>
  <conditionalFormatting sqref="V299">
    <cfRule dxfId="1" operator="lessThan" priority="61" type="cellIs">
      <formula>0</formula>
    </cfRule>
    <cfRule dxfId="0" operator="greaterThanOrEqual" priority="62" type="cellIs">
      <formula>0</formula>
    </cfRule>
  </conditionalFormatting>
  <conditionalFormatting sqref="AE299">
    <cfRule dxfId="1" operator="lessThan" priority="57" type="cellIs">
      <formula>0</formula>
    </cfRule>
    <cfRule dxfId="0" operator="greaterThanOrEqual" priority="58" type="cellIs">
      <formula>0</formula>
    </cfRule>
  </conditionalFormatting>
  <conditionalFormatting sqref="AN305">
    <cfRule dxfId="1" operator="lessThan" priority="41" type="cellIs">
      <formula>0</formula>
    </cfRule>
    <cfRule dxfId="0" operator="greaterThanOrEqual" priority="42" type="cellIs">
      <formula>0</formula>
    </cfRule>
  </conditionalFormatting>
  <conditionalFormatting sqref="AN20">
    <cfRule dxfId="1" operator="lessThan" priority="885" type="cellIs">
      <formula>0</formula>
    </cfRule>
    <cfRule dxfId="0" operator="greaterThanOrEqual" priority="886" type="cellIs">
      <formula>0</formula>
    </cfRule>
  </conditionalFormatting>
  <conditionalFormatting sqref="V20">
    <cfRule dxfId="1" operator="lessThan" priority="891" type="cellIs">
      <formula>0</formula>
    </cfRule>
    <cfRule dxfId="0" operator="greaterThanOrEqual" priority="892" type="cellIs">
      <formula>0</formula>
    </cfRule>
  </conditionalFormatting>
  <conditionalFormatting sqref="AK305">
    <cfRule dxfId="1" operator="lessThan" priority="49" type="cellIs">
      <formula>0</formula>
    </cfRule>
    <cfRule dxfId="0" operator="greaterThanOrEqual" priority="50" type="cellIs">
      <formula>0</formula>
    </cfRule>
  </conditionalFormatting>
  <conditionalFormatting sqref="AB305">
    <cfRule dxfId="1" operator="lessThan" priority="37" type="cellIs">
      <formula>0</formula>
    </cfRule>
    <cfRule dxfId="0" operator="greaterThanOrEqual" priority="38" type="cellIs">
      <formula>0</formula>
    </cfRule>
  </conditionalFormatting>
  <conditionalFormatting sqref="G311 P311 S311">
    <cfRule dxfId="1" operator="lessThan" priority="33" type="cellIs">
      <formula>0</formula>
    </cfRule>
    <cfRule dxfId="0" operator="greaterThanOrEqual" priority="34" type="cellIs">
      <formula>0</formula>
    </cfRule>
  </conditionalFormatting>
  <conditionalFormatting sqref="AH311">
    <cfRule dxfId="1" operator="lessThan" priority="29" type="cellIs">
      <formula>0</formula>
    </cfRule>
    <cfRule dxfId="0" operator="greaterThanOrEqual" priority="30" type="cellIs">
      <formula>0</formula>
    </cfRule>
  </conditionalFormatting>
  <conditionalFormatting sqref="AK317">
    <cfRule dxfId="1" operator="lessThan" priority="13" type="cellIs">
      <formula>0</formula>
    </cfRule>
    <cfRule dxfId="0" operator="greaterThanOrEqual" priority="14" type="cellIs">
      <formula>0</formula>
    </cfRule>
  </conditionalFormatting>
  <conditionalFormatting sqref="AN26">
    <cfRule dxfId="1" operator="lessThan" priority="857" type="cellIs">
      <formula>0</formula>
    </cfRule>
    <cfRule dxfId="0" operator="greaterThanOrEqual" priority="858" type="cellIs">
      <formula>0</formula>
    </cfRule>
  </conditionalFormatting>
  <conditionalFormatting sqref="V26">
    <cfRule dxfId="1" operator="lessThan" priority="863" type="cellIs">
      <formula>0</formula>
    </cfRule>
    <cfRule dxfId="0" operator="greaterThanOrEqual" priority="864" type="cellIs">
      <formula>0</formula>
    </cfRule>
  </conditionalFormatting>
  <conditionalFormatting sqref="AE311">
    <cfRule dxfId="1" operator="lessThan" priority="21" type="cellIs">
      <formula>0</formula>
    </cfRule>
    <cfRule dxfId="0" operator="greaterThanOrEqual" priority="22" type="cellIs">
      <formula>0</formula>
    </cfRule>
  </conditionalFormatting>
  <conditionalFormatting sqref="V311">
    <cfRule dxfId="1" operator="lessThan" priority="25" type="cellIs">
      <formula>0</formula>
    </cfRule>
    <cfRule dxfId="0" operator="greaterThanOrEqual" priority="26" type="cellIs">
      <formula>0</formula>
    </cfRule>
  </conditionalFormatting>
  <conditionalFormatting sqref="Y317">
    <cfRule dxfId="1" operator="lessThan" priority="9" type="cellIs">
      <formula>0</formula>
    </cfRule>
    <cfRule dxfId="0" operator="greaterThanOrEqual" priority="10" type="cellIs">
      <formula>0</formula>
    </cfRule>
  </conditionalFormatting>
  <conditionalFormatting sqref="AN317">
    <cfRule dxfId="1" operator="lessThan" priority="5" type="cellIs">
      <formula>0</formula>
    </cfRule>
    <cfRule dxfId="0" operator="greaterThanOrEqual" priority="6" type="cellIs">
      <formula>0</formula>
    </cfRule>
  </conditionalFormatting>
  <conditionalFormatting sqref="AB317">
    <cfRule dxfId="1" operator="lessThan" priority="1" type="cellIs">
      <formula>0</formula>
    </cfRule>
    <cfRule dxfId="0" operator="greaterThanOrEqual" priority="2" type="cellIs">
      <formula>0</formula>
    </cfRule>
  </conditionalFormatting>
  <conditionalFormatting sqref="G32 P32 S32">
    <cfRule dxfId="1" operator="lessThan" priority="843" type="cellIs">
      <formula>0</formula>
    </cfRule>
    <cfRule dxfId="0" operator="greaterThanOrEqual" priority="844" type="cellIs">
      <formula>0</formula>
    </cfRule>
  </conditionalFormatting>
  <conditionalFormatting sqref="J32 M32">
    <cfRule dxfId="0" operator="lessThanOrEqual" priority="845" type="cellIs">
      <formula>0</formula>
    </cfRule>
    <cfRule dxfId="1" operator="greaterThan" priority="846" type="cellIs">
      <formula>0</formula>
    </cfRule>
  </conditionalFormatting>
  <conditionalFormatting sqref="V32">
    <cfRule dxfId="1" operator="lessThan" priority="835" type="cellIs">
      <formula>0</formula>
    </cfRule>
    <cfRule dxfId="0" operator="greaterThanOrEqual" priority="836" type="cellIs">
      <formula>0</formula>
    </cfRule>
  </conditionalFormatting>
  <conditionalFormatting sqref="AH32">
    <cfRule dxfId="1" operator="lessThan" priority="839" type="cellIs">
      <formula>0</formula>
    </cfRule>
    <cfRule dxfId="0" operator="greaterThanOrEqual" priority="840" type="cellIs">
      <formula>0</formula>
    </cfRule>
  </conditionalFormatting>
  <conditionalFormatting sqref="AE32">
    <cfRule dxfId="1" operator="lessThan" priority="831" type="cellIs">
      <formula>0</formula>
    </cfRule>
    <cfRule dxfId="0" operator="greaterThanOrEqual" priority="832" type="cellIs">
      <formula>0</formula>
    </cfRule>
  </conditionalFormatting>
  <conditionalFormatting sqref="AB32">
    <cfRule dxfId="1" operator="lessThan" priority="829" type="cellIs">
      <formula>0</formula>
    </cfRule>
    <cfRule dxfId="0" operator="greaterThanOrEqual" priority="830" type="cellIs">
      <formula>0</formula>
    </cfRule>
  </conditionalFormatting>
  <conditionalFormatting sqref="J38 M38">
    <cfRule dxfId="0" operator="lessThanOrEqual" priority="827" type="cellIs">
      <formula>0</formula>
    </cfRule>
    <cfRule dxfId="1" operator="greaterThan" priority="828" type="cellIs">
      <formula>0</formula>
    </cfRule>
  </conditionalFormatting>
  <conditionalFormatting sqref="AN38">
    <cfRule dxfId="1" operator="lessThan" priority="815" type="cellIs">
      <formula>0</formula>
    </cfRule>
    <cfRule dxfId="0" operator="greaterThanOrEqual" priority="816" type="cellIs">
      <formula>0</formula>
    </cfRule>
  </conditionalFormatting>
  <conditionalFormatting sqref="Y38">
    <cfRule dxfId="1" operator="lessThan" priority="819" type="cellIs">
      <formula>0</formula>
    </cfRule>
    <cfRule dxfId="0" operator="greaterThanOrEqual" priority="820" type="cellIs">
      <formula>0</formula>
    </cfRule>
  </conditionalFormatting>
  <conditionalFormatting sqref="AK38">
    <cfRule dxfId="1" operator="lessThan" priority="823" type="cellIs">
      <formula>0</formula>
    </cfRule>
    <cfRule dxfId="0" operator="greaterThanOrEqual" priority="824" type="cellIs">
      <formula>0</formula>
    </cfRule>
  </conditionalFormatting>
  <conditionalFormatting sqref="AB38">
    <cfRule dxfId="1" operator="lessThan" priority="811" type="cellIs">
      <formula>0</formula>
    </cfRule>
    <cfRule dxfId="0" operator="greaterThanOrEqual" priority="812" type="cellIs">
      <formula>0</formula>
    </cfRule>
  </conditionalFormatting>
  <conditionalFormatting sqref="G44 P44 S44">
    <cfRule dxfId="1" operator="lessThan" priority="807" type="cellIs">
      <formula>0</formula>
    </cfRule>
    <cfRule dxfId="0" operator="greaterThanOrEqual" priority="808" type="cellIs">
      <formula>0</formula>
    </cfRule>
  </conditionalFormatting>
  <conditionalFormatting sqref="J44 M44">
    <cfRule dxfId="0" operator="lessThanOrEqual" priority="809" type="cellIs">
      <formula>0</formula>
    </cfRule>
    <cfRule dxfId="1" operator="greaterThan" priority="810" type="cellIs">
      <formula>0</formula>
    </cfRule>
  </conditionalFormatting>
  <conditionalFormatting sqref="V44">
    <cfRule dxfId="1" operator="lessThan" priority="799" type="cellIs">
      <formula>0</formula>
    </cfRule>
    <cfRule dxfId="0" operator="greaterThanOrEqual" priority="800" type="cellIs">
      <formula>0</formula>
    </cfRule>
  </conditionalFormatting>
  <conditionalFormatting sqref="Y44">
    <cfRule dxfId="1" operator="lessThan" priority="801" type="cellIs">
      <formula>0</formula>
    </cfRule>
    <cfRule dxfId="0" operator="greaterThanOrEqual" priority="802" type="cellIs">
      <formula>0</formula>
    </cfRule>
  </conditionalFormatting>
  <conditionalFormatting sqref="AH44">
    <cfRule dxfId="1" operator="lessThan" priority="803" type="cellIs">
      <formula>0</formula>
    </cfRule>
    <cfRule dxfId="0" operator="greaterThanOrEqual" priority="804" type="cellIs">
      <formula>0</formula>
    </cfRule>
  </conditionalFormatting>
  <conditionalFormatting sqref="AE44">
    <cfRule dxfId="1" operator="lessThan" priority="795" type="cellIs">
      <formula>0</formula>
    </cfRule>
    <cfRule dxfId="0" operator="greaterThanOrEqual" priority="796" type="cellIs">
      <formula>0</formula>
    </cfRule>
  </conditionalFormatting>
  <conditionalFormatting sqref="J50 M50">
    <cfRule dxfId="0" operator="lessThanOrEqual" priority="791" type="cellIs">
      <formula>0</formula>
    </cfRule>
    <cfRule dxfId="1" operator="greaterThan" priority="792" type="cellIs">
      <formula>0</formula>
    </cfRule>
  </conditionalFormatting>
  <conditionalFormatting sqref="AN50">
    <cfRule dxfId="1" operator="lessThan" priority="779" type="cellIs">
      <formula>0</formula>
    </cfRule>
    <cfRule dxfId="0" operator="greaterThanOrEqual" priority="780" type="cellIs">
      <formula>0</formula>
    </cfRule>
  </conditionalFormatting>
  <conditionalFormatting sqref="Y50">
    <cfRule dxfId="1" operator="lessThan" priority="783" type="cellIs">
      <formula>0</formula>
    </cfRule>
    <cfRule dxfId="0" operator="greaterThanOrEqual" priority="784" type="cellIs">
      <formula>0</formula>
    </cfRule>
  </conditionalFormatting>
  <conditionalFormatting sqref="AK50">
    <cfRule dxfId="1" operator="lessThan" priority="787" type="cellIs">
      <formula>0</formula>
    </cfRule>
    <cfRule dxfId="0" operator="greaterThanOrEqual" priority="788" type="cellIs">
      <formula>0</formula>
    </cfRule>
  </conditionalFormatting>
  <conditionalFormatting sqref="AB50">
    <cfRule dxfId="1" operator="lessThan" priority="775" type="cellIs">
      <formula>0</formula>
    </cfRule>
    <cfRule dxfId="0" operator="greaterThanOrEqual" priority="776" type="cellIs">
      <formula>0</formula>
    </cfRule>
  </conditionalFormatting>
  <conditionalFormatting sqref="G56 P56 S56">
    <cfRule dxfId="1" operator="lessThan" priority="771" type="cellIs">
      <formula>0</formula>
    </cfRule>
    <cfRule dxfId="0" operator="greaterThanOrEqual" priority="772" type="cellIs">
      <formula>0</formula>
    </cfRule>
  </conditionalFormatting>
  <conditionalFormatting sqref="J56 M56">
    <cfRule dxfId="0" operator="lessThanOrEqual" priority="773" type="cellIs">
      <formula>0</formula>
    </cfRule>
    <cfRule dxfId="1" operator="greaterThan" priority="774" type="cellIs">
      <formula>0</formula>
    </cfRule>
  </conditionalFormatting>
  <conditionalFormatting sqref="V56">
    <cfRule dxfId="1" operator="lessThan" priority="763" type="cellIs">
      <formula>0</formula>
    </cfRule>
    <cfRule dxfId="0" operator="greaterThanOrEqual" priority="764" type="cellIs">
      <formula>0</formula>
    </cfRule>
  </conditionalFormatting>
  <conditionalFormatting sqref="AH56">
    <cfRule dxfId="1" operator="lessThan" priority="767" type="cellIs">
      <formula>0</formula>
    </cfRule>
    <cfRule dxfId="0" operator="greaterThanOrEqual" priority="768" type="cellIs">
      <formula>0</formula>
    </cfRule>
  </conditionalFormatting>
  <conditionalFormatting sqref="AE56">
    <cfRule dxfId="1" operator="lessThan" priority="759" type="cellIs">
      <formula>0</formula>
    </cfRule>
    <cfRule dxfId="0" operator="greaterThanOrEqual" priority="760" type="cellIs">
      <formula>0</formula>
    </cfRule>
  </conditionalFormatting>
  <conditionalFormatting sqref="J62 M62">
    <cfRule dxfId="0" operator="lessThanOrEqual" priority="755" type="cellIs">
      <formula>0</formula>
    </cfRule>
    <cfRule dxfId="1" operator="greaterThan" priority="756" type="cellIs">
      <formula>0</formula>
    </cfRule>
  </conditionalFormatting>
  <conditionalFormatting sqref="AN62">
    <cfRule dxfId="1" operator="lessThan" priority="743" type="cellIs">
      <formula>0</formula>
    </cfRule>
    <cfRule dxfId="0" operator="greaterThanOrEqual" priority="744" type="cellIs">
      <formula>0</formula>
    </cfRule>
  </conditionalFormatting>
  <conditionalFormatting sqref="V62">
    <cfRule dxfId="1" operator="lessThan" priority="745" type="cellIs">
      <formula>0</formula>
    </cfRule>
    <cfRule dxfId="0" operator="greaterThanOrEqual" priority="746" type="cellIs">
      <formula>0</formula>
    </cfRule>
  </conditionalFormatting>
  <conditionalFormatting sqref="Y62">
    <cfRule dxfId="1" operator="lessThan" priority="747" type="cellIs">
      <formula>0</formula>
    </cfRule>
    <cfRule dxfId="0" operator="greaterThanOrEqual" priority="748" type="cellIs">
      <formula>0</formula>
    </cfRule>
  </conditionalFormatting>
  <conditionalFormatting sqref="AK62">
    <cfRule dxfId="1" operator="lessThan" priority="751" type="cellIs">
      <formula>0</formula>
    </cfRule>
    <cfRule dxfId="0" operator="greaterThanOrEqual" priority="752" type="cellIs">
      <formula>0</formula>
    </cfRule>
  </conditionalFormatting>
  <conditionalFormatting sqref="AB62">
    <cfRule dxfId="1" operator="lessThan" priority="739" type="cellIs">
      <formula>0</formula>
    </cfRule>
    <cfRule dxfId="0" operator="greaterThanOrEqual" priority="740" type="cellIs">
      <formula>0</formula>
    </cfRule>
  </conditionalFormatting>
  <conditionalFormatting sqref="G68 P68 S68">
    <cfRule dxfId="1" operator="lessThan" priority="735" type="cellIs">
      <formula>0</formula>
    </cfRule>
    <cfRule dxfId="0" operator="greaterThanOrEqual" priority="736" type="cellIs">
      <formula>0</formula>
    </cfRule>
  </conditionalFormatting>
  <conditionalFormatting sqref="J68 M68">
    <cfRule dxfId="0" operator="lessThanOrEqual" priority="737" type="cellIs">
      <formula>0</formula>
    </cfRule>
    <cfRule dxfId="1" operator="greaterThan" priority="738" type="cellIs">
      <formula>0</formula>
    </cfRule>
  </conditionalFormatting>
  <conditionalFormatting sqref="V68">
    <cfRule dxfId="1" operator="lessThan" priority="727" type="cellIs">
      <formula>0</formula>
    </cfRule>
    <cfRule dxfId="0" operator="greaterThanOrEqual" priority="728" type="cellIs">
      <formula>0</formula>
    </cfRule>
  </conditionalFormatting>
  <conditionalFormatting sqref="AH68">
    <cfRule dxfId="1" operator="lessThan" priority="731" type="cellIs">
      <formula>0</formula>
    </cfRule>
    <cfRule dxfId="0" operator="greaterThanOrEqual" priority="732" type="cellIs">
      <formula>0</formula>
    </cfRule>
  </conditionalFormatting>
  <conditionalFormatting sqref="AE68">
    <cfRule dxfId="1" operator="lessThan" priority="723" type="cellIs">
      <formula>0</formula>
    </cfRule>
    <cfRule dxfId="0" operator="greaterThanOrEqual" priority="724" type="cellIs">
      <formula>0</formula>
    </cfRule>
  </conditionalFormatting>
  <conditionalFormatting sqref="G74 P74 S74">
    <cfRule dxfId="1" operator="lessThan" priority="717" type="cellIs">
      <formula>0</formula>
    </cfRule>
    <cfRule dxfId="0" operator="greaterThanOrEqual" priority="718" type="cellIs">
      <formula>0</formula>
    </cfRule>
  </conditionalFormatting>
  <conditionalFormatting sqref="J74 M74">
    <cfRule dxfId="0" operator="lessThanOrEqual" priority="719" type="cellIs">
      <formula>0</formula>
    </cfRule>
    <cfRule dxfId="1" operator="greaterThan" priority="720" type="cellIs">
      <formula>0</formula>
    </cfRule>
  </conditionalFormatting>
  <conditionalFormatting sqref="AN74">
    <cfRule dxfId="1" operator="lessThan" priority="707" type="cellIs">
      <formula>0</formula>
    </cfRule>
    <cfRule dxfId="0" operator="greaterThanOrEqual" priority="708" type="cellIs">
      <formula>0</formula>
    </cfRule>
  </conditionalFormatting>
  <conditionalFormatting sqref="Y74">
    <cfRule dxfId="1" operator="lessThan" priority="711" type="cellIs">
      <formula>0</formula>
    </cfRule>
    <cfRule dxfId="0" operator="greaterThanOrEqual" priority="712" type="cellIs">
      <formula>0</formula>
    </cfRule>
  </conditionalFormatting>
  <conditionalFormatting sqref="AK74">
    <cfRule dxfId="1" operator="lessThan" priority="715" type="cellIs">
      <formula>0</formula>
    </cfRule>
    <cfRule dxfId="0" operator="greaterThanOrEqual" priority="716" type="cellIs">
      <formula>0</formula>
    </cfRule>
  </conditionalFormatting>
  <conditionalFormatting sqref="AB74">
    <cfRule dxfId="1" operator="lessThan" priority="703" type="cellIs">
      <formula>0</formula>
    </cfRule>
    <cfRule dxfId="0" operator="greaterThanOrEqual" priority="704" type="cellIs">
      <formula>0</formula>
    </cfRule>
  </conditionalFormatting>
  <conditionalFormatting sqref="G80 P80 S80">
    <cfRule dxfId="1" operator="lessThan" priority="699" type="cellIs">
      <formula>0</formula>
    </cfRule>
    <cfRule dxfId="0" operator="greaterThanOrEqual" priority="700" type="cellIs">
      <formula>0</formula>
    </cfRule>
  </conditionalFormatting>
  <conditionalFormatting sqref="J80 M80">
    <cfRule dxfId="0" operator="lessThanOrEqual" priority="701" type="cellIs">
      <formula>0</formula>
    </cfRule>
    <cfRule dxfId="1" operator="greaterThan" priority="702" type="cellIs">
      <formula>0</formula>
    </cfRule>
  </conditionalFormatting>
  <conditionalFormatting sqref="AN80">
    <cfRule dxfId="1" operator="lessThan" priority="689" type="cellIs">
      <formula>0</formula>
    </cfRule>
    <cfRule dxfId="0" operator="greaterThanOrEqual" priority="690" type="cellIs">
      <formula>0</formula>
    </cfRule>
  </conditionalFormatting>
  <conditionalFormatting sqref="V80">
    <cfRule dxfId="1" operator="lessThan" priority="691" type="cellIs">
      <formula>0</formula>
    </cfRule>
    <cfRule dxfId="0" operator="greaterThanOrEqual" priority="692" type="cellIs">
      <formula>0</formula>
    </cfRule>
  </conditionalFormatting>
  <conditionalFormatting sqref="AH80">
    <cfRule dxfId="1" operator="lessThan" priority="695" type="cellIs">
      <formula>0</formula>
    </cfRule>
    <cfRule dxfId="0" operator="greaterThanOrEqual" priority="696" type="cellIs">
      <formula>0</formula>
    </cfRule>
  </conditionalFormatting>
  <conditionalFormatting sqref="AE80">
    <cfRule dxfId="1" operator="lessThan" priority="687" type="cellIs">
      <formula>0</formula>
    </cfRule>
    <cfRule dxfId="0" operator="greaterThanOrEqual" priority="688" type="cellIs">
      <formula>0</formula>
    </cfRule>
  </conditionalFormatting>
  <conditionalFormatting sqref="J86 M86">
    <cfRule dxfId="0" operator="lessThanOrEqual" priority="683" type="cellIs">
      <formula>0</formula>
    </cfRule>
    <cfRule dxfId="1" operator="greaterThan" priority="684" type="cellIs">
      <formula>0</formula>
    </cfRule>
  </conditionalFormatting>
  <conditionalFormatting sqref="AN86">
    <cfRule dxfId="1" operator="lessThan" priority="671" type="cellIs">
      <formula>0</formula>
    </cfRule>
    <cfRule dxfId="0" operator="greaterThanOrEqual" priority="672" type="cellIs">
      <formula>0</formula>
    </cfRule>
  </conditionalFormatting>
  <conditionalFormatting sqref="Y86">
    <cfRule dxfId="1" operator="lessThan" priority="675" type="cellIs">
      <formula>0</formula>
    </cfRule>
    <cfRule dxfId="0" operator="greaterThanOrEqual" priority="676" type="cellIs">
      <formula>0</formula>
    </cfRule>
  </conditionalFormatting>
  <conditionalFormatting sqref="AK86">
    <cfRule dxfId="1" operator="lessThan" priority="679" type="cellIs">
      <formula>0</formula>
    </cfRule>
    <cfRule dxfId="0" operator="greaterThanOrEqual" priority="680" type="cellIs">
      <formula>0</formula>
    </cfRule>
  </conditionalFormatting>
  <conditionalFormatting sqref="AB86">
    <cfRule dxfId="1" operator="lessThan" priority="667" type="cellIs">
      <formula>0</formula>
    </cfRule>
    <cfRule dxfId="0" operator="greaterThanOrEqual" priority="668" type="cellIs">
      <formula>0</formula>
    </cfRule>
  </conditionalFormatting>
  <conditionalFormatting sqref="G92 P92 S92">
    <cfRule dxfId="1" operator="lessThan" priority="663" type="cellIs">
      <formula>0</formula>
    </cfRule>
    <cfRule dxfId="0" operator="greaterThanOrEqual" priority="664" type="cellIs">
      <formula>0</formula>
    </cfRule>
  </conditionalFormatting>
  <conditionalFormatting sqref="J92 M92">
    <cfRule dxfId="0" operator="lessThanOrEqual" priority="665" type="cellIs">
      <formula>0</formula>
    </cfRule>
    <cfRule dxfId="1" operator="greaterThan" priority="666" type="cellIs">
      <formula>0</formula>
    </cfRule>
  </conditionalFormatting>
  <conditionalFormatting sqref="V92">
    <cfRule dxfId="1" operator="lessThan" priority="655" type="cellIs">
      <formula>0</formula>
    </cfRule>
    <cfRule dxfId="0" operator="greaterThanOrEqual" priority="656" type="cellIs">
      <formula>0</formula>
    </cfRule>
  </conditionalFormatting>
  <conditionalFormatting sqref="AH92">
    <cfRule dxfId="1" operator="lessThan" priority="659" type="cellIs">
      <formula>0</formula>
    </cfRule>
    <cfRule dxfId="0" operator="greaterThanOrEqual" priority="660" type="cellIs">
      <formula>0</formula>
    </cfRule>
  </conditionalFormatting>
  <conditionalFormatting sqref="AK92">
    <cfRule dxfId="1" operator="lessThan" priority="661" type="cellIs">
      <formula>0</formula>
    </cfRule>
    <cfRule dxfId="0" operator="greaterThanOrEqual" priority="662" type="cellIs">
      <formula>0</formula>
    </cfRule>
  </conditionalFormatting>
  <conditionalFormatting sqref="AE92">
    <cfRule dxfId="1" operator="lessThan" priority="651" type="cellIs">
      <formula>0</formula>
    </cfRule>
    <cfRule dxfId="0" operator="greaterThanOrEqual" priority="652" type="cellIs">
      <formula>0</formula>
    </cfRule>
  </conditionalFormatting>
  <conditionalFormatting sqref="J98 M98">
    <cfRule dxfId="0" operator="lessThanOrEqual" priority="647" type="cellIs">
      <formula>0</formula>
    </cfRule>
    <cfRule dxfId="1" operator="greaterThan" priority="648" type="cellIs">
      <formula>0</formula>
    </cfRule>
  </conditionalFormatting>
  <conditionalFormatting sqref="AN98">
    <cfRule dxfId="1" operator="lessThan" priority="635" type="cellIs">
      <formula>0</formula>
    </cfRule>
    <cfRule dxfId="0" operator="greaterThanOrEqual" priority="636" type="cellIs">
      <formula>0</formula>
    </cfRule>
  </conditionalFormatting>
  <conditionalFormatting sqref="Y98">
    <cfRule dxfId="1" operator="lessThan" priority="639" type="cellIs">
      <formula>0</formula>
    </cfRule>
    <cfRule dxfId="0" operator="greaterThanOrEqual" priority="640" type="cellIs">
      <formula>0</formula>
    </cfRule>
  </conditionalFormatting>
  <conditionalFormatting sqref="AK98">
    <cfRule dxfId="1" operator="lessThan" priority="643" type="cellIs">
      <formula>0</formula>
    </cfRule>
    <cfRule dxfId="0" operator="greaterThanOrEqual" priority="644" type="cellIs">
      <formula>0</formula>
    </cfRule>
  </conditionalFormatting>
  <conditionalFormatting sqref="AE98">
    <cfRule dxfId="1" operator="lessThan" priority="633" type="cellIs">
      <formula>0</formula>
    </cfRule>
    <cfRule dxfId="0" operator="greaterThanOrEqual" priority="634" type="cellIs">
      <formula>0</formula>
    </cfRule>
  </conditionalFormatting>
  <conditionalFormatting sqref="AB98">
    <cfRule dxfId="1" operator="lessThan" priority="631" type="cellIs">
      <formula>0</formula>
    </cfRule>
    <cfRule dxfId="0" operator="greaterThanOrEqual" priority="632" type="cellIs">
      <formula>0</formula>
    </cfRule>
  </conditionalFormatting>
  <conditionalFormatting sqref="G104 P104 S104">
    <cfRule dxfId="1" operator="lessThan" priority="627" type="cellIs">
      <formula>0</formula>
    </cfRule>
    <cfRule dxfId="0" operator="greaterThanOrEqual" priority="628" type="cellIs">
      <formula>0</formula>
    </cfRule>
  </conditionalFormatting>
  <conditionalFormatting sqref="J104 M104">
    <cfRule dxfId="0" operator="lessThanOrEqual" priority="629" type="cellIs">
      <formula>0</formula>
    </cfRule>
    <cfRule dxfId="1" operator="greaterThan" priority="630" type="cellIs">
      <formula>0</formula>
    </cfRule>
  </conditionalFormatting>
  <conditionalFormatting sqref="V104">
    <cfRule dxfId="1" operator="lessThan" priority="619" type="cellIs">
      <formula>0</formula>
    </cfRule>
    <cfRule dxfId="0" operator="greaterThanOrEqual" priority="620" type="cellIs">
      <formula>0</formula>
    </cfRule>
  </conditionalFormatting>
  <conditionalFormatting sqref="AH104">
    <cfRule dxfId="1" operator="lessThan" priority="623" type="cellIs">
      <formula>0</formula>
    </cfRule>
    <cfRule dxfId="0" operator="greaterThanOrEqual" priority="624" type="cellIs">
      <formula>0</formula>
    </cfRule>
  </conditionalFormatting>
  <conditionalFormatting sqref="AE104">
    <cfRule dxfId="1" operator="lessThan" priority="615" type="cellIs">
      <formula>0</formula>
    </cfRule>
    <cfRule dxfId="0" operator="greaterThanOrEqual" priority="616" type="cellIs">
      <formula>0</formula>
    </cfRule>
  </conditionalFormatting>
  <conditionalFormatting sqref="J110 M110">
    <cfRule dxfId="0" operator="lessThanOrEqual" priority="611" type="cellIs">
      <formula>0</formula>
    </cfRule>
    <cfRule dxfId="1" operator="greaterThan" priority="612" type="cellIs">
      <formula>0</formula>
    </cfRule>
  </conditionalFormatting>
  <conditionalFormatting sqref="AN110">
    <cfRule dxfId="1" operator="lessThan" priority="599" type="cellIs">
      <formula>0</formula>
    </cfRule>
    <cfRule dxfId="0" operator="greaterThanOrEqual" priority="600" type="cellIs">
      <formula>0</formula>
    </cfRule>
  </conditionalFormatting>
  <conditionalFormatting sqref="Y110">
    <cfRule dxfId="1" operator="lessThan" priority="603" type="cellIs">
      <formula>0</formula>
    </cfRule>
    <cfRule dxfId="0" operator="greaterThanOrEqual" priority="604" type="cellIs">
      <formula>0</formula>
    </cfRule>
  </conditionalFormatting>
  <conditionalFormatting sqref="AH110">
    <cfRule dxfId="1" operator="lessThan" priority="605" type="cellIs">
      <formula>0</formula>
    </cfRule>
    <cfRule dxfId="0" operator="greaterThanOrEqual" priority="606" type="cellIs">
      <formula>0</formula>
    </cfRule>
  </conditionalFormatting>
  <conditionalFormatting sqref="AK110">
    <cfRule dxfId="1" operator="lessThan" priority="607" type="cellIs">
      <formula>0</formula>
    </cfRule>
    <cfRule dxfId="0" operator="greaterThanOrEqual" priority="608" type="cellIs">
      <formula>0</formula>
    </cfRule>
  </conditionalFormatting>
  <conditionalFormatting sqref="AB110">
    <cfRule dxfId="1" operator="lessThan" priority="595" type="cellIs">
      <formula>0</formula>
    </cfRule>
    <cfRule dxfId="0" operator="greaterThanOrEqual" priority="596" type="cellIs">
      <formula>0</formula>
    </cfRule>
  </conditionalFormatting>
  <conditionalFormatting sqref="G116 P116 S116">
    <cfRule dxfId="1" operator="lessThan" priority="591" type="cellIs">
      <formula>0</formula>
    </cfRule>
    <cfRule dxfId="0" operator="greaterThanOrEqual" priority="592" type="cellIs">
      <formula>0</formula>
    </cfRule>
  </conditionalFormatting>
  <conditionalFormatting sqref="J116 M116">
    <cfRule dxfId="0" operator="lessThanOrEqual" priority="593" type="cellIs">
      <formula>0</formula>
    </cfRule>
    <cfRule dxfId="1" operator="greaterThan" priority="594" type="cellIs">
      <formula>0</formula>
    </cfRule>
  </conditionalFormatting>
  <conditionalFormatting sqref="V116">
    <cfRule dxfId="1" operator="lessThan" priority="583" type="cellIs">
      <formula>0</formula>
    </cfRule>
    <cfRule dxfId="0" operator="greaterThanOrEqual" priority="584" type="cellIs">
      <formula>0</formula>
    </cfRule>
  </conditionalFormatting>
  <conditionalFormatting sqref="AH116">
    <cfRule dxfId="1" operator="lessThan" priority="587" type="cellIs">
      <formula>0</formula>
    </cfRule>
    <cfRule dxfId="0" operator="greaterThanOrEqual" priority="588" type="cellIs">
      <formula>0</formula>
    </cfRule>
  </conditionalFormatting>
  <conditionalFormatting sqref="AE116">
    <cfRule dxfId="1" operator="lessThan" priority="579" type="cellIs">
      <formula>0</formula>
    </cfRule>
    <cfRule dxfId="0" operator="greaterThanOrEqual" priority="580" type="cellIs">
      <formula>0</formula>
    </cfRule>
  </conditionalFormatting>
  <conditionalFormatting sqref="AB116">
    <cfRule dxfId="1" operator="lessThan" priority="577" type="cellIs">
      <formula>0</formula>
    </cfRule>
    <cfRule dxfId="0" operator="greaterThanOrEqual" priority="578" type="cellIs">
      <formula>0</formula>
    </cfRule>
  </conditionalFormatting>
  <conditionalFormatting sqref="J122 M122">
    <cfRule dxfId="0" operator="lessThanOrEqual" priority="575" type="cellIs">
      <formula>0</formula>
    </cfRule>
    <cfRule dxfId="1" operator="greaterThan" priority="576" type="cellIs">
      <formula>0</formula>
    </cfRule>
  </conditionalFormatting>
  <conditionalFormatting sqref="AN122">
    <cfRule dxfId="1" operator="lessThan" priority="563" type="cellIs">
      <formula>0</formula>
    </cfRule>
    <cfRule dxfId="0" operator="greaterThanOrEqual" priority="564" type="cellIs">
      <formula>0</formula>
    </cfRule>
  </conditionalFormatting>
  <conditionalFormatting sqref="Y122">
    <cfRule dxfId="1" operator="lessThan" priority="567" type="cellIs">
      <formula>0</formula>
    </cfRule>
    <cfRule dxfId="0" operator="greaterThanOrEqual" priority="568" type="cellIs">
      <formula>0</formula>
    </cfRule>
  </conditionalFormatting>
  <conditionalFormatting sqref="AK122">
    <cfRule dxfId="1" operator="lessThan" priority="571" type="cellIs">
      <formula>0</formula>
    </cfRule>
    <cfRule dxfId="0" operator="greaterThanOrEqual" priority="572" type="cellIs">
      <formula>0</formula>
    </cfRule>
  </conditionalFormatting>
  <conditionalFormatting sqref="AB122">
    <cfRule dxfId="1" operator="lessThan" priority="559" type="cellIs">
      <formula>0</formula>
    </cfRule>
    <cfRule dxfId="0" operator="greaterThanOrEqual" priority="560" type="cellIs">
      <formula>0</formula>
    </cfRule>
  </conditionalFormatting>
  <conditionalFormatting sqref="G128 P128 S128">
    <cfRule dxfId="1" operator="lessThan" priority="555" type="cellIs">
      <formula>0</formula>
    </cfRule>
    <cfRule dxfId="0" operator="greaterThanOrEqual" priority="556" type="cellIs">
      <formula>0</formula>
    </cfRule>
  </conditionalFormatting>
  <conditionalFormatting sqref="J128 M128">
    <cfRule dxfId="0" operator="lessThanOrEqual" priority="557" type="cellIs">
      <formula>0</formula>
    </cfRule>
    <cfRule dxfId="1" operator="greaterThan" priority="558" type="cellIs">
      <formula>0</formula>
    </cfRule>
  </conditionalFormatting>
  <conditionalFormatting sqref="V128">
    <cfRule dxfId="1" operator="lessThan" priority="547" type="cellIs">
      <formula>0</formula>
    </cfRule>
    <cfRule dxfId="0" operator="greaterThanOrEqual" priority="548" type="cellIs">
      <formula>0</formula>
    </cfRule>
  </conditionalFormatting>
  <conditionalFormatting sqref="Y128">
    <cfRule dxfId="1" operator="lessThan" priority="549" type="cellIs">
      <formula>0</formula>
    </cfRule>
    <cfRule dxfId="0" operator="greaterThanOrEqual" priority="550" type="cellIs">
      <formula>0</formula>
    </cfRule>
  </conditionalFormatting>
  <conditionalFormatting sqref="AH128">
    <cfRule dxfId="1" operator="lessThan" priority="551" type="cellIs">
      <formula>0</formula>
    </cfRule>
    <cfRule dxfId="0" operator="greaterThanOrEqual" priority="552" type="cellIs">
      <formula>0</formula>
    </cfRule>
  </conditionalFormatting>
  <conditionalFormatting sqref="AE128">
    <cfRule dxfId="1" operator="lessThan" priority="543" type="cellIs">
      <formula>0</formula>
    </cfRule>
    <cfRule dxfId="0" operator="greaterThanOrEqual" priority="544" type="cellIs">
      <formula>0</formula>
    </cfRule>
  </conditionalFormatting>
  <conditionalFormatting sqref="J134 M134">
    <cfRule dxfId="0" operator="lessThanOrEqual" priority="539" type="cellIs">
      <formula>0</formula>
    </cfRule>
    <cfRule dxfId="1" operator="greaterThan" priority="540" type="cellIs">
      <formula>0</formula>
    </cfRule>
  </conditionalFormatting>
  <conditionalFormatting sqref="AN134">
    <cfRule dxfId="1" operator="lessThan" priority="527" type="cellIs">
      <formula>0</formula>
    </cfRule>
    <cfRule dxfId="0" operator="greaterThanOrEqual" priority="528" type="cellIs">
      <formula>0</formula>
    </cfRule>
  </conditionalFormatting>
  <conditionalFormatting sqref="Y134">
    <cfRule dxfId="1" operator="lessThan" priority="531" type="cellIs">
      <formula>0</formula>
    </cfRule>
    <cfRule dxfId="0" operator="greaterThanOrEqual" priority="532" type="cellIs">
      <formula>0</formula>
    </cfRule>
  </conditionalFormatting>
  <conditionalFormatting sqref="AK134">
    <cfRule dxfId="1" operator="lessThan" priority="535" type="cellIs">
      <formula>0</formula>
    </cfRule>
    <cfRule dxfId="0" operator="greaterThanOrEqual" priority="536" type="cellIs">
      <formula>0</formula>
    </cfRule>
  </conditionalFormatting>
  <conditionalFormatting sqref="AB134">
    <cfRule dxfId="1" operator="lessThan" priority="523" type="cellIs">
      <formula>0</formula>
    </cfRule>
    <cfRule dxfId="0" operator="greaterThanOrEqual" priority="524" type="cellIs">
      <formula>0</formula>
    </cfRule>
  </conditionalFormatting>
  <conditionalFormatting sqref="G140 P140 S140">
    <cfRule dxfId="1" operator="lessThan" priority="519" type="cellIs">
      <formula>0</formula>
    </cfRule>
    <cfRule dxfId="0" operator="greaterThanOrEqual" priority="520" type="cellIs">
      <formula>0</formula>
    </cfRule>
  </conditionalFormatting>
  <conditionalFormatting sqref="J140 M140">
    <cfRule dxfId="0" operator="lessThanOrEqual" priority="521" type="cellIs">
      <formula>0</formula>
    </cfRule>
    <cfRule dxfId="1" operator="greaterThan" priority="522" type="cellIs">
      <formula>0</formula>
    </cfRule>
  </conditionalFormatting>
  <conditionalFormatting sqref="V140">
    <cfRule dxfId="1" operator="lessThan" priority="511" type="cellIs">
      <formula>0</formula>
    </cfRule>
    <cfRule dxfId="0" operator="greaterThanOrEqual" priority="512" type="cellIs">
      <formula>0</formula>
    </cfRule>
  </conditionalFormatting>
  <conditionalFormatting sqref="AH140">
    <cfRule dxfId="1" operator="lessThan" priority="515" type="cellIs">
      <formula>0</formula>
    </cfRule>
    <cfRule dxfId="0" operator="greaterThanOrEqual" priority="516" type="cellIs">
      <formula>0</formula>
    </cfRule>
  </conditionalFormatting>
  <conditionalFormatting sqref="AE140">
    <cfRule dxfId="1" operator="lessThan" priority="507" type="cellIs">
      <formula>0</formula>
    </cfRule>
    <cfRule dxfId="0" operator="greaterThanOrEqual" priority="508" type="cellIs">
      <formula>0</formula>
    </cfRule>
  </conditionalFormatting>
  <conditionalFormatting sqref="J146 M146">
    <cfRule dxfId="0" operator="lessThanOrEqual" priority="503" type="cellIs">
      <formula>0</formula>
    </cfRule>
    <cfRule dxfId="1" operator="greaterThan" priority="504" type="cellIs">
      <formula>0</formula>
    </cfRule>
  </conditionalFormatting>
  <conditionalFormatting sqref="AN146">
    <cfRule dxfId="1" operator="lessThan" priority="491" type="cellIs">
      <formula>0</formula>
    </cfRule>
    <cfRule dxfId="0" operator="greaterThanOrEqual" priority="492" type="cellIs">
      <formula>0</formula>
    </cfRule>
  </conditionalFormatting>
  <conditionalFormatting sqref="V146">
    <cfRule dxfId="1" operator="lessThan" priority="493" type="cellIs">
      <formula>0</formula>
    </cfRule>
    <cfRule dxfId="0" operator="greaterThanOrEqual" priority="494" type="cellIs">
      <formula>0</formula>
    </cfRule>
  </conditionalFormatting>
  <conditionalFormatting sqref="Y146">
    <cfRule dxfId="1" operator="lessThan" priority="495" type="cellIs">
      <formula>0</formula>
    </cfRule>
    <cfRule dxfId="0" operator="greaterThanOrEqual" priority="496" type="cellIs">
      <formula>0</formula>
    </cfRule>
  </conditionalFormatting>
  <conditionalFormatting sqref="AK146">
    <cfRule dxfId="1" operator="lessThan" priority="499" type="cellIs">
      <formula>0</formula>
    </cfRule>
    <cfRule dxfId="0" operator="greaterThanOrEqual" priority="500" type="cellIs">
      <formula>0</formula>
    </cfRule>
  </conditionalFormatting>
  <conditionalFormatting sqref="AB146">
    <cfRule dxfId="1" operator="lessThan" priority="487" type="cellIs">
      <formula>0</formula>
    </cfRule>
    <cfRule dxfId="0" operator="greaterThanOrEqual" priority="488" type="cellIs">
      <formula>0</formula>
    </cfRule>
  </conditionalFormatting>
  <conditionalFormatting sqref="G152 P152 S152">
    <cfRule dxfId="1" operator="lessThan" priority="483" type="cellIs">
      <formula>0</formula>
    </cfRule>
    <cfRule dxfId="0" operator="greaterThanOrEqual" priority="484" type="cellIs">
      <formula>0</formula>
    </cfRule>
  </conditionalFormatting>
  <conditionalFormatting sqref="J152 M152">
    <cfRule dxfId="0" operator="lessThanOrEqual" priority="485" type="cellIs">
      <formula>0</formula>
    </cfRule>
    <cfRule dxfId="1" operator="greaterThan" priority="486" type="cellIs">
      <formula>0</formula>
    </cfRule>
  </conditionalFormatting>
  <conditionalFormatting sqref="V152">
    <cfRule dxfId="1" operator="lessThan" priority="475" type="cellIs">
      <formula>0</formula>
    </cfRule>
    <cfRule dxfId="0" operator="greaterThanOrEqual" priority="476" type="cellIs">
      <formula>0</formula>
    </cfRule>
  </conditionalFormatting>
  <conditionalFormatting sqref="AH152">
    <cfRule dxfId="1" operator="lessThan" priority="479" type="cellIs">
      <formula>0</formula>
    </cfRule>
    <cfRule dxfId="0" operator="greaterThanOrEqual" priority="480" type="cellIs">
      <formula>0</formula>
    </cfRule>
  </conditionalFormatting>
  <conditionalFormatting sqref="AE152">
    <cfRule dxfId="1" operator="lessThan" priority="471" type="cellIs">
      <formula>0</formula>
    </cfRule>
    <cfRule dxfId="0" operator="greaterThanOrEqual" priority="472" type="cellIs">
      <formula>0</formula>
    </cfRule>
  </conditionalFormatting>
  <conditionalFormatting sqref="G158 P158 S158">
    <cfRule dxfId="1" operator="lessThan" priority="465" type="cellIs">
      <formula>0</formula>
    </cfRule>
    <cfRule dxfId="0" operator="greaterThanOrEqual" priority="466" type="cellIs">
      <formula>0</formula>
    </cfRule>
  </conditionalFormatting>
  <conditionalFormatting sqref="J158 M158">
    <cfRule dxfId="0" operator="lessThanOrEqual" priority="467" type="cellIs">
      <formula>0</formula>
    </cfRule>
    <cfRule dxfId="1" operator="greaterThan" priority="468" type="cellIs">
      <formula>0</formula>
    </cfRule>
  </conditionalFormatting>
  <conditionalFormatting sqref="AN158">
    <cfRule dxfId="1" operator="lessThan" priority="455" type="cellIs">
      <formula>0</formula>
    </cfRule>
    <cfRule dxfId="0" operator="greaterThanOrEqual" priority="456" type="cellIs">
      <formula>0</formula>
    </cfRule>
  </conditionalFormatting>
  <conditionalFormatting sqref="Y158">
    <cfRule dxfId="1" operator="lessThan" priority="459" type="cellIs">
      <formula>0</formula>
    </cfRule>
    <cfRule dxfId="0" operator="greaterThanOrEqual" priority="460" type="cellIs">
      <formula>0</formula>
    </cfRule>
  </conditionalFormatting>
  <conditionalFormatting sqref="AK158">
    <cfRule dxfId="1" operator="lessThan" priority="463" type="cellIs">
      <formula>0</formula>
    </cfRule>
    <cfRule dxfId="0" operator="greaterThanOrEqual" priority="464" type="cellIs">
      <formula>0</formula>
    </cfRule>
  </conditionalFormatting>
  <conditionalFormatting sqref="AB158">
    <cfRule dxfId="1" operator="lessThan" priority="451" type="cellIs">
      <formula>0</formula>
    </cfRule>
    <cfRule dxfId="0" operator="greaterThanOrEqual" priority="452" type="cellIs">
      <formula>0</formula>
    </cfRule>
  </conditionalFormatting>
  <conditionalFormatting sqref="G164 P164 S164">
    <cfRule dxfId="1" operator="lessThan" priority="447" type="cellIs">
      <formula>0</formula>
    </cfRule>
    <cfRule dxfId="0" operator="greaterThanOrEqual" priority="448" type="cellIs">
      <formula>0</formula>
    </cfRule>
  </conditionalFormatting>
  <conditionalFormatting sqref="J164 M164">
    <cfRule dxfId="0" operator="lessThanOrEqual" priority="449" type="cellIs">
      <formula>0</formula>
    </cfRule>
    <cfRule dxfId="1" operator="greaterThan" priority="450" type="cellIs">
      <formula>0</formula>
    </cfRule>
  </conditionalFormatting>
  <conditionalFormatting sqref="AN164">
    <cfRule dxfId="1" operator="lessThan" priority="437" type="cellIs">
      <formula>0</formula>
    </cfRule>
    <cfRule dxfId="0" operator="greaterThanOrEqual" priority="438" type="cellIs">
      <formula>0</formula>
    </cfRule>
  </conditionalFormatting>
  <conditionalFormatting sqref="V164">
    <cfRule dxfId="1" operator="lessThan" priority="439" type="cellIs">
      <formula>0</formula>
    </cfRule>
    <cfRule dxfId="0" operator="greaterThanOrEqual" priority="440" type="cellIs">
      <formula>0</formula>
    </cfRule>
  </conditionalFormatting>
  <conditionalFormatting sqref="AH164">
    <cfRule dxfId="1" operator="lessThan" priority="443" type="cellIs">
      <formula>0</formula>
    </cfRule>
    <cfRule dxfId="0" operator="greaterThanOrEqual" priority="444" type="cellIs">
      <formula>0</formula>
    </cfRule>
  </conditionalFormatting>
  <conditionalFormatting sqref="AE164">
    <cfRule dxfId="1" operator="lessThan" priority="435" type="cellIs">
      <formula>0</formula>
    </cfRule>
    <cfRule dxfId="0" operator="greaterThanOrEqual" priority="436" type="cellIs">
      <formula>0</formula>
    </cfRule>
  </conditionalFormatting>
  <conditionalFormatting sqref="J170 M170">
    <cfRule dxfId="0" operator="lessThanOrEqual" priority="431" type="cellIs">
      <formula>0</formula>
    </cfRule>
    <cfRule dxfId="1" operator="greaterThan" priority="432" type="cellIs">
      <formula>0</formula>
    </cfRule>
  </conditionalFormatting>
  <conditionalFormatting sqref="AN170">
    <cfRule dxfId="1" operator="lessThan" priority="419" type="cellIs">
      <formula>0</formula>
    </cfRule>
    <cfRule dxfId="0" operator="greaterThanOrEqual" priority="420" type="cellIs">
      <formula>0</formula>
    </cfRule>
  </conditionalFormatting>
  <conditionalFormatting sqref="Y170">
    <cfRule dxfId="1" operator="lessThan" priority="423" type="cellIs">
      <formula>0</formula>
    </cfRule>
    <cfRule dxfId="0" operator="greaterThanOrEqual" priority="424" type="cellIs">
      <formula>0</formula>
    </cfRule>
  </conditionalFormatting>
  <conditionalFormatting sqref="AK170">
    <cfRule dxfId="1" operator="lessThan" priority="427" type="cellIs">
      <formula>0</formula>
    </cfRule>
    <cfRule dxfId="0" operator="greaterThanOrEqual" priority="428" type="cellIs">
      <formula>0</formula>
    </cfRule>
  </conditionalFormatting>
  <conditionalFormatting sqref="AB170">
    <cfRule dxfId="1" operator="lessThan" priority="415" type="cellIs">
      <formula>0</formula>
    </cfRule>
    <cfRule dxfId="0" operator="greaterThanOrEqual" priority="416" type="cellIs">
      <formula>0</formula>
    </cfRule>
  </conditionalFormatting>
  <conditionalFormatting sqref="G176 P176 S176">
    <cfRule dxfId="1" operator="lessThan" priority="411" type="cellIs">
      <formula>0</formula>
    </cfRule>
    <cfRule dxfId="0" operator="greaterThanOrEqual" priority="412" type="cellIs">
      <formula>0</formula>
    </cfRule>
  </conditionalFormatting>
  <conditionalFormatting sqref="J176 M176">
    <cfRule dxfId="0" operator="lessThanOrEqual" priority="413" type="cellIs">
      <formula>0</formula>
    </cfRule>
    <cfRule dxfId="1" operator="greaterThan" priority="414" type="cellIs">
      <formula>0</formula>
    </cfRule>
  </conditionalFormatting>
  <conditionalFormatting sqref="V176">
    <cfRule dxfId="1" operator="lessThan" priority="403" type="cellIs">
      <formula>0</formula>
    </cfRule>
    <cfRule dxfId="0" operator="greaterThanOrEqual" priority="404" type="cellIs">
      <formula>0</formula>
    </cfRule>
  </conditionalFormatting>
  <conditionalFormatting sqref="AH176">
    <cfRule dxfId="1" operator="lessThan" priority="407" type="cellIs">
      <formula>0</formula>
    </cfRule>
    <cfRule dxfId="0" operator="greaterThanOrEqual" priority="408" type="cellIs">
      <formula>0</formula>
    </cfRule>
  </conditionalFormatting>
  <conditionalFormatting sqref="AK176">
    <cfRule dxfId="1" operator="lessThan" priority="409" type="cellIs">
      <formula>0</formula>
    </cfRule>
    <cfRule dxfId="0" operator="greaterThanOrEqual" priority="410" type="cellIs">
      <formula>0</formula>
    </cfRule>
  </conditionalFormatting>
  <conditionalFormatting sqref="AE176">
    <cfRule dxfId="1" operator="lessThan" priority="399" type="cellIs">
      <formula>0</formula>
    </cfRule>
    <cfRule dxfId="0" operator="greaterThanOrEqual" priority="400" type="cellIs">
      <formula>0</formula>
    </cfRule>
  </conditionalFormatting>
  <conditionalFormatting sqref="J182 M182">
    <cfRule dxfId="0" operator="lessThanOrEqual" priority="395" type="cellIs">
      <formula>0</formula>
    </cfRule>
    <cfRule dxfId="1" operator="greaterThan" priority="396" type="cellIs">
      <formula>0</formula>
    </cfRule>
  </conditionalFormatting>
  <conditionalFormatting sqref="AN182">
    <cfRule dxfId="1" operator="lessThan" priority="383" type="cellIs">
      <formula>0</formula>
    </cfRule>
    <cfRule dxfId="0" operator="greaterThanOrEqual" priority="384" type="cellIs">
      <formula>0</formula>
    </cfRule>
  </conditionalFormatting>
  <conditionalFormatting sqref="Y182">
    <cfRule dxfId="1" operator="lessThan" priority="387" type="cellIs">
      <formula>0</formula>
    </cfRule>
    <cfRule dxfId="0" operator="greaterThanOrEqual" priority="388" type="cellIs">
      <formula>0</formula>
    </cfRule>
  </conditionalFormatting>
  <conditionalFormatting sqref="AK182">
    <cfRule dxfId="1" operator="lessThan" priority="391" type="cellIs">
      <formula>0</formula>
    </cfRule>
    <cfRule dxfId="0" operator="greaterThanOrEqual" priority="392" type="cellIs">
      <formula>0</formula>
    </cfRule>
  </conditionalFormatting>
  <conditionalFormatting sqref="AE182">
    <cfRule dxfId="1" operator="lessThan" priority="381" type="cellIs">
      <formula>0</formula>
    </cfRule>
    <cfRule dxfId="0" operator="greaterThanOrEqual" priority="382" type="cellIs">
      <formula>0</formula>
    </cfRule>
  </conditionalFormatting>
  <conditionalFormatting sqref="AB182">
    <cfRule dxfId="1" operator="lessThan" priority="379" type="cellIs">
      <formula>0</formula>
    </cfRule>
    <cfRule dxfId="0" operator="greaterThanOrEqual" priority="380" type="cellIs">
      <formula>0</formula>
    </cfRule>
  </conditionalFormatting>
  <conditionalFormatting sqref="G188 P188 S188">
    <cfRule dxfId="1" operator="lessThan" priority="375" type="cellIs">
      <formula>0</formula>
    </cfRule>
    <cfRule dxfId="0" operator="greaterThanOrEqual" priority="376" type="cellIs">
      <formula>0</formula>
    </cfRule>
  </conditionalFormatting>
  <conditionalFormatting sqref="J188 M188">
    <cfRule dxfId="0" operator="lessThanOrEqual" priority="377" type="cellIs">
      <formula>0</formula>
    </cfRule>
    <cfRule dxfId="1" operator="greaterThan" priority="378" type="cellIs">
      <formula>0</formula>
    </cfRule>
  </conditionalFormatting>
  <conditionalFormatting sqref="V188">
    <cfRule dxfId="1" operator="lessThan" priority="367" type="cellIs">
      <formula>0</formula>
    </cfRule>
    <cfRule dxfId="0" operator="greaterThanOrEqual" priority="368" type="cellIs">
      <formula>0</formula>
    </cfRule>
  </conditionalFormatting>
  <conditionalFormatting sqref="AH188">
    <cfRule dxfId="1" operator="lessThan" priority="371" type="cellIs">
      <formula>0</formula>
    </cfRule>
    <cfRule dxfId="0" operator="greaterThanOrEqual" priority="372" type="cellIs">
      <formula>0</formula>
    </cfRule>
  </conditionalFormatting>
  <conditionalFormatting sqref="AE188">
    <cfRule dxfId="1" operator="lessThan" priority="363" type="cellIs">
      <formula>0</formula>
    </cfRule>
    <cfRule dxfId="0" operator="greaterThanOrEqual" priority="364" type="cellIs">
      <formula>0</formula>
    </cfRule>
  </conditionalFormatting>
  <conditionalFormatting sqref="J194 M194">
    <cfRule dxfId="0" operator="lessThanOrEqual" priority="359" type="cellIs">
      <formula>0</formula>
    </cfRule>
    <cfRule dxfId="1" operator="greaterThan" priority="360" type="cellIs">
      <formula>0</formula>
    </cfRule>
  </conditionalFormatting>
  <conditionalFormatting sqref="AN194">
    <cfRule dxfId="1" operator="lessThan" priority="347" type="cellIs">
      <formula>0</formula>
    </cfRule>
    <cfRule dxfId="0" operator="greaterThanOrEqual" priority="348" type="cellIs">
      <formula>0</formula>
    </cfRule>
  </conditionalFormatting>
  <conditionalFormatting sqref="Y194">
    <cfRule dxfId="1" operator="lessThan" priority="351" type="cellIs">
      <formula>0</formula>
    </cfRule>
    <cfRule dxfId="0" operator="greaterThanOrEqual" priority="352" type="cellIs">
      <formula>0</formula>
    </cfRule>
  </conditionalFormatting>
  <conditionalFormatting sqref="AH194">
    <cfRule dxfId="1" operator="lessThan" priority="353" type="cellIs">
      <formula>0</formula>
    </cfRule>
    <cfRule dxfId="0" operator="greaterThanOrEqual" priority="354" type="cellIs">
      <formula>0</formula>
    </cfRule>
  </conditionalFormatting>
  <conditionalFormatting sqref="AK194">
    <cfRule dxfId="1" operator="lessThan" priority="355" type="cellIs">
      <formula>0</formula>
    </cfRule>
    <cfRule dxfId="0" operator="greaterThanOrEqual" priority="356" type="cellIs">
      <formula>0</formula>
    </cfRule>
  </conditionalFormatting>
  <conditionalFormatting sqref="AB194">
    <cfRule dxfId="1" operator="lessThan" priority="343" type="cellIs">
      <formula>0</formula>
    </cfRule>
    <cfRule dxfId="0" operator="greaterThanOrEqual" priority="344" type="cellIs">
      <formula>0</formula>
    </cfRule>
  </conditionalFormatting>
  <conditionalFormatting sqref="G200 P200 S200">
    <cfRule dxfId="1" operator="lessThan" priority="339" type="cellIs">
      <formula>0</formula>
    </cfRule>
    <cfRule dxfId="0" operator="greaterThanOrEqual" priority="340" type="cellIs">
      <formula>0</formula>
    </cfRule>
  </conditionalFormatting>
  <conditionalFormatting sqref="J200 M200">
    <cfRule dxfId="0" operator="lessThanOrEqual" priority="341" type="cellIs">
      <formula>0</formula>
    </cfRule>
    <cfRule dxfId="1" operator="greaterThan" priority="342" type="cellIs">
      <formula>0</formula>
    </cfRule>
  </conditionalFormatting>
  <conditionalFormatting sqref="V200">
    <cfRule dxfId="1" operator="lessThan" priority="331" type="cellIs">
      <formula>0</formula>
    </cfRule>
    <cfRule dxfId="0" operator="greaterThanOrEqual" priority="332" type="cellIs">
      <formula>0</formula>
    </cfRule>
  </conditionalFormatting>
  <conditionalFormatting sqref="AH200">
    <cfRule dxfId="1" operator="lessThan" priority="335" type="cellIs">
      <formula>0</formula>
    </cfRule>
    <cfRule dxfId="0" operator="greaterThanOrEqual" priority="336" type="cellIs">
      <formula>0</formula>
    </cfRule>
  </conditionalFormatting>
  <conditionalFormatting sqref="AE200">
    <cfRule dxfId="1" operator="lessThan" priority="327" type="cellIs">
      <formula>0</formula>
    </cfRule>
    <cfRule dxfId="0" operator="greaterThanOrEqual" priority="328" type="cellIs">
      <formula>0</formula>
    </cfRule>
  </conditionalFormatting>
  <conditionalFormatting sqref="AB200">
    <cfRule dxfId="1" operator="lessThan" priority="325" type="cellIs">
      <formula>0</formula>
    </cfRule>
    <cfRule dxfId="0" operator="greaterThanOrEqual" priority="326" type="cellIs">
      <formula>0</formula>
    </cfRule>
  </conditionalFormatting>
  <conditionalFormatting sqref="J206 M206">
    <cfRule dxfId="0" operator="lessThanOrEqual" priority="323" type="cellIs">
      <formula>0</formula>
    </cfRule>
    <cfRule dxfId="1" operator="greaterThan" priority="324" type="cellIs">
      <formula>0</formula>
    </cfRule>
  </conditionalFormatting>
  <conditionalFormatting sqref="AN206">
    <cfRule dxfId="1" operator="lessThan" priority="311" type="cellIs">
      <formula>0</formula>
    </cfRule>
    <cfRule dxfId="0" operator="greaterThanOrEqual" priority="312" type="cellIs">
      <formula>0</formula>
    </cfRule>
  </conditionalFormatting>
  <conditionalFormatting sqref="Y206">
    <cfRule dxfId="1" operator="lessThan" priority="315" type="cellIs">
      <formula>0</formula>
    </cfRule>
    <cfRule dxfId="0" operator="greaterThanOrEqual" priority="316" type="cellIs">
      <formula>0</formula>
    </cfRule>
  </conditionalFormatting>
  <conditionalFormatting sqref="AK206">
    <cfRule dxfId="1" operator="lessThan" priority="319" type="cellIs">
      <formula>0</formula>
    </cfRule>
    <cfRule dxfId="0" operator="greaterThanOrEqual" priority="320" type="cellIs">
      <formula>0</formula>
    </cfRule>
  </conditionalFormatting>
  <conditionalFormatting sqref="AB206">
    <cfRule dxfId="1" operator="lessThan" priority="307" type="cellIs">
      <formula>0</formula>
    </cfRule>
    <cfRule dxfId="0" operator="greaterThanOrEqual" priority="308" type="cellIs">
      <formula>0</formula>
    </cfRule>
  </conditionalFormatting>
  <conditionalFormatting sqref="G212 P212 S212">
    <cfRule dxfId="1" operator="lessThan" priority="303" type="cellIs">
      <formula>0</formula>
    </cfRule>
    <cfRule dxfId="0" operator="greaterThanOrEqual" priority="304" type="cellIs">
      <formula>0</formula>
    </cfRule>
  </conditionalFormatting>
  <conditionalFormatting sqref="J212 M212">
    <cfRule dxfId="0" operator="lessThanOrEqual" priority="305" type="cellIs">
      <formula>0</formula>
    </cfRule>
    <cfRule dxfId="1" operator="greaterThan" priority="306" type="cellIs">
      <formula>0</formula>
    </cfRule>
  </conditionalFormatting>
  <conditionalFormatting sqref="V212">
    <cfRule dxfId="1" operator="lessThan" priority="295" type="cellIs">
      <formula>0</formula>
    </cfRule>
    <cfRule dxfId="0" operator="greaterThanOrEqual" priority="296" type="cellIs">
      <formula>0</formula>
    </cfRule>
  </conditionalFormatting>
  <conditionalFormatting sqref="Y212">
    <cfRule dxfId="1" operator="lessThan" priority="297" type="cellIs">
      <formula>0</formula>
    </cfRule>
    <cfRule dxfId="0" operator="greaterThanOrEqual" priority="298" type="cellIs">
      <formula>0</formula>
    </cfRule>
  </conditionalFormatting>
  <conditionalFormatting sqref="AH212">
    <cfRule dxfId="1" operator="lessThan" priority="299" type="cellIs">
      <formula>0</formula>
    </cfRule>
    <cfRule dxfId="0" operator="greaterThanOrEqual" priority="300" type="cellIs">
      <formula>0</formula>
    </cfRule>
  </conditionalFormatting>
  <conditionalFormatting sqref="AE212">
    <cfRule dxfId="1" operator="lessThan" priority="291" type="cellIs">
      <formula>0</formula>
    </cfRule>
    <cfRule dxfId="0" operator="greaterThanOrEqual" priority="292" type="cellIs">
      <formula>0</formula>
    </cfRule>
  </conditionalFormatting>
  <conditionalFormatting sqref="J218 M218">
    <cfRule dxfId="0" operator="lessThanOrEqual" priority="287" type="cellIs">
      <formula>0</formula>
    </cfRule>
    <cfRule dxfId="1" operator="greaterThan" priority="288" type="cellIs">
      <formula>0</formula>
    </cfRule>
  </conditionalFormatting>
  <conditionalFormatting sqref="AN218">
    <cfRule dxfId="1" operator="lessThan" priority="275" type="cellIs">
      <formula>0</formula>
    </cfRule>
    <cfRule dxfId="0" operator="greaterThanOrEqual" priority="276" type="cellIs">
      <formula>0</formula>
    </cfRule>
  </conditionalFormatting>
  <conditionalFormatting sqref="Y218">
    <cfRule dxfId="1" operator="lessThan" priority="279" type="cellIs">
      <formula>0</formula>
    </cfRule>
    <cfRule dxfId="0" operator="greaterThanOrEqual" priority="280" type="cellIs">
      <formula>0</formula>
    </cfRule>
  </conditionalFormatting>
  <conditionalFormatting sqref="AK218">
    <cfRule dxfId="1" operator="lessThan" priority="283" type="cellIs">
      <formula>0</formula>
    </cfRule>
    <cfRule dxfId="0" operator="greaterThanOrEqual" priority="284" type="cellIs">
      <formula>0</formula>
    </cfRule>
  </conditionalFormatting>
  <conditionalFormatting sqref="AB218">
    <cfRule dxfId="1" operator="lessThan" priority="271" type="cellIs">
      <formula>0</formula>
    </cfRule>
    <cfRule dxfId="0" operator="greaterThanOrEqual" priority="272" type="cellIs">
      <formula>0</formula>
    </cfRule>
  </conditionalFormatting>
  <conditionalFormatting sqref="G224 P224 S224">
    <cfRule dxfId="1" operator="lessThan" priority="267" type="cellIs">
      <formula>0</formula>
    </cfRule>
    <cfRule dxfId="0" operator="greaterThanOrEqual" priority="268" type="cellIs">
      <formula>0</formula>
    </cfRule>
  </conditionalFormatting>
  <conditionalFormatting sqref="J224 M224">
    <cfRule dxfId="0" operator="lessThanOrEqual" priority="269" type="cellIs">
      <formula>0</formula>
    </cfRule>
    <cfRule dxfId="1" operator="greaterThan" priority="270" type="cellIs">
      <formula>0</formula>
    </cfRule>
  </conditionalFormatting>
  <conditionalFormatting sqref="V224">
    <cfRule dxfId="1" operator="lessThan" priority="259" type="cellIs">
      <formula>0</formula>
    </cfRule>
    <cfRule dxfId="0" operator="greaterThanOrEqual" priority="260" type="cellIs">
      <formula>0</formula>
    </cfRule>
  </conditionalFormatting>
  <conditionalFormatting sqref="AH224">
    <cfRule dxfId="1" operator="lessThan" priority="263" type="cellIs">
      <formula>0</formula>
    </cfRule>
    <cfRule dxfId="0" operator="greaterThanOrEqual" priority="264" type="cellIs">
      <formula>0</formula>
    </cfRule>
  </conditionalFormatting>
  <conditionalFormatting sqref="AE224">
    <cfRule dxfId="1" operator="lessThan" priority="255" type="cellIs">
      <formula>0</formula>
    </cfRule>
    <cfRule dxfId="0" operator="greaterThanOrEqual" priority="256" type="cellIs">
      <formula>0</formula>
    </cfRule>
  </conditionalFormatting>
  <conditionalFormatting sqref="J230 M230">
    <cfRule dxfId="0" operator="lessThanOrEqual" priority="251" type="cellIs">
      <formula>0</formula>
    </cfRule>
    <cfRule dxfId="1" operator="greaterThan" priority="252" type="cellIs">
      <formula>0</formula>
    </cfRule>
  </conditionalFormatting>
  <conditionalFormatting sqref="AN230">
    <cfRule dxfId="1" operator="lessThan" priority="239" type="cellIs">
      <formula>0</formula>
    </cfRule>
    <cfRule dxfId="0" operator="greaterThanOrEqual" priority="240" type="cellIs">
      <formula>0</formula>
    </cfRule>
  </conditionalFormatting>
  <conditionalFormatting sqref="V230">
    <cfRule dxfId="1" operator="lessThan" priority="241" type="cellIs">
      <formula>0</formula>
    </cfRule>
    <cfRule dxfId="0" operator="greaterThanOrEqual" priority="242" type="cellIs">
      <formula>0</formula>
    </cfRule>
  </conditionalFormatting>
  <conditionalFormatting sqref="Y230">
    <cfRule dxfId="1" operator="lessThan" priority="243" type="cellIs">
      <formula>0</formula>
    </cfRule>
    <cfRule dxfId="0" operator="greaterThanOrEqual" priority="244" type="cellIs">
      <formula>0</formula>
    </cfRule>
  </conditionalFormatting>
  <conditionalFormatting sqref="AK230">
    <cfRule dxfId="1" operator="lessThan" priority="247" type="cellIs">
      <formula>0</formula>
    </cfRule>
    <cfRule dxfId="0" operator="greaterThanOrEqual" priority="248" type="cellIs">
      <formula>0</formula>
    </cfRule>
  </conditionalFormatting>
  <conditionalFormatting sqref="AB230">
    <cfRule dxfId="1" operator="lessThan" priority="235" type="cellIs">
      <formula>0</formula>
    </cfRule>
    <cfRule dxfId="0" operator="greaterThanOrEqual" priority="236" type="cellIs">
      <formula>0</formula>
    </cfRule>
  </conditionalFormatting>
  <conditionalFormatting sqref="G236 P236 S236">
    <cfRule dxfId="1" operator="lessThan" priority="231" type="cellIs">
      <formula>0</formula>
    </cfRule>
    <cfRule dxfId="0" operator="greaterThanOrEqual" priority="232" type="cellIs">
      <formula>0</formula>
    </cfRule>
  </conditionalFormatting>
  <conditionalFormatting sqref="J236 M236">
    <cfRule dxfId="0" operator="lessThanOrEqual" priority="233" type="cellIs">
      <formula>0</formula>
    </cfRule>
    <cfRule dxfId="1" operator="greaterThan" priority="234" type="cellIs">
      <formula>0</formula>
    </cfRule>
  </conditionalFormatting>
  <conditionalFormatting sqref="V236">
    <cfRule dxfId="1" operator="lessThan" priority="223" type="cellIs">
      <formula>0</formula>
    </cfRule>
    <cfRule dxfId="0" operator="greaterThanOrEqual" priority="224" type="cellIs">
      <formula>0</formula>
    </cfRule>
  </conditionalFormatting>
  <conditionalFormatting sqref="AH236">
    <cfRule dxfId="1" operator="lessThan" priority="227" type="cellIs">
      <formula>0</formula>
    </cfRule>
    <cfRule dxfId="0" operator="greaterThanOrEqual" priority="228" type="cellIs">
      <formula>0</formula>
    </cfRule>
  </conditionalFormatting>
  <conditionalFormatting sqref="AE236">
    <cfRule dxfId="1" operator="lessThan" priority="219" type="cellIs">
      <formula>0</formula>
    </cfRule>
    <cfRule dxfId="0" operator="greaterThanOrEqual" priority="220" type="cellIs">
      <formula>0</formula>
    </cfRule>
  </conditionalFormatting>
  <conditionalFormatting sqref="G242 P242 S242">
    <cfRule dxfId="1" operator="lessThan" priority="213" type="cellIs">
      <formula>0</formula>
    </cfRule>
    <cfRule dxfId="0" operator="greaterThanOrEqual" priority="214" type="cellIs">
      <formula>0</formula>
    </cfRule>
  </conditionalFormatting>
  <conditionalFormatting sqref="J242 M242">
    <cfRule dxfId="0" operator="lessThanOrEqual" priority="215" type="cellIs">
      <formula>0</formula>
    </cfRule>
    <cfRule dxfId="1" operator="greaterThan" priority="216" type="cellIs">
      <formula>0</formula>
    </cfRule>
  </conditionalFormatting>
  <conditionalFormatting sqref="AN242">
    <cfRule dxfId="1" operator="lessThan" priority="203" type="cellIs">
      <formula>0</formula>
    </cfRule>
    <cfRule dxfId="0" operator="greaterThanOrEqual" priority="204" type="cellIs">
      <formula>0</formula>
    </cfRule>
  </conditionalFormatting>
  <conditionalFormatting sqref="Y242">
    <cfRule dxfId="1" operator="lessThan" priority="207" type="cellIs">
      <formula>0</formula>
    </cfRule>
    <cfRule dxfId="0" operator="greaterThanOrEqual" priority="208" type="cellIs">
      <formula>0</formula>
    </cfRule>
  </conditionalFormatting>
  <conditionalFormatting sqref="AK242">
    <cfRule dxfId="1" operator="lessThan" priority="211" type="cellIs">
      <formula>0</formula>
    </cfRule>
    <cfRule dxfId="0" operator="greaterThanOrEqual" priority="212" type="cellIs">
      <formula>0</formula>
    </cfRule>
  </conditionalFormatting>
  <conditionalFormatting sqref="AB242">
    <cfRule dxfId="1" operator="lessThan" priority="199" type="cellIs">
      <formula>0</formula>
    </cfRule>
    <cfRule dxfId="0" operator="greaterThanOrEqual" priority="200" type="cellIs">
      <formula>0</formula>
    </cfRule>
  </conditionalFormatting>
  <conditionalFormatting sqref="G248 P248 S248">
    <cfRule dxfId="1" operator="lessThan" priority="195" type="cellIs">
      <formula>0</formula>
    </cfRule>
    <cfRule dxfId="0" operator="greaterThanOrEqual" priority="196" type="cellIs">
      <formula>0</formula>
    </cfRule>
  </conditionalFormatting>
  <conditionalFormatting sqref="J248 M248">
    <cfRule dxfId="0" operator="lessThanOrEqual" priority="197" type="cellIs">
      <formula>0</formula>
    </cfRule>
    <cfRule dxfId="1" operator="greaterThan" priority="198" type="cellIs">
      <formula>0</formula>
    </cfRule>
  </conditionalFormatting>
  <conditionalFormatting sqref="AN248">
    <cfRule dxfId="1" operator="lessThan" priority="185" type="cellIs">
      <formula>0</formula>
    </cfRule>
    <cfRule dxfId="0" operator="greaterThanOrEqual" priority="186" type="cellIs">
      <formula>0</formula>
    </cfRule>
  </conditionalFormatting>
  <conditionalFormatting sqref="V248">
    <cfRule dxfId="1" operator="lessThan" priority="187" type="cellIs">
      <formula>0</formula>
    </cfRule>
    <cfRule dxfId="0" operator="greaterThanOrEqual" priority="188" type="cellIs">
      <formula>0</formula>
    </cfRule>
  </conditionalFormatting>
  <conditionalFormatting sqref="AH248">
    <cfRule dxfId="1" operator="lessThan" priority="191" type="cellIs">
      <formula>0</formula>
    </cfRule>
    <cfRule dxfId="0" operator="greaterThanOrEqual" priority="192" type="cellIs">
      <formula>0</formula>
    </cfRule>
  </conditionalFormatting>
  <conditionalFormatting sqref="AE248">
    <cfRule dxfId="1" operator="lessThan" priority="183" type="cellIs">
      <formula>0</formula>
    </cfRule>
    <cfRule dxfId="0" operator="greaterThanOrEqual" priority="184" type="cellIs">
      <formula>0</formula>
    </cfRule>
  </conditionalFormatting>
  <conditionalFormatting sqref="J254 M254">
    <cfRule dxfId="0" operator="lessThanOrEqual" priority="179" type="cellIs">
      <formula>0</formula>
    </cfRule>
    <cfRule dxfId="1" operator="greaterThan" priority="180" type="cellIs">
      <formula>0</formula>
    </cfRule>
  </conditionalFormatting>
  <conditionalFormatting sqref="AN254">
    <cfRule dxfId="1" operator="lessThan" priority="167" type="cellIs">
      <formula>0</formula>
    </cfRule>
    <cfRule dxfId="0" operator="greaterThanOrEqual" priority="168" type="cellIs">
      <formula>0</formula>
    </cfRule>
  </conditionalFormatting>
  <conditionalFormatting sqref="Y254">
    <cfRule dxfId="1" operator="lessThan" priority="171" type="cellIs">
      <formula>0</formula>
    </cfRule>
    <cfRule dxfId="0" operator="greaterThanOrEqual" priority="172" type="cellIs">
      <formula>0</formula>
    </cfRule>
  </conditionalFormatting>
  <conditionalFormatting sqref="AK254">
    <cfRule dxfId="1" operator="lessThan" priority="175" type="cellIs">
      <formula>0</formula>
    </cfRule>
    <cfRule dxfId="0" operator="greaterThanOrEqual" priority="176" type="cellIs">
      <formula>0</formula>
    </cfRule>
  </conditionalFormatting>
  <conditionalFormatting sqref="AB254">
    <cfRule dxfId="1" operator="lessThan" priority="163" type="cellIs">
      <formula>0</formula>
    </cfRule>
    <cfRule dxfId="0" operator="greaterThanOrEqual" priority="164" type="cellIs">
      <formula>0</formula>
    </cfRule>
  </conditionalFormatting>
  <conditionalFormatting sqref="G260 P260 S260">
    <cfRule dxfId="1" operator="lessThan" priority="159" type="cellIs">
      <formula>0</formula>
    </cfRule>
    <cfRule dxfId="0" operator="greaterThanOrEqual" priority="160" type="cellIs">
      <formula>0</formula>
    </cfRule>
  </conditionalFormatting>
  <conditionalFormatting sqref="J260 M260">
    <cfRule dxfId="0" operator="lessThanOrEqual" priority="161" type="cellIs">
      <formula>0</formula>
    </cfRule>
    <cfRule dxfId="1" operator="greaterThan" priority="162" type="cellIs">
      <formula>0</formula>
    </cfRule>
  </conditionalFormatting>
  <conditionalFormatting sqref="V260">
    <cfRule dxfId="1" operator="lessThan" priority="151" type="cellIs">
      <formula>0</formula>
    </cfRule>
    <cfRule dxfId="0" operator="greaterThanOrEqual" priority="152" type="cellIs">
      <formula>0</formula>
    </cfRule>
  </conditionalFormatting>
  <conditionalFormatting sqref="AH260">
    <cfRule dxfId="1" operator="lessThan" priority="155" type="cellIs">
      <formula>0</formula>
    </cfRule>
    <cfRule dxfId="0" operator="greaterThanOrEqual" priority="156" type="cellIs">
      <formula>0</formula>
    </cfRule>
  </conditionalFormatting>
  <conditionalFormatting sqref="AK260">
    <cfRule dxfId="1" operator="lessThan" priority="157" type="cellIs">
      <formula>0</formula>
    </cfRule>
    <cfRule dxfId="0" operator="greaterThanOrEqual" priority="158" type="cellIs">
      <formula>0</formula>
    </cfRule>
  </conditionalFormatting>
  <conditionalFormatting sqref="AE260">
    <cfRule dxfId="1" operator="lessThan" priority="147" type="cellIs">
      <formula>0</formula>
    </cfRule>
    <cfRule dxfId="0" operator="greaterThanOrEqual" priority="148" type="cellIs">
      <formula>0</formula>
    </cfRule>
  </conditionalFormatting>
  <conditionalFormatting sqref="J266 M266">
    <cfRule dxfId="0" operator="lessThanOrEqual" priority="143" type="cellIs">
      <formula>0</formula>
    </cfRule>
    <cfRule dxfId="1" operator="greaterThan" priority="144" type="cellIs">
      <formula>0</formula>
    </cfRule>
  </conditionalFormatting>
  <conditionalFormatting sqref="AN266">
    <cfRule dxfId="1" operator="lessThan" priority="131" type="cellIs">
      <formula>0</formula>
    </cfRule>
    <cfRule dxfId="0" operator="greaterThanOrEqual" priority="132" type="cellIs">
      <formula>0</formula>
    </cfRule>
  </conditionalFormatting>
  <conditionalFormatting sqref="Y266">
    <cfRule dxfId="1" operator="lessThan" priority="135" type="cellIs">
      <formula>0</formula>
    </cfRule>
    <cfRule dxfId="0" operator="greaterThanOrEqual" priority="136" type="cellIs">
      <formula>0</formula>
    </cfRule>
  </conditionalFormatting>
  <conditionalFormatting sqref="AK266">
    <cfRule dxfId="1" operator="lessThan" priority="139" type="cellIs">
      <formula>0</formula>
    </cfRule>
    <cfRule dxfId="0" operator="greaterThanOrEqual" priority="140" type="cellIs">
      <formula>0</formula>
    </cfRule>
  </conditionalFormatting>
  <conditionalFormatting sqref="AE266">
    <cfRule dxfId="1" operator="lessThan" priority="129" type="cellIs">
      <formula>0</formula>
    </cfRule>
    <cfRule dxfId="0" operator="greaterThanOrEqual" priority="130" type="cellIs">
      <formula>0</formula>
    </cfRule>
  </conditionalFormatting>
  <conditionalFormatting sqref="AB266">
    <cfRule dxfId="1" operator="lessThan" priority="127" type="cellIs">
      <formula>0</formula>
    </cfRule>
    <cfRule dxfId="0" operator="greaterThanOrEqual" priority="128" type="cellIs">
      <formula>0</formula>
    </cfRule>
  </conditionalFormatting>
  <conditionalFormatting sqref="G272 P272 S272">
    <cfRule dxfId="1" operator="lessThan" priority="123" type="cellIs">
      <formula>0</formula>
    </cfRule>
    <cfRule dxfId="0" operator="greaterThanOrEqual" priority="124" type="cellIs">
      <formula>0</formula>
    </cfRule>
  </conditionalFormatting>
  <conditionalFormatting sqref="J272 M272">
    <cfRule dxfId="0" operator="lessThanOrEqual" priority="125" type="cellIs">
      <formula>0</formula>
    </cfRule>
    <cfRule dxfId="1" operator="greaterThan" priority="126" type="cellIs">
      <formula>0</formula>
    </cfRule>
  </conditionalFormatting>
  <conditionalFormatting sqref="V272">
    <cfRule dxfId="1" operator="lessThan" priority="115" type="cellIs">
      <formula>0</formula>
    </cfRule>
    <cfRule dxfId="0" operator="greaterThanOrEqual" priority="116" type="cellIs">
      <formula>0</formula>
    </cfRule>
  </conditionalFormatting>
  <conditionalFormatting sqref="AH272">
    <cfRule dxfId="1" operator="lessThan" priority="119" type="cellIs">
      <formula>0</formula>
    </cfRule>
    <cfRule dxfId="0" operator="greaterThanOrEqual" priority="120" type="cellIs">
      <formula>0</formula>
    </cfRule>
  </conditionalFormatting>
  <conditionalFormatting sqref="AE272">
    <cfRule dxfId="1" operator="lessThan" priority="111" type="cellIs">
      <formula>0</formula>
    </cfRule>
    <cfRule dxfId="0" operator="greaterThanOrEqual" priority="112" type="cellIs">
      <formula>0</formula>
    </cfRule>
  </conditionalFormatting>
  <conditionalFormatting sqref="J278 M278">
    <cfRule dxfId="0" operator="lessThanOrEqual" priority="107" type="cellIs">
      <formula>0</formula>
    </cfRule>
    <cfRule dxfId="1" operator="greaterThan" priority="108" type="cellIs">
      <formula>0</formula>
    </cfRule>
  </conditionalFormatting>
  <conditionalFormatting sqref="AN278">
    <cfRule dxfId="1" operator="lessThan" priority="95" type="cellIs">
      <formula>0</formula>
    </cfRule>
    <cfRule dxfId="0" operator="greaterThanOrEqual" priority="96" type="cellIs">
      <formula>0</formula>
    </cfRule>
  </conditionalFormatting>
  <conditionalFormatting sqref="Y278">
    <cfRule dxfId="1" operator="lessThan" priority="99" type="cellIs">
      <formula>0</formula>
    </cfRule>
    <cfRule dxfId="0" operator="greaterThanOrEqual" priority="100" type="cellIs">
      <formula>0</formula>
    </cfRule>
  </conditionalFormatting>
  <conditionalFormatting sqref="AH278">
    <cfRule dxfId="1" operator="lessThan" priority="101" type="cellIs">
      <formula>0</formula>
    </cfRule>
    <cfRule dxfId="0" operator="greaterThanOrEqual" priority="102" type="cellIs">
      <formula>0</formula>
    </cfRule>
  </conditionalFormatting>
  <conditionalFormatting sqref="AK278">
    <cfRule dxfId="1" operator="lessThan" priority="103" type="cellIs">
      <formula>0</formula>
    </cfRule>
    <cfRule dxfId="0" operator="greaterThanOrEqual" priority="104" type="cellIs">
      <formula>0</formula>
    </cfRule>
  </conditionalFormatting>
  <conditionalFormatting sqref="AB278">
    <cfRule dxfId="1" operator="lessThan" priority="91" type="cellIs">
      <formula>0</formula>
    </cfRule>
    <cfRule dxfId="0" operator="greaterThanOrEqual" priority="92" type="cellIs">
      <formula>0</formula>
    </cfRule>
  </conditionalFormatting>
  <conditionalFormatting sqref="G287 P287 S287">
    <cfRule dxfId="1" operator="lessThan" priority="87" type="cellIs">
      <formula>0</formula>
    </cfRule>
    <cfRule dxfId="0" operator="greaterThanOrEqual" priority="88" type="cellIs">
      <formula>0</formula>
    </cfRule>
  </conditionalFormatting>
  <conditionalFormatting sqref="J287 M287">
    <cfRule dxfId="0" operator="lessThanOrEqual" priority="89" type="cellIs">
      <formula>0</formula>
    </cfRule>
    <cfRule dxfId="1" operator="greaterThan" priority="90" type="cellIs">
      <formula>0</formula>
    </cfRule>
  </conditionalFormatting>
  <conditionalFormatting sqref="V287">
    <cfRule dxfId="1" operator="lessThan" priority="79" type="cellIs">
      <formula>0</formula>
    </cfRule>
    <cfRule dxfId="0" operator="greaterThanOrEqual" priority="80" type="cellIs">
      <formula>0</formula>
    </cfRule>
  </conditionalFormatting>
  <conditionalFormatting sqref="AH287">
    <cfRule dxfId="1" operator="lessThan" priority="83" type="cellIs">
      <formula>0</formula>
    </cfRule>
    <cfRule dxfId="0" operator="greaterThanOrEqual" priority="84" type="cellIs">
      <formula>0</formula>
    </cfRule>
  </conditionalFormatting>
  <conditionalFormatting sqref="AE287">
    <cfRule dxfId="1" operator="lessThan" priority="75" type="cellIs">
      <formula>0</formula>
    </cfRule>
    <cfRule dxfId="0" operator="greaterThanOrEqual" priority="76" type="cellIs">
      <formula>0</formula>
    </cfRule>
  </conditionalFormatting>
  <conditionalFormatting sqref="AB287">
    <cfRule dxfId="1" operator="lessThan" priority="73" type="cellIs">
      <formula>0</formula>
    </cfRule>
    <cfRule dxfId="0" operator="greaterThanOrEqual" priority="74" type="cellIs">
      <formula>0</formula>
    </cfRule>
  </conditionalFormatting>
  <conditionalFormatting sqref="J299 M299">
    <cfRule dxfId="0" operator="lessThanOrEqual" priority="71" type="cellIs">
      <formula>0</formula>
    </cfRule>
    <cfRule dxfId="1" operator="greaterThan" priority="72" type="cellIs">
      <formula>0</formula>
    </cfRule>
  </conditionalFormatting>
  <conditionalFormatting sqref="AN299">
    <cfRule dxfId="1" operator="lessThan" priority="59" type="cellIs">
      <formula>0</formula>
    </cfRule>
    <cfRule dxfId="0" operator="greaterThanOrEqual" priority="60" type="cellIs">
      <formula>0</formula>
    </cfRule>
  </conditionalFormatting>
  <conditionalFormatting sqref="Y299">
    <cfRule dxfId="1" operator="lessThan" priority="63" type="cellIs">
      <formula>0</formula>
    </cfRule>
    <cfRule dxfId="0" operator="greaterThanOrEqual" priority="64" type="cellIs">
      <formula>0</formula>
    </cfRule>
  </conditionalFormatting>
  <conditionalFormatting sqref="AK299">
    <cfRule dxfId="1" operator="lessThan" priority="67" type="cellIs">
      <formula>0</formula>
    </cfRule>
    <cfRule dxfId="0" operator="greaterThanOrEqual" priority="68" type="cellIs">
      <formula>0</formula>
    </cfRule>
  </conditionalFormatting>
  <conditionalFormatting sqref="AB299">
    <cfRule dxfId="1" operator="lessThan" priority="55" type="cellIs">
      <formula>0</formula>
    </cfRule>
    <cfRule dxfId="0" operator="greaterThanOrEqual" priority="56" type="cellIs">
      <formula>0</formula>
    </cfRule>
  </conditionalFormatting>
  <conditionalFormatting sqref="G305 P305 S305">
    <cfRule dxfId="1" operator="lessThan" priority="51" type="cellIs">
      <formula>0</formula>
    </cfRule>
    <cfRule dxfId="0" operator="greaterThanOrEqual" priority="52" type="cellIs">
      <formula>0</formula>
    </cfRule>
  </conditionalFormatting>
  <conditionalFormatting sqref="J305 M305">
    <cfRule dxfId="0" operator="lessThanOrEqual" priority="53" type="cellIs">
      <formula>0</formula>
    </cfRule>
    <cfRule dxfId="1" operator="greaterThan" priority="54" type="cellIs">
      <formula>0</formula>
    </cfRule>
  </conditionalFormatting>
  <conditionalFormatting sqref="V305">
    <cfRule dxfId="1" operator="lessThan" priority="43" type="cellIs">
      <formula>0</formula>
    </cfRule>
    <cfRule dxfId="0" operator="greaterThanOrEqual" priority="44" type="cellIs">
      <formula>0</formula>
    </cfRule>
  </conditionalFormatting>
  <conditionalFormatting sqref="Y305">
    <cfRule dxfId="1" operator="lessThan" priority="45" type="cellIs">
      <formula>0</formula>
    </cfRule>
    <cfRule dxfId="0" operator="greaterThanOrEqual" priority="46" type="cellIs">
      <formula>0</formula>
    </cfRule>
  </conditionalFormatting>
  <conditionalFormatting sqref="AH305">
    <cfRule dxfId="1" operator="lessThan" priority="47" type="cellIs">
      <formula>0</formula>
    </cfRule>
    <cfRule dxfId="0" operator="greaterThanOrEqual" priority="48" type="cellIs">
      <formula>0</formula>
    </cfRule>
  </conditionalFormatting>
  <conditionalFormatting sqref="AE305">
    <cfRule dxfId="1" operator="lessThan" priority="39" type="cellIs">
      <formula>0</formula>
    </cfRule>
    <cfRule dxfId="0" operator="greaterThanOrEqual" priority="40" type="cellIs">
      <formula>0</formula>
    </cfRule>
  </conditionalFormatting>
  <conditionalFormatting sqref="J311 M311">
    <cfRule dxfId="0" operator="lessThanOrEqual" priority="35" type="cellIs">
      <formula>0</formula>
    </cfRule>
    <cfRule dxfId="1" operator="greaterThan" priority="36" type="cellIs">
      <formula>0</formula>
    </cfRule>
  </conditionalFormatting>
  <conditionalFormatting sqref="AN311">
    <cfRule dxfId="1" operator="lessThan" priority="23" type="cellIs">
      <formula>0</formula>
    </cfRule>
    <cfRule dxfId="0" operator="greaterThanOrEqual" priority="24" type="cellIs">
      <formula>0</formula>
    </cfRule>
  </conditionalFormatting>
  <conditionalFormatting sqref="Y311">
    <cfRule dxfId="1" operator="lessThan" priority="27" type="cellIs">
      <formula>0</formula>
    </cfRule>
    <cfRule dxfId="0" operator="greaterThanOrEqual" priority="28" type="cellIs">
      <formula>0</formula>
    </cfRule>
  </conditionalFormatting>
  <conditionalFormatting sqref="AK311">
    <cfRule dxfId="1" operator="lessThan" priority="31" type="cellIs">
      <formula>0</formula>
    </cfRule>
    <cfRule dxfId="0" operator="greaterThanOrEqual" priority="32" type="cellIs">
      <formula>0</formula>
    </cfRule>
  </conditionalFormatting>
  <conditionalFormatting sqref="AB311">
    <cfRule dxfId="1" operator="lessThan" priority="19" type="cellIs">
      <formula>0</formula>
    </cfRule>
    <cfRule dxfId="0" operator="greaterThanOrEqual" priority="20" type="cellIs">
      <formula>0</formula>
    </cfRule>
  </conditionalFormatting>
  <conditionalFormatting sqref="G317 P317 S317">
    <cfRule dxfId="1" operator="lessThan" priority="15" type="cellIs">
      <formula>0</formula>
    </cfRule>
    <cfRule dxfId="0" operator="greaterThanOrEqual" priority="16" type="cellIs">
      <formula>0</formula>
    </cfRule>
  </conditionalFormatting>
  <conditionalFormatting sqref="J317 M317">
    <cfRule dxfId="0" operator="lessThanOrEqual" priority="17" type="cellIs">
      <formula>0</formula>
    </cfRule>
    <cfRule dxfId="1" operator="greaterThan" priority="18" type="cellIs">
      <formula>0</formula>
    </cfRule>
  </conditionalFormatting>
  <conditionalFormatting sqref="V317">
    <cfRule dxfId="1" operator="lessThan" priority="7" type="cellIs">
      <formula>0</formula>
    </cfRule>
    <cfRule dxfId="0" operator="greaterThanOrEqual" priority="8" type="cellIs">
      <formula>0</formula>
    </cfRule>
  </conditionalFormatting>
  <conditionalFormatting sqref="AH317">
    <cfRule dxfId="1" operator="lessThan" priority="11" type="cellIs">
      <formula>0</formula>
    </cfRule>
    <cfRule dxfId="0" operator="greaterThanOrEqual" priority="12" type="cellIs">
      <formula>0</formula>
    </cfRule>
  </conditionalFormatting>
  <conditionalFormatting sqref="AE317">
    <cfRule dxfId="1" operator="lessThan" priority="3" type="cellIs">
      <formula>0</formula>
    </cfRule>
    <cfRule dxfId="0" operator="greaterThanOrEqual" priority="4" type="cellIs">
      <formula>0</formula>
    </cfRule>
  </conditionalFormatting>
  <pageMargins bottom="1" footer="0.5" header="0.5" left="0.75" right="0.75" top="1"/>
  <pageSetup horizontalDpi="4294967292" orientation="portrait" verticalDpi="4294967292"/>
</worksheet>
</file>

<file path=xl/worksheets/sheet9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BE1000"/>
  <sheetViews>
    <sheetView workbookViewId="0">
      <pane activePane="bottomLeft" state="frozen" topLeftCell="A36" ySplit="1"/>
      <selection activeCell="K64" pane="bottomLeft" sqref="K64"/>
    </sheetView>
  </sheetViews>
  <sheetFormatPr baseColWidth="8" customHeight="1" defaultColWidth="13.5" defaultRowHeight="15" outlineLevelCol="1"/>
  <cols>
    <col bestFit="1" customWidth="1" max="1" min="1" style="452" width="12"/>
    <col bestFit="1" customWidth="1" max="2" min="2" style="452" width="9.375"/>
    <col bestFit="1" customWidth="1" max="3" min="3" style="452" width="13.5"/>
    <col customWidth="1" max="4" min="4" style="452" width="11"/>
    <col customWidth="1" hidden="1" max="5" min="5" outlineLevel="1" style="452" width="11"/>
    <col customWidth="1" hidden="1" max="6" min="6" outlineLevel="1" style="452" width="6.125"/>
    <col bestFit="1" collapsed="1" customWidth="1" max="7" min="7" style="452" width="8.75"/>
    <col customWidth="1" max="8" min="8" style="452" width="10.875"/>
    <col customWidth="1" hidden="1" max="9" min="9" outlineLevel="1" style="452" width="10.875"/>
    <col customWidth="1" hidden="1" max="10" min="10" outlineLevel="1" style="404" width="6.125"/>
    <col bestFit="1" collapsed="1" customWidth="1" max="11" min="11" style="452" width="8.75"/>
    <col customWidth="1" max="12" min="12" style="452" width="10.875"/>
    <col customWidth="1" hidden="1" max="13" min="13" outlineLevel="1" style="452" width="10.875"/>
    <col customWidth="1" hidden="1" max="14" min="14" outlineLevel="1" style="404" width="6.125"/>
    <col bestFit="1" collapsed="1" customWidth="1" max="15" min="15" style="452" width="8.75"/>
    <col customWidth="1" max="16" min="16" style="452" width="8.625"/>
    <col customWidth="1" hidden="1" max="17" min="17" outlineLevel="1" style="452" width="8.625"/>
    <col collapsed="1" customWidth="1" hidden="1" max="18" min="18" outlineLevel="1" style="404" width="6.125"/>
    <col collapsed="1" customWidth="1" max="19" min="19" style="452" width="8.375"/>
    <col customWidth="1" max="20" min="20" style="452" width="8.625"/>
    <col customWidth="1" hidden="1" max="21" min="21" outlineLevel="1" style="452" width="8.625"/>
    <col collapsed="1" customWidth="1" hidden="1" max="22" min="22" outlineLevel="1" style="404" width="6.125"/>
    <col collapsed="1" customWidth="1" max="23" min="23" style="452" width="8.375"/>
    <col customWidth="1" max="24" min="24" style="452" width="8.5"/>
    <col customWidth="1" hidden="1" max="25" min="25" outlineLevel="1" style="452" width="8.5"/>
    <col collapsed="1" customWidth="1" hidden="1" max="26" min="26" outlineLevel="1" style="404" width="6.125"/>
    <col collapsed="1" customWidth="1" max="27" min="27" style="452" width="8.375"/>
    <col customWidth="1" max="28" min="28" style="452" width="9.5"/>
    <col customWidth="1" max="29" min="29" outlineLevel="1" style="452" width="9.5"/>
    <col collapsed="1" customWidth="1" max="30" min="30" outlineLevel="1" style="452" width="6.125"/>
    <col customWidth="1" max="32" min="31" style="452" width="8.375"/>
    <col customWidth="1" hidden="1" max="34" min="33" style="452" width="8.375"/>
    <col customWidth="1" max="35" min="35" style="452" width="8.375"/>
    <col customWidth="1" max="36" min="36" style="452" width="9.625"/>
    <col customWidth="1" max="37" min="37" outlineLevel="1" style="452" width="8.375"/>
    <col customWidth="1" max="38" min="38" outlineLevel="1" style="452" width="6.125"/>
    <col customWidth="1" max="39" min="39" style="452" width="8.375"/>
    <col customWidth="1" max="40" min="40" style="452" width="9.125"/>
    <col customWidth="1" hidden="1" max="41" min="41" outlineLevel="1" style="452" width="10.875"/>
    <col customWidth="1" hidden="1" max="42" min="42" outlineLevel="1" style="452" width="6.125"/>
    <col collapsed="1" customWidth="1" max="43" min="43" style="452" width="8.375"/>
    <col customWidth="1" max="44" min="44" style="452" width="13.875"/>
    <col customWidth="1" hidden="1" max="45" min="45" outlineLevel="1" style="452" width="12.875"/>
    <col customWidth="1" hidden="1" max="46" min="46" outlineLevel="1" style="452" width="6.125"/>
    <col collapsed="1" customWidth="1" max="47" min="47" style="452" width="8.375"/>
    <col customWidth="1" max="48" min="48" style="452" width="9.125"/>
    <col customWidth="1" hidden="1" max="50" min="49" style="452" width="8.375"/>
    <col customWidth="1" max="52" min="51" style="452" width="8.375"/>
    <col customWidth="1" hidden="1" max="53" min="53" outlineLevel="1" style="452" width="8.375"/>
    <col customWidth="1" hidden="1" max="54" min="54" outlineLevel="1" style="452" width="6.125"/>
    <col collapsed="1" customWidth="1" max="55" min="55" style="452" width="8.375"/>
    <col customWidth="1" max="56" min="56" style="452" width="17.875"/>
  </cols>
  <sheetData>
    <row customHeight="1" ht="15.75" r="1" s="452" spans="1:57">
      <c r="A1" s="298" t="s">
        <v>55</v>
      </c>
      <c r="B1" s="298" t="s">
        <v>61</v>
      </c>
      <c r="C1" s="298" t="s">
        <v>62</v>
      </c>
      <c r="D1" s="298" t="s">
        <v>1</v>
      </c>
      <c r="E1" s="298" t="s">
        <v>138</v>
      </c>
      <c r="F1" s="66" t="s">
        <v>64</v>
      </c>
      <c r="G1" s="66" t="s">
        <v>3</v>
      </c>
      <c r="H1" s="298" t="s">
        <v>204</v>
      </c>
      <c r="I1" s="298" t="s">
        <v>205</v>
      </c>
      <c r="J1" s="102" t="s">
        <v>64</v>
      </c>
      <c r="K1" s="66" t="s">
        <v>3</v>
      </c>
      <c r="L1" s="298" t="s">
        <v>206</v>
      </c>
      <c r="M1" s="298" t="s">
        <v>207</v>
      </c>
      <c r="N1" s="102" t="s">
        <v>64</v>
      </c>
      <c r="O1" s="66" t="s">
        <v>3</v>
      </c>
      <c r="P1" s="298" t="s">
        <v>208</v>
      </c>
      <c r="Q1" s="298" t="s">
        <v>209</v>
      </c>
      <c r="R1" s="102" t="s">
        <v>64</v>
      </c>
      <c r="S1" s="66" t="s">
        <v>3</v>
      </c>
      <c r="T1" s="298" t="s">
        <v>210</v>
      </c>
      <c r="U1" s="298" t="s">
        <v>211</v>
      </c>
      <c r="V1" s="102" t="s">
        <v>64</v>
      </c>
      <c r="W1" s="66" t="s">
        <v>3</v>
      </c>
      <c r="X1" s="298" t="s">
        <v>8</v>
      </c>
      <c r="Y1" s="298" t="s">
        <v>9</v>
      </c>
      <c r="Z1" s="102" t="s">
        <v>64</v>
      </c>
      <c r="AA1" s="66" t="s">
        <v>3</v>
      </c>
      <c r="AB1" s="298" t="s">
        <v>10</v>
      </c>
      <c r="AC1" s="298" t="s">
        <v>11</v>
      </c>
      <c r="AD1" s="66" t="s">
        <v>64</v>
      </c>
      <c r="AE1" s="66" t="s">
        <v>3</v>
      </c>
      <c r="AF1" s="66" t="s">
        <v>12</v>
      </c>
      <c r="AG1" s="66" t="s">
        <v>13</v>
      </c>
      <c r="AH1" s="66" t="s">
        <v>64</v>
      </c>
      <c r="AI1" s="66" t="s">
        <v>3</v>
      </c>
      <c r="AJ1" s="298" t="s">
        <v>16</v>
      </c>
      <c r="AK1" s="298" t="s">
        <v>17</v>
      </c>
      <c r="AL1" s="66" t="s">
        <v>64</v>
      </c>
      <c r="AM1" s="66" t="s">
        <v>3</v>
      </c>
      <c r="AN1" s="620" t="s">
        <v>18</v>
      </c>
      <c r="AO1" s="620" t="s">
        <v>19</v>
      </c>
      <c r="AP1" s="66" t="s">
        <v>64</v>
      </c>
      <c r="AQ1" s="66" t="s">
        <v>3</v>
      </c>
      <c r="AR1" s="620" t="s">
        <v>33</v>
      </c>
      <c r="AS1" s="620" t="s">
        <v>34</v>
      </c>
      <c r="AT1" s="66" t="s">
        <v>64</v>
      </c>
      <c r="AU1" s="66" t="s">
        <v>3</v>
      </c>
      <c r="AV1" s="66" t="s">
        <v>212</v>
      </c>
      <c r="AW1" s="66" t="s">
        <v>213</v>
      </c>
      <c r="AX1" s="66" t="s">
        <v>64</v>
      </c>
      <c r="AY1" s="66" t="s">
        <v>3</v>
      </c>
      <c r="AZ1" s="302" t="s">
        <v>22</v>
      </c>
      <c r="BA1" s="302" t="s">
        <v>23</v>
      </c>
      <c r="BB1" s="66" t="s">
        <v>64</v>
      </c>
      <c r="BC1" s="66" t="s">
        <v>3</v>
      </c>
      <c r="BD1" s="298" t="s">
        <v>66</v>
      </c>
    </row>
    <row customHeight="1" ht="15.75" r="2" s="452" spans="1:57">
      <c r="A2" s="49" t="s">
        <v>32</v>
      </c>
      <c r="B2" s="49" t="s">
        <v>67</v>
      </c>
      <c r="C2" s="50" t="n">
        <v>42734</v>
      </c>
      <c r="D2" s="566" t="n"/>
      <c r="E2" s="566" t="n"/>
      <c r="F2" s="566" t="n"/>
      <c r="G2" s="103">
        <f>(D2-E2)/E2</f>
        <v/>
      </c>
      <c r="H2" s="566">
        <f>L2*1.085</f>
        <v/>
      </c>
      <c r="I2" s="566">
        <f>M2*1.085</f>
        <v/>
      </c>
      <c r="J2" s="103" t="n"/>
      <c r="K2" s="103">
        <f>(H2-I2)/I2</f>
        <v/>
      </c>
      <c r="L2" s="566" t="n"/>
      <c r="M2" s="566" t="n"/>
      <c r="N2" s="103" t="n"/>
      <c r="O2" s="103">
        <f>(L2-M2)/M2</f>
        <v/>
      </c>
      <c r="P2" s="567">
        <f>D2/H2</f>
        <v/>
      </c>
      <c r="Q2" s="567">
        <f>E2/I2</f>
        <v/>
      </c>
      <c r="R2" s="103" t="n"/>
      <c r="S2" s="103">
        <f>(P2-Q2)/Q2</f>
        <v/>
      </c>
      <c r="T2" s="567">
        <f>D2/L2</f>
        <v/>
      </c>
      <c r="U2" s="566">
        <f>E2/M2</f>
        <v/>
      </c>
      <c r="V2" s="103" t="n"/>
      <c r="W2" s="103">
        <f>(T2-U2)/U2</f>
        <v/>
      </c>
      <c r="X2" s="568" t="n"/>
      <c r="Y2" s="568" t="n"/>
      <c r="Z2" s="103" t="n"/>
      <c r="AA2" s="103">
        <f>(X2-Y2)/Y2</f>
        <v/>
      </c>
      <c r="AB2" s="568" t="n"/>
      <c r="AC2" s="568" t="n"/>
      <c r="AD2" s="566" t="n"/>
      <c r="AE2" s="103">
        <f>(AB2-AC2)/AC2</f>
        <v/>
      </c>
      <c r="AF2" s="103" t="n"/>
      <c r="AG2" s="103" t="n"/>
      <c r="AH2" s="103" t="n"/>
      <c r="AI2" s="103" t="n"/>
      <c r="AJ2" s="568">
        <f>D2/AB2</f>
        <v/>
      </c>
      <c r="AK2" s="568">
        <f>E2/AC2</f>
        <v/>
      </c>
      <c r="AL2" s="103" t="n"/>
      <c r="AM2" s="103">
        <f>(AJ2-AK2)/AK2</f>
        <v/>
      </c>
      <c r="AN2" s="568" t="n"/>
      <c r="AO2" s="568" t="n"/>
      <c r="AP2" s="566" t="n"/>
      <c r="AQ2" s="103">
        <f>(AN2-AO2)/AO2</f>
        <v/>
      </c>
      <c r="AR2" s="568" t="n"/>
      <c r="AS2" s="568" t="n"/>
      <c r="AT2" s="566" t="n"/>
      <c r="AU2" s="103">
        <f>(AR2-AS2)/AS2</f>
        <v/>
      </c>
      <c r="AV2" s="103" t="n"/>
      <c r="AW2" s="103" t="n"/>
      <c r="AX2" s="103" t="n"/>
      <c r="AY2" s="103" t="n"/>
      <c r="AZ2" s="82">
        <f>AN2/AR2</f>
        <v/>
      </c>
      <c r="BA2" s="82">
        <f>AO2/AS2</f>
        <v/>
      </c>
      <c r="BB2" s="566" t="n"/>
      <c r="BC2" s="103">
        <f>(AZ2-BA2)/BA2</f>
        <v/>
      </c>
    </row>
    <row customHeight="1" ht="15.75" r="3" s="452" spans="1:57">
      <c r="A3" s="49" t="s">
        <v>32</v>
      </c>
      <c r="B3" s="49" t="s">
        <v>68</v>
      </c>
      <c r="C3" s="50">
        <f>C2+7</f>
        <v/>
      </c>
      <c r="D3" s="566" t="n"/>
      <c r="E3" s="566" t="n"/>
      <c r="F3" s="566">
        <f>(D3-D2)/D2</f>
        <v/>
      </c>
      <c r="G3" s="103">
        <f>(D3-E3)/E3</f>
        <v/>
      </c>
      <c r="H3" s="566">
        <f>L3*1.085</f>
        <v/>
      </c>
      <c r="I3" s="566">
        <f>M3*1.085</f>
        <v/>
      </c>
      <c r="J3" s="103">
        <f>(H3-H2)/H2</f>
        <v/>
      </c>
      <c r="K3" s="103">
        <f>(H3-I3)/I3</f>
        <v/>
      </c>
      <c r="L3" s="566" t="n"/>
      <c r="M3" s="566" t="n"/>
      <c r="N3" s="103">
        <f>(L3-L2)/L2</f>
        <v/>
      </c>
      <c r="O3" s="103">
        <f>(L3-M3)/M3</f>
        <v/>
      </c>
      <c r="P3" s="567">
        <f>D3/H3</f>
        <v/>
      </c>
      <c r="Q3" s="567">
        <f>E3/I3</f>
        <v/>
      </c>
      <c r="R3" s="103">
        <f>(P3-P2)/P2</f>
        <v/>
      </c>
      <c r="S3" s="103">
        <f>(P3-Q3)/Q3</f>
        <v/>
      </c>
      <c r="T3" s="567">
        <f>D3/L3</f>
        <v/>
      </c>
      <c r="U3" s="566">
        <f>E3/M3</f>
        <v/>
      </c>
      <c r="V3" s="103">
        <f>(T3-T2)/T2</f>
        <v/>
      </c>
      <c r="W3" s="103">
        <f>(T3-U3)/U3</f>
        <v/>
      </c>
      <c r="X3" s="568" t="n"/>
      <c r="Y3" s="568" t="n"/>
      <c r="Z3" s="103">
        <f>(X3-X2)/X2</f>
        <v/>
      </c>
      <c r="AA3" s="103">
        <f>(X3-Y3)/Y3</f>
        <v/>
      </c>
      <c r="AB3" s="568" t="n"/>
      <c r="AC3" s="568" t="n"/>
      <c r="AD3" s="568">
        <f>(AB3-AB2)/AB2</f>
        <v/>
      </c>
      <c r="AE3" s="103">
        <f>(AB3-AC3)/AC3</f>
        <v/>
      </c>
      <c r="AF3" s="103" t="n"/>
      <c r="AG3" s="103" t="n"/>
      <c r="AH3" s="103" t="n"/>
      <c r="AI3" s="103" t="n"/>
      <c r="AJ3" s="566">
        <f>D3/AB3</f>
        <v/>
      </c>
      <c r="AK3" s="568">
        <f>E3/AC3</f>
        <v/>
      </c>
      <c r="AL3" s="103">
        <f>(AJ3-AJ2)/AJ2</f>
        <v/>
      </c>
      <c r="AM3" s="103">
        <f>(AJ3-AK3)/AK3</f>
        <v/>
      </c>
      <c r="AN3" s="568" t="n"/>
      <c r="AO3" s="568" t="n"/>
      <c r="AP3" s="568">
        <f>(AN3-AN2)/AN2</f>
        <v/>
      </c>
      <c r="AQ3" s="103">
        <f>(AN3-AO3)/AO3</f>
        <v/>
      </c>
      <c r="AR3" s="568" t="n"/>
      <c r="AS3" s="568" t="n"/>
      <c r="AT3" s="568">
        <f>(AR3-AR2)/AR2</f>
        <v/>
      </c>
      <c r="AU3" s="103">
        <f>(AR3-AS3)/AS3</f>
        <v/>
      </c>
      <c r="AV3" s="103" t="n"/>
      <c r="AW3" s="103" t="n"/>
      <c r="AX3" s="103" t="n"/>
      <c r="AY3" s="103" t="n"/>
      <c r="AZ3" s="82">
        <f>AN3/AR3</f>
        <v/>
      </c>
      <c r="BA3" s="82">
        <f>AO3/AS3</f>
        <v/>
      </c>
      <c r="BB3" s="568">
        <f>(AZ3-AZ2)/AZ2</f>
        <v/>
      </c>
      <c r="BC3" s="103">
        <f>(AZ3-BA3)/BA3</f>
        <v/>
      </c>
    </row>
    <row customHeight="1" ht="15.75" r="4" s="452" spans="1:57">
      <c r="A4" s="49" t="s">
        <v>32</v>
      </c>
      <c r="B4" s="49" t="s">
        <v>69</v>
      </c>
      <c r="C4" s="50">
        <f>C3+7</f>
        <v/>
      </c>
      <c r="D4" s="566" t="n"/>
      <c r="E4" s="566" t="n"/>
      <c r="F4" s="566">
        <f>(D4-D3)/D3</f>
        <v/>
      </c>
      <c r="G4" s="103">
        <f>(D4-E4)/E4</f>
        <v/>
      </c>
      <c r="H4" s="566">
        <f>L4*1.085</f>
        <v/>
      </c>
      <c r="I4" s="566">
        <f>M4*1.085</f>
        <v/>
      </c>
      <c r="J4" s="103">
        <f>(H4-H3)/H3</f>
        <v/>
      </c>
      <c r="K4" s="103">
        <f>(H4-I4)/I4</f>
        <v/>
      </c>
      <c r="L4" s="566" t="n"/>
      <c r="M4" s="566" t="n"/>
      <c r="N4" s="103">
        <f>(L4-L3)/L3</f>
        <v/>
      </c>
      <c r="O4" s="103">
        <f>(L4-M4)/M4</f>
        <v/>
      </c>
      <c r="P4" s="567">
        <f>D4/H4</f>
        <v/>
      </c>
      <c r="Q4" s="567">
        <f>E4/I4</f>
        <v/>
      </c>
      <c r="R4" s="103">
        <f>(P4-P3)/P3</f>
        <v/>
      </c>
      <c r="S4" s="103">
        <f>(P4-Q4)/Q4</f>
        <v/>
      </c>
      <c r="T4" s="567">
        <f>D4/L4</f>
        <v/>
      </c>
      <c r="U4" s="566">
        <f>E4/M4</f>
        <v/>
      </c>
      <c r="V4" s="103">
        <f>(T4-T3)/T3</f>
        <v/>
      </c>
      <c r="W4" s="103">
        <f>(T4-U4)/U4</f>
        <v/>
      </c>
      <c r="X4" s="568" t="n"/>
      <c r="Y4" s="568" t="n"/>
      <c r="Z4" s="103">
        <f>(X4-X3)/X3</f>
        <v/>
      </c>
      <c r="AA4" s="103">
        <f>(X4-Y4)/Y4</f>
        <v/>
      </c>
      <c r="AB4" s="568" t="n"/>
      <c r="AC4" s="568" t="n"/>
      <c r="AD4" s="568">
        <f>(AB4-AB3)/AB3</f>
        <v/>
      </c>
      <c r="AE4" s="103">
        <f>(AB4-AC4)/AC4</f>
        <v/>
      </c>
      <c r="AF4" s="103" t="n"/>
      <c r="AG4" s="103" t="n"/>
      <c r="AH4" s="103" t="n"/>
      <c r="AI4" s="103" t="n"/>
      <c r="AJ4" s="566">
        <f>D4/AB4</f>
        <v/>
      </c>
      <c r="AK4" s="568">
        <f>E4/AC4</f>
        <v/>
      </c>
      <c r="AL4" s="103">
        <f>(AJ4-AJ3)/AJ3</f>
        <v/>
      </c>
      <c r="AM4" s="103">
        <f>(AJ4-AK4)/AK4</f>
        <v/>
      </c>
      <c r="AN4" s="568" t="n"/>
      <c r="AO4" s="568" t="n"/>
      <c r="AP4" s="568">
        <f>(AN4-AN3)/AN3</f>
        <v/>
      </c>
      <c r="AQ4" s="103">
        <f>(AN4-AO4)/AO4</f>
        <v/>
      </c>
      <c r="AR4" s="568" t="n"/>
      <c r="AS4" s="568" t="n"/>
      <c r="AT4" s="568">
        <f>(AR4-AR3)/AR3</f>
        <v/>
      </c>
      <c r="AU4" s="103">
        <f>(AR4-AS4)/AS4</f>
        <v/>
      </c>
      <c r="AV4" s="103" t="n"/>
      <c r="AW4" s="103" t="n"/>
      <c r="AX4" s="103" t="n"/>
      <c r="AY4" s="103" t="n"/>
      <c r="AZ4" s="82">
        <f>AN4/AR4</f>
        <v/>
      </c>
      <c r="BA4" s="82">
        <f>AO4/AS4</f>
        <v/>
      </c>
      <c r="BB4" s="568">
        <f>(AZ4-AZ3)/AZ3</f>
        <v/>
      </c>
      <c r="BC4" s="103">
        <f>(AZ4-BA4)/BA4</f>
        <v/>
      </c>
    </row>
    <row customFormat="1" customHeight="1" ht="15.75" r="5" s="357" spans="1:57">
      <c r="A5" s="69" t="s">
        <v>32</v>
      </c>
      <c r="B5" s="69" t="s">
        <v>71</v>
      </c>
      <c r="C5" s="70">
        <f>C4+7</f>
        <v/>
      </c>
      <c r="D5" s="571" t="n"/>
      <c r="E5" s="571" t="n"/>
      <c r="F5" s="571">
        <f>(D5-D4)/D4</f>
        <v/>
      </c>
      <c r="G5" s="104">
        <f>(D5-E5)/E5</f>
        <v/>
      </c>
      <c r="H5" s="571">
        <f>L5*1.085</f>
        <v/>
      </c>
      <c r="I5" s="571">
        <f>M5*1.085</f>
        <v/>
      </c>
      <c r="J5" s="104">
        <f>(H5-H4)/H4</f>
        <v/>
      </c>
      <c r="K5" s="104">
        <f>(H5-I5)/I5</f>
        <v/>
      </c>
      <c r="L5" s="571" t="n"/>
      <c r="M5" s="571" t="n"/>
      <c r="N5" s="104">
        <f>(L5-L4)/L4</f>
        <v/>
      </c>
      <c r="O5" s="104">
        <f>(L5-M5)/M5</f>
        <v/>
      </c>
      <c r="P5" s="572">
        <f>D5/H5</f>
        <v/>
      </c>
      <c r="Q5" s="572">
        <f>E5/I5</f>
        <v/>
      </c>
      <c r="R5" s="104">
        <f>(P5-P4)/P4</f>
        <v/>
      </c>
      <c r="S5" s="104">
        <f>(P5-Q5)/Q5</f>
        <v/>
      </c>
      <c r="T5" s="572">
        <f>D5/L5</f>
        <v/>
      </c>
      <c r="U5" s="571">
        <f>E5/M5</f>
        <v/>
      </c>
      <c r="V5" s="104">
        <f>(T5-T4)/T4</f>
        <v/>
      </c>
      <c r="W5" s="104">
        <f>(T5-U5)/U5</f>
        <v/>
      </c>
      <c r="X5" s="573" t="n"/>
      <c r="Y5" s="573" t="n"/>
      <c r="Z5" s="104">
        <f>(X5-X4)/X4</f>
        <v/>
      </c>
      <c r="AA5" s="104">
        <f>(X5-Y5)/Y5</f>
        <v/>
      </c>
      <c r="AB5" s="573" t="n"/>
      <c r="AC5" s="573" t="n"/>
      <c r="AD5" s="573">
        <f>(AB5-AB4)/AB4</f>
        <v/>
      </c>
      <c r="AE5" s="104">
        <f>(AB5-AC5)/AC5</f>
        <v/>
      </c>
      <c r="AF5" s="104" t="n"/>
      <c r="AG5" s="104" t="n"/>
      <c r="AH5" s="104" t="n"/>
      <c r="AI5" s="104" t="n"/>
      <c r="AJ5" s="571">
        <f>D5/AB5</f>
        <v/>
      </c>
      <c r="AK5" s="573">
        <f>E5/AC5</f>
        <v/>
      </c>
      <c r="AL5" s="104">
        <f>(AJ5-AJ4)/AJ4</f>
        <v/>
      </c>
      <c r="AM5" s="104">
        <f>(AJ5-AK5)/AK5</f>
        <v/>
      </c>
      <c r="AN5" s="573" t="n"/>
      <c r="AO5" s="573" t="n"/>
      <c r="AP5" s="573">
        <f>(AN5-AN4)/AN4</f>
        <v/>
      </c>
      <c r="AQ5" s="104">
        <f>(AN5-AO5)/AO5</f>
        <v/>
      </c>
      <c r="AR5" s="573" t="n"/>
      <c r="AS5" s="573" t="n"/>
      <c r="AT5" s="573">
        <f>(AR5-AR4)/AR4</f>
        <v/>
      </c>
      <c r="AU5" s="104">
        <f>(AR5-AS5)/AS5</f>
        <v/>
      </c>
      <c r="AV5" s="104" t="n"/>
      <c r="AW5" s="104" t="n"/>
      <c r="AX5" s="104" t="n"/>
      <c r="AY5" s="104" t="n"/>
      <c r="AZ5" s="83">
        <f>AN5/AR5</f>
        <v/>
      </c>
      <c r="BA5" s="83">
        <f>AO5/AS5</f>
        <v/>
      </c>
      <c r="BB5" s="573">
        <f>(AZ5-AZ4)/AZ4</f>
        <v/>
      </c>
      <c r="BC5" s="104">
        <f>(AZ5-BA5)/BA5</f>
        <v/>
      </c>
    </row>
    <row customHeight="1" ht="15.75" r="6" s="452" spans="1:57">
      <c r="A6" s="49" t="s">
        <v>41</v>
      </c>
      <c r="B6" s="49" t="s">
        <v>73</v>
      </c>
      <c r="C6" s="50">
        <f>C5+7</f>
        <v/>
      </c>
      <c r="D6" s="566" t="n"/>
      <c r="E6" s="566" t="n"/>
      <c r="F6" s="566">
        <f>(D6-D5)/D5</f>
        <v/>
      </c>
      <c r="G6" s="103">
        <f>(D6-E6)/E6</f>
        <v/>
      </c>
      <c r="H6" s="566">
        <f>L6*1.085</f>
        <v/>
      </c>
      <c r="I6" s="566">
        <f>M6*1.085</f>
        <v/>
      </c>
      <c r="J6" s="103">
        <f>(H6-H5)/H5</f>
        <v/>
      </c>
      <c r="K6" s="103">
        <f>(H6-I6)/I6</f>
        <v/>
      </c>
      <c r="L6" s="566" t="n"/>
      <c r="M6" s="566" t="n"/>
      <c r="N6" s="103">
        <f>(L6-L5)/L5</f>
        <v/>
      </c>
      <c r="O6" s="103">
        <f>(L6-M6)/M6</f>
        <v/>
      </c>
      <c r="P6" s="567">
        <f>D6/H6</f>
        <v/>
      </c>
      <c r="Q6" s="567">
        <f>E6/I6</f>
        <v/>
      </c>
      <c r="R6" s="103">
        <f>(P6-P5)/P5</f>
        <v/>
      </c>
      <c r="S6" s="103">
        <f>(P6-Q6)/Q6</f>
        <v/>
      </c>
      <c r="T6" s="567">
        <f>D6/L6</f>
        <v/>
      </c>
      <c r="U6" s="566">
        <f>E6/M6</f>
        <v/>
      </c>
      <c r="V6" s="103">
        <f>(T6-T5)/T5</f>
        <v/>
      </c>
      <c r="W6" s="103">
        <f>(T6-U6)/U6</f>
        <v/>
      </c>
      <c r="X6" s="568" t="n"/>
      <c r="Y6" s="568" t="n"/>
      <c r="Z6" s="103">
        <f>(X6-X5)/X5</f>
        <v/>
      </c>
      <c r="AA6" s="103">
        <f>(X6-Y6)/Y6</f>
        <v/>
      </c>
      <c r="AB6" s="568" t="n"/>
      <c r="AC6" s="568" t="n"/>
      <c r="AD6" s="568">
        <f>(AB6-AB5)/AB5</f>
        <v/>
      </c>
      <c r="AE6" s="103">
        <f>(AB6-AC6)/AC6</f>
        <v/>
      </c>
      <c r="AF6" s="103" t="n"/>
      <c r="AG6" s="103" t="n"/>
      <c r="AH6" s="103" t="n"/>
      <c r="AI6" s="103" t="n"/>
      <c r="AJ6" s="566">
        <f>D6/AB6</f>
        <v/>
      </c>
      <c r="AK6" s="568">
        <f>E6/AC6</f>
        <v/>
      </c>
      <c r="AL6" s="103">
        <f>(AJ6-AJ5)/AJ5</f>
        <v/>
      </c>
      <c r="AM6" s="103">
        <f>(AJ6-AK6)/AK6</f>
        <v/>
      </c>
      <c r="AN6" s="568" t="n"/>
      <c r="AO6" s="568" t="n"/>
      <c r="AP6" s="568">
        <f>(AN6-AN5)/AN5</f>
        <v/>
      </c>
      <c r="AQ6" s="103">
        <f>(AN6-AO6)/AO6</f>
        <v/>
      </c>
      <c r="AR6" s="568" t="n"/>
      <c r="AS6" s="568" t="n"/>
      <c r="AT6" s="568">
        <f>(AR6-AR5)/AR5</f>
        <v/>
      </c>
      <c r="AU6" s="103">
        <f>(AR6-AS6)/AS6</f>
        <v/>
      </c>
      <c r="AV6" s="103" t="n"/>
      <c r="AW6" s="103" t="n"/>
      <c r="AX6" s="103" t="n"/>
      <c r="AY6" s="103" t="n"/>
      <c r="AZ6" s="82">
        <f>AN6/AR6</f>
        <v/>
      </c>
      <c r="BA6" s="82">
        <f>AO6/AS6</f>
        <v/>
      </c>
      <c r="BB6" s="568">
        <f>(AZ6-AZ5)/AZ5</f>
        <v/>
      </c>
      <c r="BC6" s="103">
        <f>(AZ6-BA6)/BA6</f>
        <v/>
      </c>
    </row>
    <row customHeight="1" ht="15.75" r="7" s="452" spans="1:57">
      <c r="A7" s="49" t="s">
        <v>41</v>
      </c>
      <c r="B7" s="49" t="s">
        <v>75</v>
      </c>
      <c r="C7" s="50">
        <f>C6+7</f>
        <v/>
      </c>
      <c r="D7" s="566" t="n"/>
      <c r="E7" s="566" t="n"/>
      <c r="F7" s="566">
        <f>(D7-D6)/D6</f>
        <v/>
      </c>
      <c r="G7" s="103">
        <f>(D7-E7)/E7</f>
        <v/>
      </c>
      <c r="H7" s="566">
        <f>L7*1.085</f>
        <v/>
      </c>
      <c r="I7" s="566">
        <f>M7*1.085</f>
        <v/>
      </c>
      <c r="J7" s="103">
        <f>(H7-H6)/H6</f>
        <v/>
      </c>
      <c r="K7" s="103">
        <f>(H7-I7)/I7</f>
        <v/>
      </c>
      <c r="L7" s="566" t="n"/>
      <c r="M7" s="566" t="n"/>
      <c r="N7" s="103">
        <f>(L7-L6)/L6</f>
        <v/>
      </c>
      <c r="O7" s="103">
        <f>(L7-M7)/M7</f>
        <v/>
      </c>
      <c r="P7" s="567">
        <f>D7/H7</f>
        <v/>
      </c>
      <c r="Q7" s="567">
        <f>E7/I7</f>
        <v/>
      </c>
      <c r="R7" s="103">
        <f>(P7-P6)/P6</f>
        <v/>
      </c>
      <c r="S7" s="103">
        <f>(P7-Q7)/Q7</f>
        <v/>
      </c>
      <c r="T7" s="567">
        <f>D7/L7</f>
        <v/>
      </c>
      <c r="U7" s="566">
        <f>E7/M7</f>
        <v/>
      </c>
      <c r="V7" s="103">
        <f>(T7-T6)/T6</f>
        <v/>
      </c>
      <c r="W7" s="103">
        <f>(T7-U7)/U7</f>
        <v/>
      </c>
      <c r="X7" s="568" t="n"/>
      <c r="Y7" s="568" t="n"/>
      <c r="Z7" s="103">
        <f>(X7-X6)/X6</f>
        <v/>
      </c>
      <c r="AA7" s="103">
        <f>(X7-Y7)/Y7</f>
        <v/>
      </c>
      <c r="AB7" s="568" t="n"/>
      <c r="AC7" s="568" t="n"/>
      <c r="AD7" s="568">
        <f>(AB7-AB6)/AB6</f>
        <v/>
      </c>
      <c r="AE7" s="103">
        <f>(AB7-AC7)/AC7</f>
        <v/>
      </c>
      <c r="AF7" s="103" t="n"/>
      <c r="AG7" s="103" t="n"/>
      <c r="AH7" s="103" t="n"/>
      <c r="AI7" s="103" t="n"/>
      <c r="AJ7" s="566">
        <f>D7/AB7</f>
        <v/>
      </c>
      <c r="AK7" s="568">
        <f>E7/AC7</f>
        <v/>
      </c>
      <c r="AL7" s="103">
        <f>(AJ7-AJ6)/AJ6</f>
        <v/>
      </c>
      <c r="AM7" s="103">
        <f>(AJ7-AK7)/AK7</f>
        <v/>
      </c>
      <c r="AN7" s="568" t="n"/>
      <c r="AO7" s="568" t="n"/>
      <c r="AP7" s="568">
        <f>(AN7-AN6)/AN6</f>
        <v/>
      </c>
      <c r="AQ7" s="103">
        <f>(AN7-AO7)/AO7</f>
        <v/>
      </c>
      <c r="AR7" s="568" t="n"/>
      <c r="AS7" s="568" t="n"/>
      <c r="AT7" s="568">
        <f>(AR7-AR6)/AR6</f>
        <v/>
      </c>
      <c r="AU7" s="103">
        <f>(AR7-AS7)/AS7</f>
        <v/>
      </c>
      <c r="AV7" s="103" t="n"/>
      <c r="AW7" s="103" t="n"/>
      <c r="AX7" s="103" t="n"/>
      <c r="AY7" s="103" t="n"/>
      <c r="AZ7" s="82">
        <f>AN7/AR7</f>
        <v/>
      </c>
      <c r="BA7" s="82">
        <f>AO7/AS7</f>
        <v/>
      </c>
      <c r="BB7" s="568">
        <f>(AZ7-AZ6)/AZ6</f>
        <v/>
      </c>
      <c r="BC7" s="103">
        <f>(AZ7-BA7)/BA7</f>
        <v/>
      </c>
    </row>
    <row customHeight="1" ht="15.75" r="8" s="452" spans="1:57">
      <c r="A8" s="49" t="s">
        <v>41</v>
      </c>
      <c r="B8" s="49" t="s">
        <v>77</v>
      </c>
      <c r="C8" s="50">
        <f>C7+7</f>
        <v/>
      </c>
      <c r="D8" s="566" t="n"/>
      <c r="E8" s="566" t="n"/>
      <c r="F8" s="566">
        <f>(D8-D7)/D7</f>
        <v/>
      </c>
      <c r="G8" s="103">
        <f>(D8-E8)/E8</f>
        <v/>
      </c>
      <c r="H8" s="566">
        <f>L8*1.085</f>
        <v/>
      </c>
      <c r="I8" s="566">
        <f>M8*1.085</f>
        <v/>
      </c>
      <c r="J8" s="103">
        <f>(H8-H7)/H7</f>
        <v/>
      </c>
      <c r="K8" s="103">
        <f>(H8-I8)/I8</f>
        <v/>
      </c>
      <c r="L8" s="566" t="n"/>
      <c r="M8" s="566" t="n"/>
      <c r="N8" s="103">
        <f>(L8-L7)/L7</f>
        <v/>
      </c>
      <c r="O8" s="103">
        <f>(L8-M8)/M8</f>
        <v/>
      </c>
      <c r="P8" s="567">
        <f>D8/H8</f>
        <v/>
      </c>
      <c r="Q8" s="567">
        <f>E8/I8</f>
        <v/>
      </c>
      <c r="R8" s="103">
        <f>(P8-P7)/P7</f>
        <v/>
      </c>
      <c r="S8" s="103">
        <f>(P8-Q8)/Q8</f>
        <v/>
      </c>
      <c r="T8" s="567">
        <f>D8/L8</f>
        <v/>
      </c>
      <c r="U8" s="566">
        <f>E8/M8</f>
        <v/>
      </c>
      <c r="V8" s="103">
        <f>(T8-T7)/T7</f>
        <v/>
      </c>
      <c r="W8" s="103">
        <f>(T8-U8)/U8</f>
        <v/>
      </c>
      <c r="X8" s="568" t="n"/>
      <c r="Y8" s="568" t="n"/>
      <c r="Z8" s="103">
        <f>(X8-X7)/X7</f>
        <v/>
      </c>
      <c r="AA8" s="103">
        <f>(X8-Y8)/Y8</f>
        <v/>
      </c>
      <c r="AB8" s="568" t="n"/>
      <c r="AC8" s="568" t="n"/>
      <c r="AD8" s="568">
        <f>(AB8-AB7)/AB7</f>
        <v/>
      </c>
      <c r="AE8" s="103">
        <f>(AB8-AC8)/AC8</f>
        <v/>
      </c>
      <c r="AF8" s="103" t="n"/>
      <c r="AG8" s="103" t="n"/>
      <c r="AH8" s="103" t="n"/>
      <c r="AI8" s="103" t="n"/>
      <c r="AJ8" s="566">
        <f>D8/AB8</f>
        <v/>
      </c>
      <c r="AK8" s="568">
        <f>E8/AC8</f>
        <v/>
      </c>
      <c r="AL8" s="103">
        <f>(AJ8-AJ7)/AJ7</f>
        <v/>
      </c>
      <c r="AM8" s="103">
        <f>(AJ8-AK8)/AK8</f>
        <v/>
      </c>
      <c r="AN8" s="568" t="n"/>
      <c r="AO8" s="568" t="n"/>
      <c r="AP8" s="568">
        <f>(AN8-AN7)/AN7</f>
        <v/>
      </c>
      <c r="AQ8" s="103">
        <f>(AN8-AO8)/AO8</f>
        <v/>
      </c>
      <c r="AR8" s="568" t="n"/>
      <c r="AS8" s="568" t="n"/>
      <c r="AT8" s="568">
        <f>(AR8-AR7)/AR7</f>
        <v/>
      </c>
      <c r="AU8" s="103">
        <f>(AR8-AS8)/AS8</f>
        <v/>
      </c>
      <c r="AV8" s="103" t="n"/>
      <c r="AW8" s="103" t="n"/>
      <c r="AX8" s="103" t="n"/>
      <c r="AY8" s="103" t="n"/>
      <c r="AZ8" s="82">
        <f>AN8/AR8</f>
        <v/>
      </c>
      <c r="BA8" s="82">
        <f>AO8/AS8</f>
        <v/>
      </c>
      <c r="BB8" s="568">
        <f>(AZ8-AZ7)/AZ7</f>
        <v/>
      </c>
      <c r="BC8" s="103">
        <f>(AZ8-BA8)/BA8</f>
        <v/>
      </c>
    </row>
    <row customFormat="1" customHeight="1" ht="15.75" r="9" s="357" spans="1:57">
      <c r="A9" s="69" t="s">
        <v>41</v>
      </c>
      <c r="B9" s="69" t="s">
        <v>79</v>
      </c>
      <c r="C9" s="70">
        <f>C8+7</f>
        <v/>
      </c>
      <c r="D9" s="571" t="n"/>
      <c r="E9" s="571" t="n"/>
      <c r="F9" s="571">
        <f>(D9-D8)/D8</f>
        <v/>
      </c>
      <c r="G9" s="104">
        <f>(D9-E9)/E9</f>
        <v/>
      </c>
      <c r="H9" s="571">
        <f>L9*1.085</f>
        <v/>
      </c>
      <c r="I9" s="571">
        <f>M9*1.085</f>
        <v/>
      </c>
      <c r="J9" s="104">
        <f>(H9-H8)/H8</f>
        <v/>
      </c>
      <c r="K9" s="104">
        <f>(H9-I9)/I9</f>
        <v/>
      </c>
      <c r="L9" s="571" t="n"/>
      <c r="M9" s="571" t="n"/>
      <c r="N9" s="104">
        <f>(L9-L8)/L8</f>
        <v/>
      </c>
      <c r="O9" s="104">
        <f>(L9-M9)/M9</f>
        <v/>
      </c>
      <c r="P9" s="572">
        <f>D9/H9</f>
        <v/>
      </c>
      <c r="Q9" s="572">
        <f>E9/I9</f>
        <v/>
      </c>
      <c r="R9" s="104">
        <f>(P9-P8)/P8</f>
        <v/>
      </c>
      <c r="S9" s="104">
        <f>(P9-Q9)/Q9</f>
        <v/>
      </c>
      <c r="T9" s="572">
        <f>D9/L9</f>
        <v/>
      </c>
      <c r="U9" s="571">
        <f>E9/M9</f>
        <v/>
      </c>
      <c r="V9" s="104">
        <f>(T9-T8)/T8</f>
        <v/>
      </c>
      <c r="W9" s="104">
        <f>(T9-U9)/U9</f>
        <v/>
      </c>
      <c r="X9" s="573" t="n"/>
      <c r="Y9" s="573" t="n"/>
      <c r="Z9" s="104">
        <f>(X9-X8)/X8</f>
        <v/>
      </c>
      <c r="AA9" s="104">
        <f>(X9-Y9)/Y9</f>
        <v/>
      </c>
      <c r="AB9" s="573" t="n"/>
      <c r="AC9" s="573" t="n"/>
      <c r="AD9" s="573">
        <f>(AB9-AB8)/AB8</f>
        <v/>
      </c>
      <c r="AE9" s="104">
        <f>(AB9-AC9)/AC9</f>
        <v/>
      </c>
      <c r="AF9" s="104" t="n"/>
      <c r="AG9" s="104" t="n"/>
      <c r="AH9" s="104" t="n"/>
      <c r="AI9" s="104" t="n"/>
      <c r="AJ9" s="571">
        <f>D9/AB9</f>
        <v/>
      </c>
      <c r="AK9" s="573">
        <f>E9/AC9</f>
        <v/>
      </c>
      <c r="AL9" s="104">
        <f>(AJ9-AJ8)/AJ8</f>
        <v/>
      </c>
      <c r="AM9" s="104">
        <f>(AJ9-AK9)/AK9</f>
        <v/>
      </c>
      <c r="AN9" s="573" t="n"/>
      <c r="AO9" s="573" t="n"/>
      <c r="AP9" s="573">
        <f>(AN9-AN8)/AN8</f>
        <v/>
      </c>
      <c r="AQ9" s="104">
        <f>(AN9-AO9)/AO9</f>
        <v/>
      </c>
      <c r="AR9" s="573" t="n"/>
      <c r="AS9" s="573" t="n"/>
      <c r="AT9" s="573">
        <f>(AR9-AR8)/AR8</f>
        <v/>
      </c>
      <c r="AU9" s="104">
        <f>(AR9-AS9)/AS9</f>
        <v/>
      </c>
      <c r="AV9" s="104" t="n"/>
      <c r="AW9" s="104" t="n"/>
      <c r="AX9" s="104" t="n"/>
      <c r="AY9" s="104" t="n"/>
      <c r="AZ9" s="83">
        <f>AN9/AR9</f>
        <v/>
      </c>
      <c r="BA9" s="83">
        <f>AO9/AS9</f>
        <v/>
      </c>
      <c r="BB9" s="573">
        <f>(AZ9-AZ8)/AZ8</f>
        <v/>
      </c>
      <c r="BC9" s="104">
        <f>(AZ9-BA9)/BA9</f>
        <v/>
      </c>
    </row>
    <row customHeight="1" ht="15.75" r="10" s="452" spans="1:57">
      <c r="A10" s="49" t="s">
        <v>42</v>
      </c>
      <c r="B10" s="49" t="s">
        <v>80</v>
      </c>
      <c r="C10" s="50">
        <f>C9+7</f>
        <v/>
      </c>
      <c r="D10" s="566" t="n"/>
      <c r="E10" s="566" t="n"/>
      <c r="F10" s="566">
        <f>(D10-D9)/D9</f>
        <v/>
      </c>
      <c r="G10" s="103">
        <f>(D10-E10)/E10</f>
        <v/>
      </c>
      <c r="H10" s="566">
        <f>L10*1.085</f>
        <v/>
      </c>
      <c r="I10" s="566">
        <f>M10*1.085</f>
        <v/>
      </c>
      <c r="J10" s="103">
        <f>(H10-H9)/H9</f>
        <v/>
      </c>
      <c r="K10" s="103">
        <f>(H10-I10)/I10</f>
        <v/>
      </c>
      <c r="L10" s="566" t="n"/>
      <c r="M10" s="566" t="n"/>
      <c r="N10" s="103">
        <f>(L10-L9)/L9</f>
        <v/>
      </c>
      <c r="O10" s="103">
        <f>(L10-M10)/M10</f>
        <v/>
      </c>
      <c r="P10" s="567">
        <f>D10/H10</f>
        <v/>
      </c>
      <c r="Q10" s="567">
        <f>E10/I10</f>
        <v/>
      </c>
      <c r="R10" s="103">
        <f>(P10-P9)/P9</f>
        <v/>
      </c>
      <c r="S10" s="103">
        <f>(P10-Q10)/Q10</f>
        <v/>
      </c>
      <c r="T10" s="567">
        <f>D10/L10</f>
        <v/>
      </c>
      <c r="U10" s="566">
        <f>E10/M10</f>
        <v/>
      </c>
      <c r="V10" s="103">
        <f>(T10-T9)/T9</f>
        <v/>
      </c>
      <c r="W10" s="103">
        <f>(T10-U10)/U10</f>
        <v/>
      </c>
      <c r="X10" s="568" t="n"/>
      <c r="Y10" s="568" t="n"/>
      <c r="Z10" s="103">
        <f>(X10-X9)/X9</f>
        <v/>
      </c>
      <c r="AA10" s="103">
        <f>(X10-Y10)/Y10</f>
        <v/>
      </c>
      <c r="AB10" s="568" t="n"/>
      <c r="AC10" s="568" t="n"/>
      <c r="AD10" s="568">
        <f>(AB10-AB9)/AB9</f>
        <v/>
      </c>
      <c r="AE10" s="103">
        <f>(AB10-AC10)/AC10</f>
        <v/>
      </c>
      <c r="AF10" s="103" t="n"/>
      <c r="AG10" s="103" t="n"/>
      <c r="AH10" s="103" t="n"/>
      <c r="AI10" s="103" t="n"/>
      <c r="AJ10" s="566">
        <f>D10/AB10</f>
        <v/>
      </c>
      <c r="AK10" s="568">
        <f>E10/AC10</f>
        <v/>
      </c>
      <c r="AL10" s="103">
        <f>(AJ10-AJ9)/AJ9</f>
        <v/>
      </c>
      <c r="AM10" s="103">
        <f>(AJ10-AK10)/AK10</f>
        <v/>
      </c>
      <c r="AN10" s="568" t="n"/>
      <c r="AO10" s="568" t="n"/>
      <c r="AP10" s="568">
        <f>(AN10-AN9)/AN9</f>
        <v/>
      </c>
      <c r="AQ10" s="103">
        <f>(AN10-AO10)/AO10</f>
        <v/>
      </c>
      <c r="AR10" s="568" t="n"/>
      <c r="AS10" s="568" t="n"/>
      <c r="AT10" s="568">
        <f>(AR10-AR9)/AR9</f>
        <v/>
      </c>
      <c r="AU10" s="103">
        <f>(AR10-AS10)/AS10</f>
        <v/>
      </c>
      <c r="AV10" s="103" t="n"/>
      <c r="AW10" s="103" t="n"/>
      <c r="AX10" s="103" t="n"/>
      <c r="AY10" s="103" t="n"/>
      <c r="AZ10" s="82">
        <f>AN10/AR10</f>
        <v/>
      </c>
      <c r="BA10" s="82">
        <f>AO10/AS10</f>
        <v/>
      </c>
      <c r="BB10" s="568">
        <f>(AZ10-AZ9)/AZ9</f>
        <v/>
      </c>
      <c r="BC10" s="103">
        <f>(AZ10-BA10)/BA10</f>
        <v/>
      </c>
    </row>
    <row customHeight="1" ht="15.75" r="11" s="452" spans="1:57">
      <c r="A11" s="49" t="s">
        <v>42</v>
      </c>
      <c r="B11" s="49" t="s">
        <v>82</v>
      </c>
      <c r="C11" s="50" t="n">
        <v>42797</v>
      </c>
      <c r="D11" s="566" t="n"/>
      <c r="E11" s="566" t="n"/>
      <c r="F11" s="566">
        <f>(D11-D10)/D10</f>
        <v/>
      </c>
      <c r="G11" s="103">
        <f>(D11-E11)/E11</f>
        <v/>
      </c>
      <c r="H11" s="566">
        <f>L11*1.085</f>
        <v/>
      </c>
      <c r="I11" s="566">
        <f>M11*1.085</f>
        <v/>
      </c>
      <c r="J11" s="103">
        <f>(H11-H10)/H10</f>
        <v/>
      </c>
      <c r="K11" s="103">
        <f>(H11-I11)/I11</f>
        <v/>
      </c>
      <c r="L11" s="566" t="n"/>
      <c r="M11" s="566" t="n"/>
      <c r="N11" s="103">
        <f>(L11-L10)/L10</f>
        <v/>
      </c>
      <c r="O11" s="103">
        <f>(L11-M11)/M11</f>
        <v/>
      </c>
      <c r="P11" s="567">
        <f>D11/H11</f>
        <v/>
      </c>
      <c r="Q11" s="567">
        <f>E11/I11</f>
        <v/>
      </c>
      <c r="R11" s="103">
        <f>(P11-P10)/P10</f>
        <v/>
      </c>
      <c r="S11" s="103">
        <f>(P11-Q11)/Q11</f>
        <v/>
      </c>
      <c r="T11" s="567">
        <f>D11/L11</f>
        <v/>
      </c>
      <c r="U11" s="566">
        <f>E11/M11</f>
        <v/>
      </c>
      <c r="V11" s="103">
        <f>(T11-T10)/T10</f>
        <v/>
      </c>
      <c r="W11" s="103">
        <f>(T11-U11)/U11</f>
        <v/>
      </c>
      <c r="X11" s="568" t="n"/>
      <c r="Y11" s="568" t="n"/>
      <c r="Z11" s="103">
        <f>(X11-X10)/X10</f>
        <v/>
      </c>
      <c r="AA11" s="103">
        <f>(X11-Y11)/Y11</f>
        <v/>
      </c>
      <c r="AB11" s="568" t="n"/>
      <c r="AC11" s="568" t="n"/>
      <c r="AD11" s="568">
        <f>(AB11-AB10)/AB10</f>
        <v/>
      </c>
      <c r="AE11" s="103">
        <f>(AB11-AC11)/AC11</f>
        <v/>
      </c>
      <c r="AF11" s="103" t="n"/>
      <c r="AG11" s="103" t="n"/>
      <c r="AH11" s="103" t="n"/>
      <c r="AI11" s="103" t="n"/>
      <c r="AJ11" s="566">
        <f>D11/AB11</f>
        <v/>
      </c>
      <c r="AK11" s="568">
        <f>E11/AC11</f>
        <v/>
      </c>
      <c r="AL11" s="103">
        <f>(AJ11-AJ10)/AJ10</f>
        <v/>
      </c>
      <c r="AM11" s="103">
        <f>(AJ11-AK11)/AK11</f>
        <v/>
      </c>
      <c r="AN11" s="568" t="n"/>
      <c r="AO11" s="568" t="n"/>
      <c r="AP11" s="568">
        <f>(AN11-AN10)/AN10</f>
        <v/>
      </c>
      <c r="AQ11" s="103">
        <f>(AN11-AO11)/AO11</f>
        <v/>
      </c>
      <c r="AR11" s="568" t="n"/>
      <c r="AS11" s="568" t="n"/>
      <c r="AT11" s="568">
        <f>(AR11-AR10)/AR10</f>
        <v/>
      </c>
      <c r="AU11" s="103">
        <f>(AR11-AS11)/AS11</f>
        <v/>
      </c>
      <c r="AV11" s="103" t="n"/>
      <c r="AW11" s="103" t="n"/>
      <c r="AX11" s="103" t="n"/>
      <c r="AY11" s="103" t="n"/>
      <c r="AZ11" s="82">
        <f>AN11/AR11</f>
        <v/>
      </c>
      <c r="BA11" s="82">
        <f>AO11/AS11</f>
        <v/>
      </c>
      <c r="BB11" s="568">
        <f>(AZ11-AZ10)/AZ10</f>
        <v/>
      </c>
      <c r="BC11" s="103">
        <f>(AZ11-BA11)/BA11</f>
        <v/>
      </c>
    </row>
    <row customHeight="1" ht="15.75" r="12" s="452" spans="1:57">
      <c r="A12" s="49" t="s">
        <v>42</v>
      </c>
      <c r="B12" s="49" t="s">
        <v>84</v>
      </c>
      <c r="C12" s="50">
        <f>C11+7</f>
        <v/>
      </c>
      <c r="D12" s="566" t="n"/>
      <c r="E12" s="566" t="n"/>
      <c r="F12" s="566">
        <f>(D12-D11)/D11</f>
        <v/>
      </c>
      <c r="G12" s="103">
        <f>(D12-E12)/E12</f>
        <v/>
      </c>
      <c r="H12" s="566">
        <f>L12*1.085</f>
        <v/>
      </c>
      <c r="I12" s="566">
        <f>M12*1.085</f>
        <v/>
      </c>
      <c r="J12" s="103">
        <f>(H12-H11)/H11</f>
        <v/>
      </c>
      <c r="K12" s="103">
        <f>(H12-I12)/I12</f>
        <v/>
      </c>
      <c r="L12" s="566" t="n"/>
      <c r="M12" s="566" t="n"/>
      <c r="N12" s="103">
        <f>(L12-L11)/L11</f>
        <v/>
      </c>
      <c r="O12" s="103">
        <f>(L12-M12)/M12</f>
        <v/>
      </c>
      <c r="P12" s="567">
        <f>D12/H12</f>
        <v/>
      </c>
      <c r="Q12" s="567">
        <f>E12/I12</f>
        <v/>
      </c>
      <c r="R12" s="103">
        <f>(P12-P11)/P11</f>
        <v/>
      </c>
      <c r="S12" s="103">
        <f>(P12-Q12)/Q12</f>
        <v/>
      </c>
      <c r="T12" s="567">
        <f>D12/L12</f>
        <v/>
      </c>
      <c r="U12" s="566">
        <f>E12/M12</f>
        <v/>
      </c>
      <c r="V12" s="103">
        <f>(T12-T11)/T11</f>
        <v/>
      </c>
      <c r="W12" s="103">
        <f>(T12-U12)/U12</f>
        <v/>
      </c>
      <c r="X12" s="568" t="n"/>
      <c r="Y12" s="568" t="n"/>
      <c r="Z12" s="103">
        <f>(X12-X11)/X11</f>
        <v/>
      </c>
      <c r="AA12" s="103">
        <f>(X12-Y12)/Y12</f>
        <v/>
      </c>
      <c r="AB12" s="568" t="n"/>
      <c r="AC12" s="568" t="n"/>
      <c r="AD12" s="568">
        <f>(AB12-AB11)/AB11</f>
        <v/>
      </c>
      <c r="AE12" s="103">
        <f>(AB12-AC12)/AC12</f>
        <v/>
      </c>
      <c r="AF12" s="103" t="n"/>
      <c r="AG12" s="103" t="n"/>
      <c r="AH12" s="103" t="n"/>
      <c r="AI12" s="103" t="n"/>
      <c r="AJ12" s="566">
        <f>D12/AB12</f>
        <v/>
      </c>
      <c r="AK12" s="568">
        <f>E12/AC12</f>
        <v/>
      </c>
      <c r="AL12" s="103">
        <f>(AJ12-AJ11)/AJ11</f>
        <v/>
      </c>
      <c r="AM12" s="103">
        <f>(AJ12-AK12)/AK12</f>
        <v/>
      </c>
      <c r="AN12" s="568" t="n"/>
      <c r="AO12" s="568" t="n"/>
      <c r="AP12" s="568">
        <f>(AN12-AN11)/AN11</f>
        <v/>
      </c>
      <c r="AQ12" s="103">
        <f>(AN12-AO12)/AO12</f>
        <v/>
      </c>
      <c r="AR12" s="568" t="n"/>
      <c r="AS12" s="568" t="n"/>
      <c r="AT12" s="568">
        <f>(AR12-AR11)/AR11</f>
        <v/>
      </c>
      <c r="AU12" s="103">
        <f>(AR12-AS12)/AS12</f>
        <v/>
      </c>
      <c r="AV12" s="103" t="n"/>
      <c r="AW12" s="103" t="n"/>
      <c r="AX12" s="103" t="n"/>
      <c r="AY12" s="103" t="n"/>
      <c r="AZ12" s="82">
        <f>AN12/AR12</f>
        <v/>
      </c>
      <c r="BA12" s="82">
        <f>AO12/AS12</f>
        <v/>
      </c>
      <c r="BB12" s="568">
        <f>(AZ12-AZ11)/AZ11</f>
        <v/>
      </c>
      <c r="BC12" s="103">
        <f>(AZ12-BA12)/BA12</f>
        <v/>
      </c>
    </row>
    <row customFormat="1" customHeight="1" ht="15.75" r="13" s="357" spans="1:57">
      <c r="A13" s="69" t="s">
        <v>42</v>
      </c>
      <c r="B13" s="69" t="s">
        <v>86</v>
      </c>
      <c r="C13" s="70">
        <f>C12+7</f>
        <v/>
      </c>
      <c r="D13" s="571" t="n"/>
      <c r="E13" s="571" t="n"/>
      <c r="F13" s="571">
        <f>(D13-D12)/D12</f>
        <v/>
      </c>
      <c r="G13" s="104">
        <f>(D13-E13)/E13</f>
        <v/>
      </c>
      <c r="H13" s="571">
        <f>L13*1.085</f>
        <v/>
      </c>
      <c r="I13" s="571">
        <f>M13*1.085</f>
        <v/>
      </c>
      <c r="J13" s="104">
        <f>(H13-H12)/H12</f>
        <v/>
      </c>
      <c r="K13" s="104">
        <f>(H13-I13)/I13</f>
        <v/>
      </c>
      <c r="L13" s="571" t="n"/>
      <c r="M13" s="571" t="n"/>
      <c r="N13" s="104">
        <f>(L13-L12)/L12</f>
        <v/>
      </c>
      <c r="O13" s="104">
        <f>(L13-M13)/M13</f>
        <v/>
      </c>
      <c r="P13" s="572">
        <f>D13/H13</f>
        <v/>
      </c>
      <c r="Q13" s="572">
        <f>E13/I13</f>
        <v/>
      </c>
      <c r="R13" s="104">
        <f>(P13-P12)/P12</f>
        <v/>
      </c>
      <c r="S13" s="104">
        <f>(P13-Q13)/Q13</f>
        <v/>
      </c>
      <c r="T13" s="572">
        <f>D13/L13</f>
        <v/>
      </c>
      <c r="U13" s="571">
        <f>E13/M13</f>
        <v/>
      </c>
      <c r="V13" s="104">
        <f>(T13-T12)/T12</f>
        <v/>
      </c>
      <c r="W13" s="104">
        <f>(T13-U13)/U13</f>
        <v/>
      </c>
      <c r="X13" s="573" t="n"/>
      <c r="Y13" s="573" t="n"/>
      <c r="Z13" s="104">
        <f>(X13-X12)/X12</f>
        <v/>
      </c>
      <c r="AA13" s="104">
        <f>(X13-Y13)/Y13</f>
        <v/>
      </c>
      <c r="AB13" s="573" t="n"/>
      <c r="AC13" s="573" t="n"/>
      <c r="AD13" s="573">
        <f>(AB13-AB12)/AB12</f>
        <v/>
      </c>
      <c r="AE13" s="104">
        <f>(AB13-AC13)/AC13</f>
        <v/>
      </c>
      <c r="AF13" s="104" t="n"/>
      <c r="AG13" s="104" t="n"/>
      <c r="AH13" s="104" t="n"/>
      <c r="AI13" s="104" t="n"/>
      <c r="AJ13" s="571">
        <f>D13/AB13</f>
        <v/>
      </c>
      <c r="AK13" s="573">
        <f>E13/AC13</f>
        <v/>
      </c>
      <c r="AL13" s="104">
        <f>(AJ13-AJ12)/AJ12</f>
        <v/>
      </c>
      <c r="AM13" s="104">
        <f>(AJ13-AK13)/AK13</f>
        <v/>
      </c>
      <c r="AN13" s="573" t="n"/>
      <c r="AO13" s="573" t="n"/>
      <c r="AP13" s="573">
        <f>(AN13-AN12)/AN12</f>
        <v/>
      </c>
      <c r="AQ13" s="104">
        <f>(AN13-AO13)/AO13</f>
        <v/>
      </c>
      <c r="AR13" s="573" t="n"/>
      <c r="AS13" s="573" t="n"/>
      <c r="AT13" s="573">
        <f>(AR13-AR12)/AR12</f>
        <v/>
      </c>
      <c r="AU13" s="104">
        <f>(AR13-AS13)/AS13</f>
        <v/>
      </c>
      <c r="AV13" s="104" t="n"/>
      <c r="AW13" s="104" t="n"/>
      <c r="AX13" s="104" t="n"/>
      <c r="AY13" s="104" t="n"/>
      <c r="AZ13" s="83">
        <f>AN13/AR13</f>
        <v/>
      </c>
      <c r="BA13" s="83">
        <f>AO13/AS13</f>
        <v/>
      </c>
      <c r="BB13" s="573">
        <f>(AZ13-AZ12)/AZ12</f>
        <v/>
      </c>
      <c r="BC13" s="104">
        <f>(AZ13-BA13)/BA13</f>
        <v/>
      </c>
    </row>
    <row customHeight="1" ht="15.75" r="14" s="452" spans="1:57">
      <c r="A14" s="49" t="s">
        <v>43</v>
      </c>
      <c r="B14" s="49" t="s">
        <v>88</v>
      </c>
      <c r="C14" s="50">
        <f>C13+7</f>
        <v/>
      </c>
      <c r="D14" s="566" t="n"/>
      <c r="E14" s="566" t="n"/>
      <c r="F14" s="566">
        <f>(D14-D13)/D13</f>
        <v/>
      </c>
      <c r="G14" s="103">
        <f>(D14-E14)/E14</f>
        <v/>
      </c>
      <c r="H14" s="566">
        <f>L14*1.085</f>
        <v/>
      </c>
      <c r="I14" s="566">
        <f>M14*1.085</f>
        <v/>
      </c>
      <c r="J14" s="103">
        <f>(H14-H13)/H13</f>
        <v/>
      </c>
      <c r="K14" s="103">
        <f>(H14-I14)/I14</f>
        <v/>
      </c>
      <c r="L14" s="566" t="n"/>
      <c r="M14" s="566" t="n"/>
      <c r="N14" s="103">
        <f>(L14-L13)/L13</f>
        <v/>
      </c>
      <c r="O14" s="103">
        <f>(L14-M14)/M14</f>
        <v/>
      </c>
      <c r="P14" s="567">
        <f>D14/H14</f>
        <v/>
      </c>
      <c r="Q14" s="567">
        <f>E14/I14</f>
        <v/>
      </c>
      <c r="R14" s="103">
        <f>(P14-P13)/P13</f>
        <v/>
      </c>
      <c r="S14" s="103">
        <f>(P14-Q14)/Q14</f>
        <v/>
      </c>
      <c r="T14" s="567">
        <f>D14/L14</f>
        <v/>
      </c>
      <c r="U14" s="566">
        <f>E14/M14</f>
        <v/>
      </c>
      <c r="V14" s="103">
        <f>(T14-T13)/T13</f>
        <v/>
      </c>
      <c r="W14" s="103">
        <f>(T14-U14)/U14</f>
        <v/>
      </c>
      <c r="X14" s="568" t="n"/>
      <c r="Y14" s="568" t="n"/>
      <c r="Z14" s="103">
        <f>(X14-X13)/X13</f>
        <v/>
      </c>
      <c r="AA14" s="103">
        <f>(X14-Y14)/Y14</f>
        <v/>
      </c>
      <c r="AB14" s="568" t="n"/>
      <c r="AC14" s="568" t="n"/>
      <c r="AD14" s="568">
        <f>(AB14-AB13)/AB13</f>
        <v/>
      </c>
      <c r="AE14" s="103">
        <f>(AB14-AC14)/AC14</f>
        <v/>
      </c>
      <c r="AF14" s="103" t="n"/>
      <c r="AG14" s="103" t="n"/>
      <c r="AH14" s="103" t="n"/>
      <c r="AI14" s="103" t="n"/>
      <c r="AJ14" s="566">
        <f>D14/AB14</f>
        <v/>
      </c>
      <c r="AK14" s="568">
        <f>E14/AC14</f>
        <v/>
      </c>
      <c r="AL14" s="103">
        <f>(AJ14-AJ13)/AJ13</f>
        <v/>
      </c>
      <c r="AM14" s="103">
        <f>(AJ14-AK14)/AK14</f>
        <v/>
      </c>
      <c r="AN14" s="568" t="n"/>
      <c r="AO14" s="568" t="n"/>
      <c r="AP14" s="568">
        <f>(AN14-AN13)/AN13</f>
        <v/>
      </c>
      <c r="AQ14" s="103">
        <f>(AN14-AO14)/AO14</f>
        <v/>
      </c>
      <c r="AR14" s="568" t="n"/>
      <c r="AS14" s="568" t="n"/>
      <c r="AT14" s="568">
        <f>(AR14-AR13)/AR13</f>
        <v/>
      </c>
      <c r="AU14" s="103">
        <f>(AR14-AS14)/AS14</f>
        <v/>
      </c>
      <c r="AV14" s="103" t="n"/>
      <c r="AW14" s="103" t="n"/>
      <c r="AX14" s="103" t="n"/>
      <c r="AY14" s="103" t="n"/>
      <c r="AZ14" s="82">
        <f>AN14/AR14</f>
        <v/>
      </c>
      <c r="BA14" s="82">
        <f>AO14/AS14</f>
        <v/>
      </c>
      <c r="BB14" s="568">
        <f>(AZ14-AZ13)/AZ13</f>
        <v/>
      </c>
      <c r="BC14" s="103">
        <f>(AZ14-BA14)/BA14</f>
        <v/>
      </c>
    </row>
    <row customHeight="1" ht="15.75" r="15" s="452" spans="1:57">
      <c r="A15" s="49" t="s">
        <v>43</v>
      </c>
      <c r="B15" s="49" t="s">
        <v>90</v>
      </c>
      <c r="C15" s="50">
        <f>C14+7</f>
        <v/>
      </c>
      <c r="D15" s="566" t="n"/>
      <c r="E15" s="566" t="n"/>
      <c r="F15" s="566">
        <f>(D15-D14)/D14</f>
        <v/>
      </c>
      <c r="G15" s="103">
        <f>(D15-E15)/E15</f>
        <v/>
      </c>
      <c r="H15" s="566">
        <f>L15*1.085</f>
        <v/>
      </c>
      <c r="I15" s="566">
        <f>M15*1.085</f>
        <v/>
      </c>
      <c r="J15" s="103">
        <f>(H15-H14)/H14</f>
        <v/>
      </c>
      <c r="K15" s="103">
        <f>(H15-I15)/I15</f>
        <v/>
      </c>
      <c r="L15" s="566" t="n"/>
      <c r="M15" s="566" t="n"/>
      <c r="N15" s="103">
        <f>(L15-L14)/L14</f>
        <v/>
      </c>
      <c r="O15" s="103">
        <f>(L15-M15)/M15</f>
        <v/>
      </c>
      <c r="P15" s="567">
        <f>D15/H15</f>
        <v/>
      </c>
      <c r="Q15" s="567">
        <f>E15/I15</f>
        <v/>
      </c>
      <c r="R15" s="103">
        <f>(P15-P14)/P14</f>
        <v/>
      </c>
      <c r="S15" s="103">
        <f>(P15-Q15)/Q15</f>
        <v/>
      </c>
      <c r="T15" s="567">
        <f>D15/L15</f>
        <v/>
      </c>
      <c r="U15" s="566">
        <f>E15/M15</f>
        <v/>
      </c>
      <c r="V15" s="103">
        <f>(T15-T14)/T14</f>
        <v/>
      </c>
      <c r="W15" s="103">
        <f>(T15-U15)/U15</f>
        <v/>
      </c>
      <c r="X15" s="568" t="n"/>
      <c r="Y15" s="568" t="n"/>
      <c r="Z15" s="103">
        <f>(X15-X14)/X14</f>
        <v/>
      </c>
      <c r="AA15" s="103">
        <f>(X15-Y15)/Y15</f>
        <v/>
      </c>
      <c r="AB15" s="568" t="n"/>
      <c r="AC15" s="568" t="n"/>
      <c r="AD15" s="568">
        <f>(AB15-AB14)/AB14</f>
        <v/>
      </c>
      <c r="AE15" s="103">
        <f>(AB15-AC15)/AC15</f>
        <v/>
      </c>
      <c r="AF15" s="103" t="n"/>
      <c r="AG15" s="103" t="n"/>
      <c r="AH15" s="103" t="n"/>
      <c r="AI15" s="103" t="n"/>
      <c r="AJ15" s="566">
        <f>D15/AB15</f>
        <v/>
      </c>
      <c r="AK15" s="568">
        <f>E15/AC15</f>
        <v/>
      </c>
      <c r="AL15" s="103">
        <f>(AJ15-AJ14)/AJ14</f>
        <v/>
      </c>
      <c r="AM15" s="103">
        <f>(AJ15-AK15)/AK15</f>
        <v/>
      </c>
      <c r="AN15" s="568" t="n"/>
      <c r="AO15" s="568" t="n"/>
      <c r="AP15" s="568">
        <f>(AN15-AN14)/AN14</f>
        <v/>
      </c>
      <c r="AQ15" s="103">
        <f>(AN15-AO15)/AO15</f>
        <v/>
      </c>
      <c r="AR15" s="568" t="n"/>
      <c r="AS15" s="568" t="n"/>
      <c r="AT15" s="568">
        <f>(AR15-AR14)/AR14</f>
        <v/>
      </c>
      <c r="AU15" s="103">
        <f>(AR15-AS15)/AS15</f>
        <v/>
      </c>
      <c r="AV15" s="103" t="n"/>
      <c r="AW15" s="103" t="n"/>
      <c r="AX15" s="103" t="n"/>
      <c r="AY15" s="103" t="n"/>
      <c r="AZ15" s="82">
        <f>AN15/AR15</f>
        <v/>
      </c>
      <c r="BA15" s="82">
        <f>AO15/AS15</f>
        <v/>
      </c>
      <c r="BB15" s="568">
        <f>(AZ15-AZ14)/AZ14</f>
        <v/>
      </c>
      <c r="BC15" s="103">
        <f>(AZ15-BA15)/BA15</f>
        <v/>
      </c>
    </row>
    <row customHeight="1" ht="15.75" r="16" s="452" spans="1:57">
      <c r="A16" s="49" t="s">
        <v>43</v>
      </c>
      <c r="B16" s="49" t="s">
        <v>92</v>
      </c>
      <c r="C16" s="50">
        <f>C15+7</f>
        <v/>
      </c>
      <c r="D16" s="566" t="n"/>
      <c r="E16" s="566" t="n"/>
      <c r="F16" s="566">
        <f>(D16-D15)/D15</f>
        <v/>
      </c>
      <c r="G16" s="103">
        <f>(D16-E16)/E16</f>
        <v/>
      </c>
      <c r="H16" s="566">
        <f>L16*1.085</f>
        <v/>
      </c>
      <c r="I16" s="566">
        <f>M16*1.085</f>
        <v/>
      </c>
      <c r="J16" s="103">
        <f>(H16-H15)/H15</f>
        <v/>
      </c>
      <c r="K16" s="103">
        <f>(H16-I16)/I16</f>
        <v/>
      </c>
      <c r="L16" s="567" t="n"/>
      <c r="M16" s="567" t="n"/>
      <c r="N16" s="103">
        <f>(L16-L15)/L15</f>
        <v/>
      </c>
      <c r="O16" s="103">
        <f>(L16-M16)/M16</f>
        <v/>
      </c>
      <c r="P16" s="567">
        <f>D16/H16</f>
        <v/>
      </c>
      <c r="Q16" s="567">
        <f>E16/I16</f>
        <v/>
      </c>
      <c r="R16" s="103">
        <f>(P16-P15)/P15</f>
        <v/>
      </c>
      <c r="S16" s="103">
        <f>(P16-Q16)/Q16</f>
        <v/>
      </c>
      <c r="T16" s="567">
        <f>D16/L16</f>
        <v/>
      </c>
      <c r="U16" s="566">
        <f>E16/M16</f>
        <v/>
      </c>
      <c r="V16" s="103">
        <f>(T16-T15)/T15</f>
        <v/>
      </c>
      <c r="W16" s="103">
        <f>(T16-U16)/U16</f>
        <v/>
      </c>
      <c r="X16" s="568" t="n"/>
      <c r="Y16" s="568" t="n"/>
      <c r="Z16" s="103">
        <f>(X16-X15)/X15</f>
        <v/>
      </c>
      <c r="AA16" s="103">
        <f>(X16-Y16)/Y16</f>
        <v/>
      </c>
      <c r="AB16" s="568" t="n"/>
      <c r="AC16" s="568" t="n"/>
      <c r="AD16" s="568">
        <f>(AB16-AB15)/AB15</f>
        <v/>
      </c>
      <c r="AE16" s="103">
        <f>(AB16-AC16)/AC16</f>
        <v/>
      </c>
      <c r="AF16" s="103" t="n"/>
      <c r="AG16" s="103" t="n"/>
      <c r="AH16" s="103" t="n"/>
      <c r="AI16" s="103" t="n"/>
      <c r="AJ16" s="566">
        <f>D16/AB16</f>
        <v/>
      </c>
      <c r="AK16" s="568">
        <f>E16/AC16</f>
        <v/>
      </c>
      <c r="AL16" s="103">
        <f>(AJ16-AJ15)/AJ15</f>
        <v/>
      </c>
      <c r="AM16" s="103">
        <f>(AJ16-AK16)/AK16</f>
        <v/>
      </c>
      <c r="AN16" s="568" t="n"/>
      <c r="AO16" s="568" t="n"/>
      <c r="AP16" s="568">
        <f>(AN16-AN15)/AN15</f>
        <v/>
      </c>
      <c r="AQ16" s="103">
        <f>(AN16-AO16)/AO16</f>
        <v/>
      </c>
      <c r="AR16" s="568" t="n"/>
      <c r="AS16" s="568" t="n"/>
      <c r="AT16" s="568">
        <f>(AR16-AR15)/AR15</f>
        <v/>
      </c>
      <c r="AU16" s="103">
        <f>(AR16-AS16)/AS16</f>
        <v/>
      </c>
      <c r="AV16" s="103" t="n"/>
      <c r="AW16" s="103" t="n"/>
      <c r="AX16" s="103" t="n"/>
      <c r="AY16" s="103" t="n"/>
      <c r="AZ16" s="82">
        <f>AN16/AR16</f>
        <v/>
      </c>
      <c r="BA16" s="82">
        <f>AO16/AS16</f>
        <v/>
      </c>
      <c r="BB16" s="568">
        <f>(AZ16-AZ15)/AZ15</f>
        <v/>
      </c>
      <c r="BC16" s="103">
        <f>(AZ16-BA16)/BA16</f>
        <v/>
      </c>
    </row>
    <row customFormat="1" customHeight="1" ht="15.75" r="17" s="357" spans="1:57">
      <c r="A17" s="69" t="s">
        <v>43</v>
      </c>
      <c r="B17" s="69" t="s">
        <v>93</v>
      </c>
      <c r="C17" s="70">
        <f>C16+7</f>
        <v/>
      </c>
      <c r="D17" s="571" t="n"/>
      <c r="E17" s="571" t="n"/>
      <c r="F17" s="571">
        <f>(D17-D16)/D16</f>
        <v/>
      </c>
      <c r="G17" s="104">
        <f>(D17-E17)/E17</f>
        <v/>
      </c>
      <c r="H17" s="571">
        <f>L17*1.085</f>
        <v/>
      </c>
      <c r="I17" s="571">
        <f>M17*1.085</f>
        <v/>
      </c>
      <c r="J17" s="104">
        <f>(H17-H16)/H16</f>
        <v/>
      </c>
      <c r="K17" s="104">
        <f>(H17-I17)/I17</f>
        <v/>
      </c>
      <c r="L17" s="572" t="n"/>
      <c r="M17" s="572" t="n"/>
      <c r="N17" s="104">
        <f>(L17-L16)/L16</f>
        <v/>
      </c>
      <c r="O17" s="104">
        <f>(L17-M17)/M17</f>
        <v/>
      </c>
      <c r="P17" s="572">
        <f>D17/H17</f>
        <v/>
      </c>
      <c r="Q17" s="572">
        <f>E17/I17</f>
        <v/>
      </c>
      <c r="R17" s="104">
        <f>(P17-P16)/P16</f>
        <v/>
      </c>
      <c r="S17" s="104">
        <f>(P17-Q17)/Q17</f>
        <v/>
      </c>
      <c r="T17" s="572">
        <f>D17/L17</f>
        <v/>
      </c>
      <c r="U17" s="571">
        <f>E17/M17</f>
        <v/>
      </c>
      <c r="V17" s="104">
        <f>(T17-T16)/T16</f>
        <v/>
      </c>
      <c r="W17" s="104">
        <f>(T17-U17)/U17</f>
        <v/>
      </c>
      <c r="X17" s="573" t="n"/>
      <c r="Y17" s="573" t="n"/>
      <c r="Z17" s="104">
        <f>(X17-X16)/X16</f>
        <v/>
      </c>
      <c r="AA17" s="104">
        <f>(X17-Y17)/Y17</f>
        <v/>
      </c>
      <c r="AB17" s="573" t="n"/>
      <c r="AC17" s="573" t="n"/>
      <c r="AD17" s="573">
        <f>(AB17-AB16)/AB16</f>
        <v/>
      </c>
      <c r="AE17" s="104">
        <f>(AB17-AC17)/AC17</f>
        <v/>
      </c>
      <c r="AF17" s="104" t="n"/>
      <c r="AG17" s="104" t="n"/>
      <c r="AH17" s="104" t="n"/>
      <c r="AI17" s="104" t="n"/>
      <c r="AJ17" s="571">
        <f>D17/AB17</f>
        <v/>
      </c>
      <c r="AK17" s="573">
        <f>E17/AC17</f>
        <v/>
      </c>
      <c r="AL17" s="104">
        <f>(AJ17-AJ16)/AJ16</f>
        <v/>
      </c>
      <c r="AM17" s="104">
        <f>(AJ17-AK17)/AK17</f>
        <v/>
      </c>
      <c r="AN17" s="573" t="n"/>
      <c r="AO17" s="573" t="n"/>
      <c r="AP17" s="573">
        <f>(AN17-AN16)/AN16</f>
        <v/>
      </c>
      <c r="AQ17" s="104">
        <f>(AN17-AO17)/AO17</f>
        <v/>
      </c>
      <c r="AR17" s="573" t="n"/>
      <c r="AS17" s="573" t="n"/>
      <c r="AT17" s="573">
        <f>(AR17-AR16)/AR16</f>
        <v/>
      </c>
      <c r="AU17" s="104">
        <f>(AR17-AS17)/AS17</f>
        <v/>
      </c>
      <c r="AV17" s="104" t="n"/>
      <c r="AW17" s="104" t="n"/>
      <c r="AX17" s="104" t="n"/>
      <c r="AY17" s="104" t="n"/>
      <c r="AZ17" s="83">
        <f>AN17/AR17</f>
        <v/>
      </c>
      <c r="BA17" s="83">
        <f>AO17/AS17</f>
        <v/>
      </c>
      <c r="BB17" s="573">
        <f>(AZ17-AZ16)/AZ16</f>
        <v/>
      </c>
      <c r="BC17" s="104">
        <f>(AZ17-BA17)/BA17</f>
        <v/>
      </c>
    </row>
    <row customHeight="1" ht="15.75" r="18" s="452" spans="1:57">
      <c r="A18" s="49" t="s">
        <v>44</v>
      </c>
      <c r="B18" s="49" t="s">
        <v>95</v>
      </c>
      <c r="C18" s="50">
        <f>C17+7</f>
        <v/>
      </c>
      <c r="D18" s="566" t="n"/>
      <c r="E18" s="566" t="n"/>
      <c r="F18" s="566">
        <f>(D18-D17)/D17</f>
        <v/>
      </c>
      <c r="G18" s="103">
        <f>(D18-E18)/E18</f>
        <v/>
      </c>
      <c r="H18" s="566">
        <f>L18*1.085</f>
        <v/>
      </c>
      <c r="I18" s="566">
        <f>M18*1.085</f>
        <v/>
      </c>
      <c r="J18" s="103">
        <f>(H18-H17)/H17</f>
        <v/>
      </c>
      <c r="K18" s="103">
        <f>(H18-I18)/I18</f>
        <v/>
      </c>
      <c r="L18" s="567" t="n"/>
      <c r="M18" s="567" t="n"/>
      <c r="N18" s="103">
        <f>(L18-L17)/L17</f>
        <v/>
      </c>
      <c r="O18" s="103">
        <f>(L18-M18)/M18</f>
        <v/>
      </c>
      <c r="P18" s="567">
        <f>D18/H18</f>
        <v/>
      </c>
      <c r="Q18" s="567">
        <f>E18/I18</f>
        <v/>
      </c>
      <c r="R18" s="103">
        <f>(P18-P17)/P17</f>
        <v/>
      </c>
      <c r="S18" s="103">
        <f>(P18-Q18)/Q18</f>
        <v/>
      </c>
      <c r="T18" s="567">
        <f>D18/L18</f>
        <v/>
      </c>
      <c r="U18" s="566">
        <f>E18/M18</f>
        <v/>
      </c>
      <c r="V18" s="103">
        <f>(T18-T17)/T17</f>
        <v/>
      </c>
      <c r="W18" s="103">
        <f>(T18-U18)/U18</f>
        <v/>
      </c>
      <c r="X18" s="568" t="n"/>
      <c r="Y18" s="568" t="n"/>
      <c r="Z18" s="103">
        <f>(X18-X17)/X17</f>
        <v/>
      </c>
      <c r="AA18" s="103">
        <f>(X18-Y18)/Y18</f>
        <v/>
      </c>
      <c r="AB18" s="568" t="n"/>
      <c r="AC18" s="568" t="n"/>
      <c r="AD18" s="568">
        <f>(AB18-AB17)/AB17</f>
        <v/>
      </c>
      <c r="AE18" s="103">
        <f>(AB18-AC18)/AC18</f>
        <v/>
      </c>
      <c r="AF18" s="103" t="n"/>
      <c r="AG18" s="103" t="n"/>
      <c r="AH18" s="103" t="n"/>
      <c r="AI18" s="103" t="n"/>
      <c r="AJ18" s="566">
        <f>D18/AB18</f>
        <v/>
      </c>
      <c r="AK18" s="568">
        <f>E18/AC18</f>
        <v/>
      </c>
      <c r="AL18" s="103">
        <f>(AJ18-AJ17)/AJ17</f>
        <v/>
      </c>
      <c r="AM18" s="103">
        <f>(AJ18-AK18)/AK18</f>
        <v/>
      </c>
      <c r="AN18" s="568" t="n"/>
      <c r="AO18" s="568" t="n"/>
      <c r="AP18" s="568">
        <f>(AN18-AN17)/AN17</f>
        <v/>
      </c>
      <c r="AQ18" s="103">
        <f>(AN18-AO18)/AO18</f>
        <v/>
      </c>
      <c r="AR18" s="568" t="n"/>
      <c r="AS18" s="568" t="n"/>
      <c r="AT18" s="568">
        <f>(AR18-AR17)/AR17</f>
        <v/>
      </c>
      <c r="AU18" s="103">
        <f>(AR18-AS18)/AS18</f>
        <v/>
      </c>
      <c r="AV18" s="103" t="n"/>
      <c r="AW18" s="103" t="n"/>
      <c r="AX18" s="103" t="n"/>
      <c r="AY18" s="103" t="n"/>
      <c r="AZ18" s="82">
        <f>AN18/AR18</f>
        <v/>
      </c>
      <c r="BA18" s="82">
        <f>AO18/AS18</f>
        <v/>
      </c>
      <c r="BB18" s="568">
        <f>(AZ18-AZ17)/AZ17</f>
        <v/>
      </c>
      <c r="BC18" s="103">
        <f>(AZ18-BA18)/BA18</f>
        <v/>
      </c>
    </row>
    <row customHeight="1" ht="15.75" r="19" s="452" spans="1:57">
      <c r="A19" s="49" t="s">
        <v>44</v>
      </c>
      <c r="B19" s="49" t="s">
        <v>96</v>
      </c>
      <c r="C19" s="50">
        <f>C18+7</f>
        <v/>
      </c>
      <c r="D19" s="566" t="n"/>
      <c r="E19" s="566" t="n"/>
      <c r="F19" s="566">
        <f>(D19-D18)/D18</f>
        <v/>
      </c>
      <c r="G19" s="103">
        <f>(D19-E19)/E19</f>
        <v/>
      </c>
      <c r="H19" s="566">
        <f>L19*1.085</f>
        <v/>
      </c>
      <c r="I19" s="566">
        <f>M19*1.085</f>
        <v/>
      </c>
      <c r="J19" s="103">
        <f>(H19-H18)/H18</f>
        <v/>
      </c>
      <c r="K19" s="103">
        <f>(H19-I19)/I19</f>
        <v/>
      </c>
      <c r="L19" s="567" t="n"/>
      <c r="M19" s="567" t="n"/>
      <c r="N19" s="103">
        <f>(L19-L18)/L18</f>
        <v/>
      </c>
      <c r="O19" s="103">
        <f>(L19-M19)/M19</f>
        <v/>
      </c>
      <c r="P19" s="567">
        <f>D19/H19</f>
        <v/>
      </c>
      <c r="Q19" s="567">
        <f>E19/I19</f>
        <v/>
      </c>
      <c r="R19" s="103">
        <f>(P19-P18)/P18</f>
        <v/>
      </c>
      <c r="S19" s="103">
        <f>(P19-Q19)/Q19</f>
        <v/>
      </c>
      <c r="T19" s="567">
        <f>D19/L19</f>
        <v/>
      </c>
      <c r="U19" s="566">
        <f>E19/M19</f>
        <v/>
      </c>
      <c r="V19" s="103">
        <f>(T19-T18)/T18</f>
        <v/>
      </c>
      <c r="W19" s="103">
        <f>(T19-U19)/U19</f>
        <v/>
      </c>
      <c r="X19" s="568" t="n"/>
      <c r="Y19" s="568" t="n"/>
      <c r="Z19" s="103">
        <f>(X19-X18)/X18</f>
        <v/>
      </c>
      <c r="AA19" s="103">
        <f>(X19-Y19)/Y19</f>
        <v/>
      </c>
      <c r="AB19" s="568" t="n"/>
      <c r="AC19" s="568" t="n"/>
      <c r="AD19" s="568">
        <f>(AB19-AB18)/AB18</f>
        <v/>
      </c>
      <c r="AE19" s="103">
        <f>(AB19-AC19)/AC19</f>
        <v/>
      </c>
      <c r="AF19" s="103" t="n"/>
      <c r="AG19" s="103" t="n"/>
      <c r="AH19" s="103" t="n"/>
      <c r="AI19" s="103" t="n"/>
      <c r="AJ19" s="566">
        <f>D19/AB19</f>
        <v/>
      </c>
      <c r="AK19" s="568">
        <f>E19/AC19</f>
        <v/>
      </c>
      <c r="AL19" s="103">
        <f>(AJ19-AJ18)/AJ18</f>
        <v/>
      </c>
      <c r="AM19" s="103">
        <f>(AJ19-AK19)/AK19</f>
        <v/>
      </c>
      <c r="AN19" s="568" t="n"/>
      <c r="AO19" s="568" t="n"/>
      <c r="AP19" s="568">
        <f>(AN19-AN18)/AN18</f>
        <v/>
      </c>
      <c r="AQ19" s="103">
        <f>(AN19-AO19)/AO19</f>
        <v/>
      </c>
      <c r="AR19" s="568" t="n"/>
      <c r="AS19" s="568" t="n"/>
      <c r="AT19" s="568">
        <f>(AR19-AR18)/AR18</f>
        <v/>
      </c>
      <c r="AU19" s="103">
        <f>(AR19-AS19)/AS19</f>
        <v/>
      </c>
      <c r="AV19" s="103" t="n"/>
      <c r="AW19" s="103" t="n"/>
      <c r="AX19" s="103" t="n"/>
      <c r="AY19" s="103" t="n"/>
      <c r="AZ19" s="82">
        <f>AN19/AR19</f>
        <v/>
      </c>
      <c r="BA19" s="82">
        <f>AO19/AS19</f>
        <v/>
      </c>
      <c r="BB19" s="568">
        <f>(AZ19-AZ18)/AZ18</f>
        <v/>
      </c>
      <c r="BC19" s="103">
        <f>(AZ19-BA19)/BA19</f>
        <v/>
      </c>
    </row>
    <row customHeight="1" ht="15.75" r="20" s="452" spans="1:57">
      <c r="A20" s="49" t="s">
        <v>44</v>
      </c>
      <c r="B20" s="49" t="s">
        <v>98</v>
      </c>
      <c r="C20" s="50">
        <f>C19+7</f>
        <v/>
      </c>
      <c r="D20" s="566" t="n"/>
      <c r="E20" s="566" t="n"/>
      <c r="F20" s="566">
        <f>(D20-D19)/D19</f>
        <v/>
      </c>
      <c r="G20" s="103">
        <f>(D20-E20)/E20</f>
        <v/>
      </c>
      <c r="H20" s="566">
        <f>L20*1.085</f>
        <v/>
      </c>
      <c r="I20" s="566">
        <f>M20*1.085</f>
        <v/>
      </c>
      <c r="J20" s="103">
        <f>(H20-H19)/H19</f>
        <v/>
      </c>
      <c r="K20" s="103">
        <f>(H20-I20)/I20</f>
        <v/>
      </c>
      <c r="L20" s="567" t="n"/>
      <c r="M20" s="567" t="n"/>
      <c r="N20" s="103">
        <f>(L20-L19)/L19</f>
        <v/>
      </c>
      <c r="O20" s="103">
        <f>(L20-M20)/M20</f>
        <v/>
      </c>
      <c r="P20" s="567">
        <f>D20/H20</f>
        <v/>
      </c>
      <c r="Q20" s="567">
        <f>E20/I20</f>
        <v/>
      </c>
      <c r="R20" s="103">
        <f>(P20-P19)/P19</f>
        <v/>
      </c>
      <c r="S20" s="103">
        <f>(P20-Q20)/Q20</f>
        <v/>
      </c>
      <c r="T20" s="567">
        <f>D20/L20</f>
        <v/>
      </c>
      <c r="U20" s="566">
        <f>E20/M20</f>
        <v/>
      </c>
      <c r="V20" s="103">
        <f>(T20-T19)/T19</f>
        <v/>
      </c>
      <c r="W20" s="103">
        <f>(T20-U20)/U20</f>
        <v/>
      </c>
      <c r="X20" s="568" t="n"/>
      <c r="Y20" s="568" t="n"/>
      <c r="Z20" s="103">
        <f>(X20-X19)/X19</f>
        <v/>
      </c>
      <c r="AA20" s="103">
        <f>(X20-Y20)/Y20</f>
        <v/>
      </c>
      <c r="AB20" s="568" t="n"/>
      <c r="AC20" s="568" t="n"/>
      <c r="AD20" s="568">
        <f>(AB20-AB19)/AB19</f>
        <v/>
      </c>
      <c r="AE20" s="103">
        <f>(AB20-AC20)/AC20</f>
        <v/>
      </c>
      <c r="AF20" s="103" t="n"/>
      <c r="AG20" s="103" t="n"/>
      <c r="AH20" s="103" t="n"/>
      <c r="AI20" s="103" t="n"/>
      <c r="AJ20" s="566">
        <f>D20/AB20</f>
        <v/>
      </c>
      <c r="AK20" s="568">
        <f>E20/AC20</f>
        <v/>
      </c>
      <c r="AL20" s="103">
        <f>(AJ20-AJ19)/AJ19</f>
        <v/>
      </c>
      <c r="AM20" s="103">
        <f>(AJ20-AK20)/AK20</f>
        <v/>
      </c>
      <c r="AN20" s="568" t="n"/>
      <c r="AO20" s="568" t="n"/>
      <c r="AP20" s="568">
        <f>(AN20-AN19)/AN19</f>
        <v/>
      </c>
      <c r="AQ20" s="103">
        <f>(AN20-AO20)/AO20</f>
        <v/>
      </c>
      <c r="AR20" s="568" t="n"/>
      <c r="AS20" s="568" t="n"/>
      <c r="AT20" s="568">
        <f>(AR20-AR19)/AR19</f>
        <v/>
      </c>
      <c r="AU20" s="103">
        <f>(AR20-AS20)/AS20</f>
        <v/>
      </c>
      <c r="AV20" s="103" t="n"/>
      <c r="AW20" s="103" t="n"/>
      <c r="AX20" s="103" t="n"/>
      <c r="AY20" s="103" t="n"/>
      <c r="AZ20" s="82">
        <f>AN20/AR20</f>
        <v/>
      </c>
      <c r="BA20" s="82">
        <f>AO20/AS20</f>
        <v/>
      </c>
      <c r="BB20" s="568">
        <f>(AZ20-AZ19)/AZ19</f>
        <v/>
      </c>
      <c r="BC20" s="103">
        <f>(AZ20-BA20)/BA20</f>
        <v/>
      </c>
    </row>
    <row customFormat="1" customHeight="1" ht="15.75" r="21" s="357" spans="1:57">
      <c r="A21" s="69" t="s">
        <v>44</v>
      </c>
      <c r="B21" s="69" t="s">
        <v>99</v>
      </c>
      <c r="C21" s="70">
        <f>C20+7</f>
        <v/>
      </c>
      <c r="D21" s="571" t="n"/>
      <c r="E21" s="571" t="n"/>
      <c r="F21" s="571">
        <f>(D21-D20)/D20</f>
        <v/>
      </c>
      <c r="G21" s="104">
        <f>(D21-E21)/E21</f>
        <v/>
      </c>
      <c r="H21" s="571">
        <f>L21*1.085</f>
        <v/>
      </c>
      <c r="I21" s="571">
        <f>M21*1.085</f>
        <v/>
      </c>
      <c r="J21" s="104">
        <f>(H21-H20)/H20</f>
        <v/>
      </c>
      <c r="K21" s="104">
        <f>(H21-I21)/I21</f>
        <v/>
      </c>
      <c r="L21" s="572" t="n"/>
      <c r="M21" s="572" t="n"/>
      <c r="N21" s="104">
        <f>(L21-L20)/L20</f>
        <v/>
      </c>
      <c r="O21" s="104">
        <f>(L21-M21)/M21</f>
        <v/>
      </c>
      <c r="P21" s="572">
        <f>D21/H21</f>
        <v/>
      </c>
      <c r="Q21" s="572">
        <f>E21/I21</f>
        <v/>
      </c>
      <c r="R21" s="104">
        <f>(P21-P20)/P20</f>
        <v/>
      </c>
      <c r="S21" s="104">
        <f>(P21-Q21)/Q21</f>
        <v/>
      </c>
      <c r="T21" s="572">
        <f>D21/L21</f>
        <v/>
      </c>
      <c r="U21" s="571">
        <f>E21/M21</f>
        <v/>
      </c>
      <c r="V21" s="104">
        <f>(T21-T20)/T20</f>
        <v/>
      </c>
      <c r="W21" s="104">
        <f>(T21-U21)/U21</f>
        <v/>
      </c>
      <c r="X21" s="573" t="n"/>
      <c r="Y21" s="573" t="n"/>
      <c r="Z21" s="104">
        <f>(X21-X20)/X20</f>
        <v/>
      </c>
      <c r="AA21" s="104">
        <f>(X21-Y21)/Y21</f>
        <v/>
      </c>
      <c r="AB21" s="573" t="n"/>
      <c r="AC21" s="573" t="n"/>
      <c r="AD21" s="573">
        <f>(AB21-AB20)/AB20</f>
        <v/>
      </c>
      <c r="AE21" s="104">
        <f>(AB21-AC21)/AC21</f>
        <v/>
      </c>
      <c r="AF21" s="104" t="n"/>
      <c r="AG21" s="104" t="n"/>
      <c r="AH21" s="104" t="n"/>
      <c r="AI21" s="104" t="n"/>
      <c r="AJ21" s="571">
        <f>D21/AB21</f>
        <v/>
      </c>
      <c r="AK21" s="573">
        <f>E21/AC21</f>
        <v/>
      </c>
      <c r="AL21" s="104">
        <f>(AJ21-AJ20)/AJ20</f>
        <v/>
      </c>
      <c r="AM21" s="104">
        <f>(AJ21-AK21)/AK21</f>
        <v/>
      </c>
      <c r="AN21" s="573" t="n"/>
      <c r="AO21" s="573" t="n"/>
      <c r="AP21" s="573">
        <f>(AN21-AN20)/AN20</f>
        <v/>
      </c>
      <c r="AQ21" s="104">
        <f>(AN21-AO21)/AO21</f>
        <v/>
      </c>
      <c r="AR21" s="573" t="n"/>
      <c r="AS21" s="573" t="n"/>
      <c r="AT21" s="573">
        <f>(AR21-AR20)/AR20</f>
        <v/>
      </c>
      <c r="AU21" s="104">
        <f>(AR21-AS21)/AS21</f>
        <v/>
      </c>
      <c r="AV21" s="104" t="n"/>
      <c r="AW21" s="104" t="n"/>
      <c r="AX21" s="104" t="n"/>
      <c r="AY21" s="104" t="n"/>
      <c r="AZ21" s="83">
        <f>AN21/AR21</f>
        <v/>
      </c>
      <c r="BA21" s="83">
        <f>AO21/AS21</f>
        <v/>
      </c>
      <c r="BB21" s="573">
        <f>(AZ21-AZ20)/AZ20</f>
        <v/>
      </c>
      <c r="BC21" s="104">
        <f>(AZ21-BA21)/BA21</f>
        <v/>
      </c>
    </row>
    <row customHeight="1" ht="15.75" r="22" s="452" spans="1:57">
      <c r="A22" s="49" t="s">
        <v>45</v>
      </c>
      <c r="B22" s="49" t="s">
        <v>101</v>
      </c>
      <c r="C22" s="50">
        <f>C21+7</f>
        <v/>
      </c>
      <c r="D22" s="566" t="n"/>
      <c r="E22" s="566" t="n"/>
      <c r="F22" s="566">
        <f>(D22-D21)/D21</f>
        <v/>
      </c>
      <c r="G22" s="103">
        <f>(D22-E22)/E22</f>
        <v/>
      </c>
      <c r="H22" s="566">
        <f>L22*1.085</f>
        <v/>
      </c>
      <c r="I22" s="566">
        <f>M22*1.085</f>
        <v/>
      </c>
      <c r="J22" s="103">
        <f>(H22-H21)/H21</f>
        <v/>
      </c>
      <c r="K22" s="103">
        <f>(H22-I22)/I22</f>
        <v/>
      </c>
      <c r="L22" s="567" t="n"/>
      <c r="M22" s="567" t="n"/>
      <c r="N22" s="103">
        <f>(L22-L21)/L21</f>
        <v/>
      </c>
      <c r="O22" s="103">
        <f>(L22-M22)/M22</f>
        <v/>
      </c>
      <c r="P22" s="567">
        <f>D22/H22</f>
        <v/>
      </c>
      <c r="Q22" s="567">
        <f>E22/I22</f>
        <v/>
      </c>
      <c r="R22" s="103">
        <f>(P22-P21)/P21</f>
        <v/>
      </c>
      <c r="S22" s="103">
        <f>(P22-Q22)/Q22</f>
        <v/>
      </c>
      <c r="T22" s="567">
        <f>D22/L22</f>
        <v/>
      </c>
      <c r="U22" s="566">
        <f>E22/M22</f>
        <v/>
      </c>
      <c r="V22" s="103">
        <f>(T22-T21)/T21</f>
        <v/>
      </c>
      <c r="W22" s="103">
        <f>(T22-U22)/U22</f>
        <v/>
      </c>
      <c r="X22" s="568" t="n"/>
      <c r="Y22" s="568" t="n"/>
      <c r="Z22" s="103">
        <f>(X22-X21)/X21</f>
        <v/>
      </c>
      <c r="AA22" s="103">
        <f>(X22-Y22)/Y22</f>
        <v/>
      </c>
      <c r="AB22" s="568" t="n"/>
      <c r="AC22" s="568" t="n"/>
      <c r="AD22" s="568">
        <f>(AB22-AB21)/AB21</f>
        <v/>
      </c>
      <c r="AE22" s="103">
        <f>(AB22-AC22)/AC22</f>
        <v/>
      </c>
      <c r="AF22" s="103" t="n"/>
      <c r="AG22" s="103" t="n"/>
      <c r="AH22" s="103" t="n"/>
      <c r="AI22" s="103" t="n"/>
      <c r="AJ22" s="566">
        <f>D22/AB22</f>
        <v/>
      </c>
      <c r="AK22" s="568">
        <f>E22/AC22</f>
        <v/>
      </c>
      <c r="AL22" s="103">
        <f>(AJ22-AJ21)/AJ21</f>
        <v/>
      </c>
      <c r="AM22" s="103">
        <f>(AJ22-AK22)/AK22</f>
        <v/>
      </c>
      <c r="AN22" s="568" t="n"/>
      <c r="AO22" s="568" t="n"/>
      <c r="AP22" s="568">
        <f>(AN22-AN21)/AN21</f>
        <v/>
      </c>
      <c r="AQ22" s="103">
        <f>(AN22-AO22)/AO22</f>
        <v/>
      </c>
      <c r="AR22" s="568" t="n"/>
      <c r="AS22" s="568" t="n"/>
      <c r="AT22" s="568">
        <f>(AR22-AR21)/AR21</f>
        <v/>
      </c>
      <c r="AU22" s="103">
        <f>(AR22-AS22)/AS22</f>
        <v/>
      </c>
      <c r="AV22" s="103" t="n"/>
      <c r="AW22" s="103" t="n"/>
      <c r="AX22" s="103" t="n"/>
      <c r="AY22" s="103" t="n"/>
      <c r="AZ22" s="82">
        <f>AN22/AR22</f>
        <v/>
      </c>
      <c r="BA22" s="82">
        <f>AO22/AS22</f>
        <v/>
      </c>
      <c r="BB22" s="568">
        <f>(AZ22-AZ21)/AZ21</f>
        <v/>
      </c>
      <c r="BC22" s="103">
        <f>(AZ22-BA22)/BA22</f>
        <v/>
      </c>
    </row>
    <row customHeight="1" ht="15.75" r="23" s="452" spans="1:57">
      <c r="A23" s="49" t="s">
        <v>45</v>
      </c>
      <c r="B23" s="49" t="s">
        <v>102</v>
      </c>
      <c r="C23" s="50">
        <f>C22+7</f>
        <v/>
      </c>
      <c r="D23" s="566" t="n"/>
      <c r="E23" s="566" t="n"/>
      <c r="F23" s="566">
        <f>(D23-D22)/D22</f>
        <v/>
      </c>
      <c r="G23" s="103">
        <f>(D23-E23)/E23</f>
        <v/>
      </c>
      <c r="H23" s="566">
        <f>L23*1.085</f>
        <v/>
      </c>
      <c r="I23" s="566">
        <f>M23*1.085</f>
        <v/>
      </c>
      <c r="J23" s="103">
        <f>(H23-H22)/H22</f>
        <v/>
      </c>
      <c r="K23" s="103">
        <f>(H23-I23)/I23</f>
        <v/>
      </c>
      <c r="L23" s="567" t="n"/>
      <c r="M23" s="567" t="n"/>
      <c r="N23" s="103">
        <f>(L23-L22)/L22</f>
        <v/>
      </c>
      <c r="O23" s="103">
        <f>(L23-M23)/M23</f>
        <v/>
      </c>
      <c r="P23" s="567">
        <f>D23/H23</f>
        <v/>
      </c>
      <c r="Q23" s="567">
        <f>E23/I23</f>
        <v/>
      </c>
      <c r="R23" s="103">
        <f>(P23-P22)/P22</f>
        <v/>
      </c>
      <c r="S23" s="103">
        <f>(P23-Q23)/Q23</f>
        <v/>
      </c>
      <c r="T23" s="567">
        <f>D23/L23</f>
        <v/>
      </c>
      <c r="U23" s="566">
        <f>E23/M23</f>
        <v/>
      </c>
      <c r="V23" s="103">
        <f>(T23-T22)/T22</f>
        <v/>
      </c>
      <c r="W23" s="103">
        <f>(T23-U23)/U23</f>
        <v/>
      </c>
      <c r="X23" s="568" t="n"/>
      <c r="Y23" s="568" t="n"/>
      <c r="Z23" s="103">
        <f>(X23-X22)/X22</f>
        <v/>
      </c>
      <c r="AA23" s="103">
        <f>(X23-Y23)/Y23</f>
        <v/>
      </c>
      <c r="AB23" s="568" t="n"/>
      <c r="AC23" s="568" t="n"/>
      <c r="AD23" s="568">
        <f>(AB23-AB22)/AB22</f>
        <v/>
      </c>
      <c r="AE23" s="103">
        <f>(AB23-AC23)/AC23</f>
        <v/>
      </c>
      <c r="AF23" s="103" t="n"/>
      <c r="AG23" s="103" t="n"/>
      <c r="AH23" s="103" t="n"/>
      <c r="AI23" s="103" t="n"/>
      <c r="AJ23" s="566">
        <f>D23/AB23</f>
        <v/>
      </c>
      <c r="AK23" s="568">
        <f>E23/AC23</f>
        <v/>
      </c>
      <c r="AL23" s="103">
        <f>(AJ23-AJ22)/AJ22</f>
        <v/>
      </c>
      <c r="AM23" s="103">
        <f>(AJ23-AK23)/AK23</f>
        <v/>
      </c>
      <c r="AN23" s="568" t="n"/>
      <c r="AO23" s="568" t="n"/>
      <c r="AP23" s="568">
        <f>(AN23-AN22)/AN22</f>
        <v/>
      </c>
      <c r="AQ23" s="103">
        <f>(AN23-AO23)/AO23</f>
        <v/>
      </c>
      <c r="AR23" s="568" t="n"/>
      <c r="AS23" s="568" t="n"/>
      <c r="AT23" s="568">
        <f>(AR23-AR22)/AR22</f>
        <v/>
      </c>
      <c r="AU23" s="103">
        <f>(AR23-AS23)/AS23</f>
        <v/>
      </c>
      <c r="AV23" s="103" t="n"/>
      <c r="AW23" s="103" t="n"/>
      <c r="AX23" s="103" t="n"/>
      <c r="AY23" s="103" t="n"/>
      <c r="AZ23" s="82">
        <f>AN23/AR23</f>
        <v/>
      </c>
      <c r="BA23" s="82">
        <f>AO23/AS23</f>
        <v/>
      </c>
      <c r="BB23" s="568">
        <f>(AZ23-AZ22)/AZ22</f>
        <v/>
      </c>
      <c r="BC23" s="103">
        <f>(AZ23-BA23)/BA23</f>
        <v/>
      </c>
    </row>
    <row customHeight="1" ht="15.75" r="24" s="452" spans="1:57">
      <c r="A24" s="49" t="s">
        <v>45</v>
      </c>
      <c r="B24" s="49" t="s">
        <v>103</v>
      </c>
      <c r="C24" s="50">
        <f>C23+7</f>
        <v/>
      </c>
      <c r="D24" s="566" t="n"/>
      <c r="E24" s="566" t="n"/>
      <c r="F24" s="566">
        <f>(D24-D23)/D23</f>
        <v/>
      </c>
      <c r="G24" s="103">
        <f>(D24-E24)/E24</f>
        <v/>
      </c>
      <c r="H24" s="566">
        <f>L24*1.085</f>
        <v/>
      </c>
      <c r="I24" s="566">
        <f>M24*1.085</f>
        <v/>
      </c>
      <c r="J24" s="103">
        <f>(H24-H23)/H23</f>
        <v/>
      </c>
      <c r="K24" s="103">
        <f>(H24-I24)/I24</f>
        <v/>
      </c>
      <c r="L24" s="567" t="n"/>
      <c r="M24" s="567" t="n"/>
      <c r="N24" s="103">
        <f>(L24-L23)/L23</f>
        <v/>
      </c>
      <c r="O24" s="103">
        <f>(L24-M24)/M24</f>
        <v/>
      </c>
      <c r="P24" s="567">
        <f>D24/H24</f>
        <v/>
      </c>
      <c r="Q24" s="567">
        <f>E24/I24</f>
        <v/>
      </c>
      <c r="R24" s="103">
        <f>(P24-P23)/P23</f>
        <v/>
      </c>
      <c r="S24" s="103">
        <f>(P24-Q24)/Q24</f>
        <v/>
      </c>
      <c r="T24" s="567">
        <f>D24/L24</f>
        <v/>
      </c>
      <c r="U24" s="566">
        <f>E24/M24</f>
        <v/>
      </c>
      <c r="V24" s="103">
        <f>(T24-T23)/T23</f>
        <v/>
      </c>
      <c r="W24" s="103">
        <f>(T24-U24)/U24</f>
        <v/>
      </c>
      <c r="X24" s="568" t="n"/>
      <c r="Y24" s="568" t="n"/>
      <c r="Z24" s="103">
        <f>(X24-X23)/X23</f>
        <v/>
      </c>
      <c r="AA24" s="103">
        <f>(X24-Y24)/Y24</f>
        <v/>
      </c>
      <c r="AB24" s="568" t="n"/>
      <c r="AC24" s="568" t="n"/>
      <c r="AD24" s="568">
        <f>(AB24-AB23)/AB23</f>
        <v/>
      </c>
      <c r="AE24" s="103">
        <f>(AB24-AC24)/AC24</f>
        <v/>
      </c>
      <c r="AF24" s="103" t="n"/>
      <c r="AG24" s="103" t="n"/>
      <c r="AH24" s="103" t="n"/>
      <c r="AI24" s="103" t="n"/>
      <c r="AJ24" s="566">
        <f>D24/AB24</f>
        <v/>
      </c>
      <c r="AK24" s="568">
        <f>E24/AC24</f>
        <v/>
      </c>
      <c r="AL24" s="103">
        <f>(AJ24-AJ23)/AJ23</f>
        <v/>
      </c>
      <c r="AM24" s="103">
        <f>(AJ24-AK24)/AK24</f>
        <v/>
      </c>
      <c r="AN24" s="568" t="n"/>
      <c r="AO24" s="568" t="n"/>
      <c r="AP24" s="568">
        <f>(AN24-AN23)/AN23</f>
        <v/>
      </c>
      <c r="AQ24" s="103">
        <f>(AN24-AO24)/AO24</f>
        <v/>
      </c>
      <c r="AR24" s="568" t="n"/>
      <c r="AS24" s="568" t="n"/>
      <c r="AT24" s="568">
        <f>(AR24-AR23)/AR23</f>
        <v/>
      </c>
      <c r="AU24" s="103">
        <f>(AR24-AS24)/AS24</f>
        <v/>
      </c>
      <c r="AV24" s="103" t="n"/>
      <c r="AW24" s="103" t="n"/>
      <c r="AX24" s="103" t="n"/>
      <c r="AY24" s="103" t="n"/>
      <c r="AZ24" s="82">
        <f>AN24/AR24</f>
        <v/>
      </c>
      <c r="BA24" s="82">
        <f>AO24/AS24</f>
        <v/>
      </c>
      <c r="BB24" s="568">
        <f>(AZ24-AZ23)/AZ23</f>
        <v/>
      </c>
      <c r="BC24" s="103">
        <f>(AZ24-BA24)/BA24</f>
        <v/>
      </c>
    </row>
    <row customFormat="1" customHeight="1" ht="15.75" r="25" s="357" spans="1:57">
      <c r="A25" s="69" t="s">
        <v>45</v>
      </c>
      <c r="B25" s="69" t="s">
        <v>104</v>
      </c>
      <c r="C25" s="70">
        <f>C24+7</f>
        <v/>
      </c>
      <c r="D25" s="571" t="n"/>
      <c r="E25" s="571" t="n"/>
      <c r="F25" s="571">
        <f>(D25-D24)/D24</f>
        <v/>
      </c>
      <c r="G25" s="104">
        <f>(D25-E25)/E25</f>
        <v/>
      </c>
      <c r="H25" s="571">
        <f>L25*1.085</f>
        <v/>
      </c>
      <c r="I25" s="571">
        <f>M25*1.085</f>
        <v/>
      </c>
      <c r="J25" s="104">
        <f>(H25-H24)/H24</f>
        <v/>
      </c>
      <c r="K25" s="104">
        <f>(H25-I25)/I25</f>
        <v/>
      </c>
      <c r="L25" s="572" t="n"/>
      <c r="M25" s="572" t="n"/>
      <c r="N25" s="104">
        <f>(L25-L24)/L24</f>
        <v/>
      </c>
      <c r="O25" s="104">
        <f>(L25-M25)/M25</f>
        <v/>
      </c>
      <c r="P25" s="572">
        <f>D25/H25</f>
        <v/>
      </c>
      <c r="Q25" s="572">
        <f>E25/I25</f>
        <v/>
      </c>
      <c r="R25" s="104">
        <f>(P25-P24)/P24</f>
        <v/>
      </c>
      <c r="S25" s="104">
        <f>(P25-Q25)/Q25</f>
        <v/>
      </c>
      <c r="T25" s="572">
        <f>D25/L25</f>
        <v/>
      </c>
      <c r="U25" s="571">
        <f>E25/M25</f>
        <v/>
      </c>
      <c r="V25" s="104">
        <f>(T25-T24)/T24</f>
        <v/>
      </c>
      <c r="W25" s="104">
        <f>(T25-U25)/U25</f>
        <v/>
      </c>
      <c r="X25" s="573" t="n"/>
      <c r="Y25" s="573" t="n"/>
      <c r="Z25" s="104">
        <f>(X25-X24)/X24</f>
        <v/>
      </c>
      <c r="AA25" s="104">
        <f>(X25-Y25)/Y25</f>
        <v/>
      </c>
      <c r="AB25" s="573" t="n"/>
      <c r="AC25" s="573" t="n"/>
      <c r="AD25" s="573">
        <f>(AB25-AB24)/AB24</f>
        <v/>
      </c>
      <c r="AE25" s="104">
        <f>(AB25-AC25)/AC25</f>
        <v/>
      </c>
      <c r="AF25" s="104" t="n"/>
      <c r="AG25" s="104" t="n"/>
      <c r="AH25" s="104" t="n"/>
      <c r="AI25" s="104" t="n"/>
      <c r="AJ25" s="571">
        <f>D25/AB25</f>
        <v/>
      </c>
      <c r="AK25" s="573">
        <f>E25/AC25</f>
        <v/>
      </c>
      <c r="AL25" s="104">
        <f>(AJ25-AJ24)/AJ24</f>
        <v/>
      </c>
      <c r="AM25" s="104">
        <f>(AJ25-AK25)/AK25</f>
        <v/>
      </c>
      <c r="AN25" s="573" t="n"/>
      <c r="AO25" s="573" t="n"/>
      <c r="AP25" s="573">
        <f>(AN25-AN24)/AN24</f>
        <v/>
      </c>
      <c r="AQ25" s="104">
        <f>(AN25-AO25)/AO25</f>
        <v/>
      </c>
      <c r="AR25" s="573" t="n"/>
      <c r="AS25" s="573" t="n"/>
      <c r="AT25" s="573">
        <f>(AR25-AR24)/AR24</f>
        <v/>
      </c>
      <c r="AU25" s="104">
        <f>(AR25-AS25)/AS25</f>
        <v/>
      </c>
      <c r="AV25" s="104" t="n"/>
      <c r="AW25" s="104" t="n"/>
      <c r="AX25" s="104" t="n"/>
      <c r="AY25" s="104" t="n"/>
      <c r="AZ25" s="83">
        <f>AN25/AR25</f>
        <v/>
      </c>
      <c r="BA25" s="83">
        <f>AO25/AS25</f>
        <v/>
      </c>
      <c r="BB25" s="573">
        <f>(AZ25-AZ24)/AZ24</f>
        <v/>
      </c>
      <c r="BC25" s="104">
        <f>(AZ25-BA25)/BA25</f>
        <v/>
      </c>
    </row>
    <row customHeight="1" ht="15.75" r="26" s="452" spans="1:57">
      <c r="A26" s="49" t="s">
        <v>46</v>
      </c>
      <c r="B26" s="49" t="s">
        <v>106</v>
      </c>
      <c r="C26" s="50">
        <f>C25+7</f>
        <v/>
      </c>
      <c r="D26" s="566" t="n"/>
      <c r="E26" s="566" t="n"/>
      <c r="F26" s="566">
        <f>(D26-D25)/D25</f>
        <v/>
      </c>
      <c r="G26" s="103">
        <f>(D26-E26)/E26</f>
        <v/>
      </c>
      <c r="H26" s="566">
        <f>L26*1.085</f>
        <v/>
      </c>
      <c r="I26" s="566">
        <f>M26*1.085</f>
        <v/>
      </c>
      <c r="J26" s="103">
        <f>(H26-H25)/H25</f>
        <v/>
      </c>
      <c r="K26" s="103">
        <f>(H26-I26)/I26</f>
        <v/>
      </c>
      <c r="L26" s="567" t="n"/>
      <c r="M26" s="567" t="n"/>
      <c r="N26" s="103">
        <f>(L26-L25)/L25</f>
        <v/>
      </c>
      <c r="O26" s="103">
        <f>(L26-M26)/M26</f>
        <v/>
      </c>
      <c r="P26" s="567">
        <f>D26/H26</f>
        <v/>
      </c>
      <c r="Q26" s="567">
        <f>E26/I26</f>
        <v/>
      </c>
      <c r="R26" s="103">
        <f>(P26-P25)/P25</f>
        <v/>
      </c>
      <c r="S26" s="103">
        <f>(P26-Q26)/Q26</f>
        <v/>
      </c>
      <c r="T26" s="567">
        <f>D26/L26</f>
        <v/>
      </c>
      <c r="U26" s="566">
        <f>E26/M26</f>
        <v/>
      </c>
      <c r="V26" s="103">
        <f>(T26-T25)/T25</f>
        <v/>
      </c>
      <c r="W26" s="103">
        <f>(T26-U26)/U26</f>
        <v/>
      </c>
      <c r="X26" s="568" t="n"/>
      <c r="Y26" s="568" t="n"/>
      <c r="Z26" s="103">
        <f>(X26-X25)/X25</f>
        <v/>
      </c>
      <c r="AA26" s="103">
        <f>(X26-Y26)/Y26</f>
        <v/>
      </c>
      <c r="AB26" s="568" t="n"/>
      <c r="AC26" s="568" t="n"/>
      <c r="AD26" s="568">
        <f>(AB26-AB25)/AB25</f>
        <v/>
      </c>
      <c r="AE26" s="103">
        <f>(AB26-AC26)/AC26</f>
        <v/>
      </c>
      <c r="AF26" s="103" t="n"/>
      <c r="AG26" s="103" t="n"/>
      <c r="AH26" s="103" t="n"/>
      <c r="AI26" s="103" t="n"/>
      <c r="AJ26" s="566">
        <f>D26/AB26</f>
        <v/>
      </c>
      <c r="AK26" s="568">
        <f>E26/AC26</f>
        <v/>
      </c>
      <c r="AL26" s="103">
        <f>(AJ26-AJ25)/AJ25</f>
        <v/>
      </c>
      <c r="AM26" s="103">
        <f>(AJ26-AK26)/AK26</f>
        <v/>
      </c>
      <c r="AN26" s="568" t="n"/>
      <c r="AO26" s="568" t="n"/>
      <c r="AP26" s="568">
        <f>(AN26-AN25)/AN25</f>
        <v/>
      </c>
      <c r="AQ26" s="103">
        <f>(AN26-AO26)/AO26</f>
        <v/>
      </c>
      <c r="AR26" s="568" t="n"/>
      <c r="AS26" s="568" t="n"/>
      <c r="AT26" s="568">
        <f>(AR26-AR25)/AR25</f>
        <v/>
      </c>
      <c r="AU26" s="104">
        <f>(AR26-AS26)/AS26</f>
        <v/>
      </c>
      <c r="AV26" s="103" t="n"/>
      <c r="AW26" s="103" t="n"/>
      <c r="AX26" s="103" t="n"/>
      <c r="AY26" s="103" t="n"/>
      <c r="AZ26" s="82">
        <f>AN26/AR26</f>
        <v/>
      </c>
      <c r="BA26" s="82">
        <f>AO26/AS26</f>
        <v/>
      </c>
      <c r="BB26" s="568">
        <f>(AZ26-AZ25)/AZ25</f>
        <v/>
      </c>
      <c r="BC26" s="103">
        <f>(AZ26-BA26)/BA26</f>
        <v/>
      </c>
    </row>
    <row customHeight="1" ht="15.75" r="27" s="452" spans="1:57">
      <c r="A27" s="49" t="s">
        <v>46</v>
      </c>
      <c r="B27" s="49" t="s">
        <v>108</v>
      </c>
      <c r="C27" s="50">
        <f>C26+7</f>
        <v/>
      </c>
      <c r="D27" s="566" t="n"/>
      <c r="E27" s="566" t="n"/>
      <c r="F27" s="566">
        <f>(D27-D26)/D26</f>
        <v/>
      </c>
      <c r="G27" s="103">
        <f>(D27-E27)/E27</f>
        <v/>
      </c>
      <c r="H27" s="566">
        <f>L27*1.085</f>
        <v/>
      </c>
      <c r="I27" s="566">
        <f>M27*1.085</f>
        <v/>
      </c>
      <c r="J27" s="103">
        <f>(H27-H26)/H26</f>
        <v/>
      </c>
      <c r="K27" s="103">
        <f>(H27-I27)/I27</f>
        <v/>
      </c>
      <c r="L27" s="567" t="n"/>
      <c r="M27" s="567" t="n"/>
      <c r="N27" s="103">
        <f>(L27-L26)/L26</f>
        <v/>
      </c>
      <c r="O27" s="103">
        <f>(L27-M27)/M27</f>
        <v/>
      </c>
      <c r="P27" s="567">
        <f>D27/H27</f>
        <v/>
      </c>
      <c r="Q27" s="567">
        <f>E27/I27</f>
        <v/>
      </c>
      <c r="R27" s="103">
        <f>(P27-P26)/P26</f>
        <v/>
      </c>
      <c r="S27" s="103">
        <f>(P27-Q27)/Q27</f>
        <v/>
      </c>
      <c r="T27" s="567">
        <f>D27/L27</f>
        <v/>
      </c>
      <c r="U27" s="566">
        <f>E27/M27</f>
        <v/>
      </c>
      <c r="V27" s="103">
        <f>(T27-T26)/T26</f>
        <v/>
      </c>
      <c r="W27" s="103">
        <f>(T27-U27)/U27</f>
        <v/>
      </c>
      <c r="X27" s="568" t="n"/>
      <c r="Y27" s="568" t="n"/>
      <c r="Z27" s="103">
        <f>(X27-X26)/X26</f>
        <v/>
      </c>
      <c r="AA27" s="103">
        <f>(X27-Y27)/Y27</f>
        <v/>
      </c>
      <c r="AB27" s="568" t="n"/>
      <c r="AC27" s="568" t="n"/>
      <c r="AD27" s="568">
        <f>(AB27-AB26)/AB26</f>
        <v/>
      </c>
      <c r="AE27" s="103">
        <f>(AB27-AC27)/AC27</f>
        <v/>
      </c>
      <c r="AF27" s="103" t="n"/>
      <c r="AG27" s="103" t="n"/>
      <c r="AH27" s="103" t="n"/>
      <c r="AI27" s="103" t="n"/>
      <c r="AJ27" s="566">
        <f>D27/AB27</f>
        <v/>
      </c>
      <c r="AK27" s="568">
        <f>E27/AC27</f>
        <v/>
      </c>
      <c r="AL27" s="103">
        <f>(AJ27-AJ26)/AJ26</f>
        <v/>
      </c>
      <c r="AM27" s="103">
        <f>(AJ27-AK27)/AK27</f>
        <v/>
      </c>
      <c r="AN27" s="568" t="n"/>
      <c r="AO27" s="568" t="n"/>
      <c r="AP27" s="568">
        <f>(AN27-AN26)/AN26</f>
        <v/>
      </c>
      <c r="AQ27" s="103">
        <f>(AN27-AO27)/AO27</f>
        <v/>
      </c>
      <c r="AR27" s="568" t="n"/>
      <c r="AS27" s="568" t="n"/>
      <c r="AT27" s="568">
        <f>(AR27-AR26)/AR26</f>
        <v/>
      </c>
      <c r="AU27" s="103">
        <f>(AR27-AS27)/AS27</f>
        <v/>
      </c>
      <c r="AV27" s="103" t="n"/>
      <c r="AW27" s="103" t="n"/>
      <c r="AX27" s="103" t="n"/>
      <c r="AY27" s="103" t="n"/>
      <c r="AZ27" s="82">
        <f>AN27/AR27</f>
        <v/>
      </c>
      <c r="BA27" s="82">
        <f>AO27/AS27</f>
        <v/>
      </c>
      <c r="BB27" s="568">
        <f>(AZ27-AZ26)/AZ26</f>
        <v/>
      </c>
      <c r="BC27" s="103">
        <f>(AZ27-BA27)/BA27</f>
        <v/>
      </c>
    </row>
    <row customHeight="1" ht="15.75" r="28" s="452" spans="1:57">
      <c r="A28" s="49" t="s">
        <v>46</v>
      </c>
      <c r="B28" s="49" t="s">
        <v>109</v>
      </c>
      <c r="C28" s="50">
        <f>C27+7</f>
        <v/>
      </c>
      <c r="D28" s="566" t="n"/>
      <c r="E28" s="566" t="n"/>
      <c r="F28" s="566">
        <f>(D28-D27)/D27</f>
        <v/>
      </c>
      <c r="G28" s="103">
        <f>(D28-E28)/E28</f>
        <v/>
      </c>
      <c r="H28" s="566">
        <f>L28*1.085</f>
        <v/>
      </c>
      <c r="I28" s="566">
        <f>M28*1.085</f>
        <v/>
      </c>
      <c r="J28" s="103">
        <f>(H28-H27)/H27</f>
        <v/>
      </c>
      <c r="K28" s="103">
        <f>(H28-I28)/I28</f>
        <v/>
      </c>
      <c r="L28" s="567" t="n"/>
      <c r="M28" s="567" t="n"/>
      <c r="N28" s="103">
        <f>(L28-L27)/L27</f>
        <v/>
      </c>
      <c r="O28" s="103">
        <f>(L28-M28)/M28</f>
        <v/>
      </c>
      <c r="P28" s="567">
        <f>D28/H28</f>
        <v/>
      </c>
      <c r="Q28" s="567">
        <f>E28/I28</f>
        <v/>
      </c>
      <c r="R28" s="103">
        <f>(P28-P27)/P27</f>
        <v/>
      </c>
      <c r="S28" s="103">
        <f>(P28-Q28)/Q28</f>
        <v/>
      </c>
      <c r="T28" s="567">
        <f>D28/L28</f>
        <v/>
      </c>
      <c r="U28" s="566">
        <f>E28/M28</f>
        <v/>
      </c>
      <c r="V28" s="103">
        <f>(T28-T27)/T27</f>
        <v/>
      </c>
      <c r="W28" s="103">
        <f>(T28-U28)/U28</f>
        <v/>
      </c>
      <c r="X28" s="568" t="n"/>
      <c r="Y28" s="568" t="n"/>
      <c r="Z28" s="103">
        <f>(X28-X27)/X27</f>
        <v/>
      </c>
      <c r="AA28" s="103">
        <f>(X28-Y28)/Y28</f>
        <v/>
      </c>
      <c r="AB28" s="568" t="n"/>
      <c r="AC28" s="568" t="n"/>
      <c r="AD28" s="568">
        <f>(AB28-AB27)/AB27</f>
        <v/>
      </c>
      <c r="AE28" s="103">
        <f>(AB28-AC28)/AC28</f>
        <v/>
      </c>
      <c r="AF28" s="103" t="n"/>
      <c r="AG28" s="103" t="n"/>
      <c r="AH28" s="103" t="n"/>
      <c r="AI28" s="103" t="n"/>
      <c r="AJ28" s="566">
        <f>D28/AB28</f>
        <v/>
      </c>
      <c r="AK28" s="568">
        <f>E28/AC28</f>
        <v/>
      </c>
      <c r="AL28" s="103">
        <f>(AJ28-AJ27)/AJ27</f>
        <v/>
      </c>
      <c r="AM28" s="103">
        <f>(AJ28-AK28)/AK28</f>
        <v/>
      </c>
      <c r="AN28" s="568" t="n"/>
      <c r="AO28" s="568" t="n"/>
      <c r="AP28" s="568">
        <f>(AN28-AN27)/AN27</f>
        <v/>
      </c>
      <c r="AQ28" s="103">
        <f>(AN28-AO28)/AO28</f>
        <v/>
      </c>
      <c r="AR28" s="568" t="n"/>
      <c r="AS28" s="568" t="n"/>
      <c r="AT28" s="568">
        <f>(AR28-AR27)/AR27</f>
        <v/>
      </c>
      <c r="AU28" s="103">
        <f>(AR28-AS28)/AS28</f>
        <v/>
      </c>
      <c r="AV28" s="103" t="n"/>
      <c r="AW28" s="103" t="n"/>
      <c r="AX28" s="103" t="n"/>
      <c r="AY28" s="103" t="n"/>
      <c r="AZ28" s="82">
        <f>AN28/AR28</f>
        <v/>
      </c>
      <c r="BA28" s="82">
        <f>AO28/AS28</f>
        <v/>
      </c>
      <c r="BB28" s="568">
        <f>(AZ28-AZ27)/AZ27</f>
        <v/>
      </c>
      <c r="BC28" s="103">
        <f>(AZ28-BA28)/BA28</f>
        <v/>
      </c>
    </row>
    <row customFormat="1" customHeight="1" ht="15.75" r="29" s="357" spans="1:57">
      <c r="A29" s="69" t="s">
        <v>46</v>
      </c>
      <c r="B29" s="69" t="s">
        <v>110</v>
      </c>
      <c r="C29" s="70">
        <f>C28+7</f>
        <v/>
      </c>
      <c r="D29" s="571" t="n"/>
      <c r="E29" s="571" t="n"/>
      <c r="F29" s="571">
        <f>(D29-D28)/D28</f>
        <v/>
      </c>
      <c r="G29" s="104">
        <f>(D29-E29)/E29</f>
        <v/>
      </c>
      <c r="H29" s="571">
        <f>L29*1.085</f>
        <v/>
      </c>
      <c r="I29" s="571">
        <f>M29*1.085</f>
        <v/>
      </c>
      <c r="J29" s="104">
        <f>(H29-H28)/H28</f>
        <v/>
      </c>
      <c r="K29" s="104">
        <f>(H29-I29)/I29</f>
        <v/>
      </c>
      <c r="L29" s="572" t="n"/>
      <c r="M29" s="572" t="n"/>
      <c r="N29" s="104">
        <f>(L29-L28)/L28</f>
        <v/>
      </c>
      <c r="O29" s="104">
        <f>(L29-M29)/M29</f>
        <v/>
      </c>
      <c r="P29" s="572">
        <f>D29/H29</f>
        <v/>
      </c>
      <c r="Q29" s="572">
        <f>E29/I29</f>
        <v/>
      </c>
      <c r="R29" s="104">
        <f>(P29-P28)/P28</f>
        <v/>
      </c>
      <c r="S29" s="104">
        <f>(P29-Q29)/Q29</f>
        <v/>
      </c>
      <c r="T29" s="572">
        <f>D29/L29</f>
        <v/>
      </c>
      <c r="U29" s="571">
        <f>E29/M29</f>
        <v/>
      </c>
      <c r="V29" s="104">
        <f>(T29-T28)/T28</f>
        <v/>
      </c>
      <c r="W29" s="104">
        <f>(T29-U29)/U29</f>
        <v/>
      </c>
      <c r="X29" s="573" t="n"/>
      <c r="Y29" s="573" t="n"/>
      <c r="Z29" s="104">
        <f>(X29-X28)/X28</f>
        <v/>
      </c>
      <c r="AA29" s="104">
        <f>(X29-Y29)/Y29</f>
        <v/>
      </c>
      <c r="AB29" s="573" t="n"/>
      <c r="AC29" s="573" t="n"/>
      <c r="AD29" s="573">
        <f>(AB29-AB28)/AB28</f>
        <v/>
      </c>
      <c r="AE29" s="104">
        <f>(AB29-AC29)/AC29</f>
        <v/>
      </c>
      <c r="AF29" s="104" t="n"/>
      <c r="AG29" s="104" t="n"/>
      <c r="AH29" s="104" t="n"/>
      <c r="AI29" s="104" t="n"/>
      <c r="AJ29" s="571">
        <f>D29/AB29</f>
        <v/>
      </c>
      <c r="AK29" s="573">
        <f>E29/AC29</f>
        <v/>
      </c>
      <c r="AL29" s="104">
        <f>(AJ29-AJ28)/AJ28</f>
        <v/>
      </c>
      <c r="AM29" s="104">
        <f>(AJ29-AK29)/AK29</f>
        <v/>
      </c>
      <c r="AN29" s="573" t="n"/>
      <c r="AO29" s="573" t="n"/>
      <c r="AP29" s="573">
        <f>(AN29-AN28)/AN28</f>
        <v/>
      </c>
      <c r="AQ29" s="104">
        <f>(AN29-AO29)/AO29</f>
        <v/>
      </c>
      <c r="AR29" s="573" t="n"/>
      <c r="AS29" s="573" t="n"/>
      <c r="AT29" s="573">
        <f>(AR29-AR28)/AR28</f>
        <v/>
      </c>
      <c r="AU29" s="104">
        <f>(AR29-AS29)/AS29</f>
        <v/>
      </c>
      <c r="AV29" s="104" t="n"/>
      <c r="AW29" s="104" t="n"/>
      <c r="AX29" s="104" t="n"/>
      <c r="AY29" s="104" t="n"/>
      <c r="AZ29" s="83">
        <f>AN29/AR29</f>
        <v/>
      </c>
      <c r="BA29" s="83">
        <f>AO29/AS29</f>
        <v/>
      </c>
      <c r="BB29" s="573">
        <f>(AZ29-AZ28)/AZ28</f>
        <v/>
      </c>
      <c r="BC29" s="104">
        <f>(AZ29-BA29)/BA29</f>
        <v/>
      </c>
    </row>
    <row customHeight="1" ht="15.75" r="30" s="452" spans="1:57">
      <c r="A30" s="49" t="s">
        <v>47</v>
      </c>
      <c r="B30" s="49" t="s">
        <v>111</v>
      </c>
      <c r="C30" s="50">
        <f>C29+7</f>
        <v/>
      </c>
      <c r="D30" s="566" t="n"/>
      <c r="E30" s="566" t="n"/>
      <c r="F30" s="566">
        <f>(D30-D29)/D29</f>
        <v/>
      </c>
      <c r="G30" s="103">
        <f>(D30-E30)/E30</f>
        <v/>
      </c>
      <c r="H30" s="566">
        <f>L30*1.085</f>
        <v/>
      </c>
      <c r="I30" s="566">
        <f>M30*1.085</f>
        <v/>
      </c>
      <c r="J30" s="103">
        <f>(H30-H29)/H29</f>
        <v/>
      </c>
      <c r="K30" s="103">
        <f>(H30-I30)/I30</f>
        <v/>
      </c>
      <c r="L30" s="567" t="n"/>
      <c r="M30" s="567" t="n"/>
      <c r="N30" s="103">
        <f>(L30-L29)/L29</f>
        <v/>
      </c>
      <c r="O30" s="103">
        <f>(L30-M30)/M30</f>
        <v/>
      </c>
      <c r="P30" s="567">
        <f>D30/H30</f>
        <v/>
      </c>
      <c r="Q30" s="567">
        <f>E30/I30</f>
        <v/>
      </c>
      <c r="R30" s="103">
        <f>(P30-P29)/P29</f>
        <v/>
      </c>
      <c r="S30" s="103">
        <f>(P30-Q30)/Q30</f>
        <v/>
      </c>
      <c r="T30" s="567">
        <f>D30/L30</f>
        <v/>
      </c>
      <c r="U30" s="566">
        <f>E30/M30</f>
        <v/>
      </c>
      <c r="V30" s="103">
        <f>(T30-T29)/T29</f>
        <v/>
      </c>
      <c r="W30" s="103">
        <f>(T30-U30)/U30</f>
        <v/>
      </c>
      <c r="X30" s="568" t="n"/>
      <c r="Y30" s="568" t="n"/>
      <c r="Z30" s="103">
        <f>(X30-X29)/X29</f>
        <v/>
      </c>
      <c r="AA30" s="103">
        <f>(X30-Y30)/Y30</f>
        <v/>
      </c>
      <c r="AB30" s="568" t="n"/>
      <c r="AC30" s="568" t="n"/>
      <c r="AD30" s="568">
        <f>(AB30-AB29)/AB29</f>
        <v/>
      </c>
      <c r="AE30" s="103">
        <f>(AB30-AC30)/AC30</f>
        <v/>
      </c>
      <c r="AF30" s="103" t="n"/>
      <c r="AG30" s="103" t="n"/>
      <c r="AH30" s="103" t="n"/>
      <c r="AI30" s="103" t="n"/>
      <c r="AJ30" s="566">
        <f>D30/AB30</f>
        <v/>
      </c>
      <c r="AK30" s="568">
        <f>E30/AC30</f>
        <v/>
      </c>
      <c r="AL30" s="103">
        <f>(AJ30-AJ29)/AJ29</f>
        <v/>
      </c>
      <c r="AM30" s="103">
        <f>(AJ30-AK30)/AK30</f>
        <v/>
      </c>
      <c r="AN30" s="568" t="n"/>
      <c r="AO30" s="568" t="n"/>
      <c r="AP30" s="568">
        <f>(AN30-AN29)/AN29</f>
        <v/>
      </c>
      <c r="AQ30" s="103">
        <f>(AN30-AO30)/AO30</f>
        <v/>
      </c>
      <c r="AR30" s="568" t="n"/>
      <c r="AS30" s="568" t="n"/>
      <c r="AT30" s="568">
        <f>(AR30-AR29)/AR29</f>
        <v/>
      </c>
      <c r="AU30" s="103">
        <f>(AR30-AS30)/AS30</f>
        <v/>
      </c>
      <c r="AV30" s="103" t="n"/>
      <c r="AW30" s="103" t="n"/>
      <c r="AX30" s="103" t="n"/>
      <c r="AY30" s="103" t="n"/>
      <c r="AZ30" s="82">
        <f>AN30/AR30</f>
        <v/>
      </c>
      <c r="BA30" s="82">
        <f>AO30/AS30</f>
        <v/>
      </c>
      <c r="BB30" s="568">
        <f>(AZ30-AZ29)/AZ29</f>
        <v/>
      </c>
      <c r="BC30" s="103">
        <f>(AZ30-BA30)/BA30</f>
        <v/>
      </c>
    </row>
    <row customHeight="1" ht="15.75" r="31" s="452" spans="1:57">
      <c r="A31" s="49" t="s">
        <v>47</v>
      </c>
      <c r="B31" s="49" t="s">
        <v>112</v>
      </c>
      <c r="C31" s="50">
        <f>C30+7</f>
        <v/>
      </c>
      <c r="D31" s="566" t="n"/>
      <c r="E31" s="566" t="n"/>
      <c r="F31" s="566">
        <f>(D31-D30)/D30</f>
        <v/>
      </c>
      <c r="G31" s="103">
        <f>(D31-E31)/E31</f>
        <v/>
      </c>
      <c r="H31" s="566">
        <f>L31*1.085</f>
        <v/>
      </c>
      <c r="I31" s="566">
        <f>M31*1.085</f>
        <v/>
      </c>
      <c r="J31" s="103">
        <f>(H31-H30)/H30</f>
        <v/>
      </c>
      <c r="K31" s="103">
        <f>(H31-I31)/I31</f>
        <v/>
      </c>
      <c r="L31" s="567" t="n"/>
      <c r="M31" s="567" t="n"/>
      <c r="N31" s="103">
        <f>(L31-L30)/L30</f>
        <v/>
      </c>
      <c r="O31" s="103">
        <f>(L31-M31)/M31</f>
        <v/>
      </c>
      <c r="P31" s="567">
        <f>D31/H31</f>
        <v/>
      </c>
      <c r="Q31" s="567">
        <f>E31/I31</f>
        <v/>
      </c>
      <c r="R31" s="103">
        <f>(P31-P30)/P30</f>
        <v/>
      </c>
      <c r="S31" s="103">
        <f>(P31-Q31)/Q31</f>
        <v/>
      </c>
      <c r="T31" s="567">
        <f>D31/L31</f>
        <v/>
      </c>
      <c r="U31" s="566">
        <f>E31/M31</f>
        <v/>
      </c>
      <c r="V31" s="103">
        <f>(T31-T30)/T30</f>
        <v/>
      </c>
      <c r="W31" s="103">
        <f>(T31-U31)/U31</f>
        <v/>
      </c>
      <c r="X31" s="568" t="n"/>
      <c r="Y31" s="568" t="n"/>
      <c r="Z31" s="103">
        <f>(X31-X30)/X30</f>
        <v/>
      </c>
      <c r="AA31" s="103">
        <f>(X31-Y31)/Y31</f>
        <v/>
      </c>
      <c r="AB31" s="568" t="n"/>
      <c r="AC31" s="568" t="n"/>
      <c r="AD31" s="568">
        <f>(AB31-AB30)/AB30</f>
        <v/>
      </c>
      <c r="AE31" s="103">
        <f>(AB31-AC31)/AC31</f>
        <v/>
      </c>
      <c r="AF31" s="103" t="n"/>
      <c r="AG31" s="103" t="n"/>
      <c r="AH31" s="103" t="n"/>
      <c r="AI31" s="103" t="n"/>
      <c r="AJ31" s="566">
        <f>D31/AB31</f>
        <v/>
      </c>
      <c r="AK31" s="568">
        <f>E31/AC31</f>
        <v/>
      </c>
      <c r="AL31" s="103">
        <f>(AJ31-AJ30)/AJ30</f>
        <v/>
      </c>
      <c r="AM31" s="103">
        <f>(AJ31-AK31)/AK31</f>
        <v/>
      </c>
      <c r="AN31" s="568" t="n"/>
      <c r="AO31" s="568" t="n"/>
      <c r="AP31" s="568">
        <f>(AN31-AN30)/AN30</f>
        <v/>
      </c>
      <c r="AQ31" s="103">
        <f>(AN31-AO31)/AO31</f>
        <v/>
      </c>
      <c r="AR31" s="568" t="n"/>
      <c r="AS31" s="568" t="n"/>
      <c r="AT31" s="568">
        <f>(AR31-AR30)/AR30</f>
        <v/>
      </c>
      <c r="AU31" s="103">
        <f>(AR31-AS31)/AS31</f>
        <v/>
      </c>
      <c r="AV31" s="103" t="n"/>
      <c r="AW31" s="103" t="n"/>
      <c r="AX31" s="103" t="n"/>
      <c r="AY31" s="103" t="n"/>
      <c r="AZ31" s="82">
        <f>AN31/AR31</f>
        <v/>
      </c>
      <c r="BA31" s="82">
        <f>AO31/AS31</f>
        <v/>
      </c>
      <c r="BB31" s="568">
        <f>(AZ31-AZ30)/AZ30</f>
        <v/>
      </c>
      <c r="BC31" s="103">
        <f>(AZ31-BA31)/BA31</f>
        <v/>
      </c>
    </row>
    <row customHeight="1" ht="15.75" r="32" s="452" spans="1:57">
      <c r="A32" s="49" t="s">
        <v>47</v>
      </c>
      <c r="B32" s="49" t="s">
        <v>114</v>
      </c>
      <c r="C32" s="50">
        <f>C31+7</f>
        <v/>
      </c>
      <c r="D32" s="566" t="n"/>
      <c r="E32" s="566" t="n"/>
      <c r="F32" s="566">
        <f>(D32-D31)/D31</f>
        <v/>
      </c>
      <c r="G32" s="103">
        <f>(D32-E32)/E32</f>
        <v/>
      </c>
      <c r="H32" s="566">
        <f>L32*1.085</f>
        <v/>
      </c>
      <c r="I32" s="566">
        <f>M32*1.085</f>
        <v/>
      </c>
      <c r="J32" s="103">
        <f>(H32-H31)/H31</f>
        <v/>
      </c>
      <c r="K32" s="103">
        <f>(H32-I32)/I32</f>
        <v/>
      </c>
      <c r="L32" s="567" t="n"/>
      <c r="M32" s="567" t="n"/>
      <c r="N32" s="103">
        <f>(L32-L31)/L31</f>
        <v/>
      </c>
      <c r="O32" s="103">
        <f>(L32-M32)/M32</f>
        <v/>
      </c>
      <c r="P32" s="567">
        <f>D32/H32</f>
        <v/>
      </c>
      <c r="Q32" s="567">
        <f>E32/I32</f>
        <v/>
      </c>
      <c r="R32" s="103">
        <f>(P32-P31)/P31</f>
        <v/>
      </c>
      <c r="S32" s="103">
        <f>(P32-Q32)/Q32</f>
        <v/>
      </c>
      <c r="T32" s="567">
        <f>D32/L32</f>
        <v/>
      </c>
      <c r="U32" s="566">
        <f>E32/M32</f>
        <v/>
      </c>
      <c r="V32" s="103">
        <f>(T32-T31)/T31</f>
        <v/>
      </c>
      <c r="W32" s="103">
        <f>(T32-U32)/U32</f>
        <v/>
      </c>
      <c r="X32" s="568" t="n"/>
      <c r="Y32" s="568" t="n"/>
      <c r="Z32" s="103">
        <f>(X32-X31)/X31</f>
        <v/>
      </c>
      <c r="AA32" s="103">
        <f>(X32-Y32)/Y32</f>
        <v/>
      </c>
      <c r="AB32" s="568" t="n"/>
      <c r="AC32" s="568" t="n"/>
      <c r="AD32" s="568">
        <f>(AB32-AB31)/AB31</f>
        <v/>
      </c>
      <c r="AE32" s="103">
        <f>(AB32-AC32)/AC32</f>
        <v/>
      </c>
      <c r="AF32" s="103" t="n"/>
      <c r="AG32" s="103" t="n"/>
      <c r="AH32" s="103" t="n"/>
      <c r="AI32" s="103" t="n"/>
      <c r="AJ32" s="566">
        <f>D32/AB32</f>
        <v/>
      </c>
      <c r="AK32" s="568">
        <f>E32/AC32</f>
        <v/>
      </c>
      <c r="AL32" s="103">
        <f>(AJ32-AJ31)/AJ31</f>
        <v/>
      </c>
      <c r="AM32" s="103">
        <f>(AJ32-AK32)/AK32</f>
        <v/>
      </c>
      <c r="AN32" s="568" t="n"/>
      <c r="AO32" s="568" t="n"/>
      <c r="AP32" s="568">
        <f>(AN32-AN31)/AN31</f>
        <v/>
      </c>
      <c r="AQ32" s="103">
        <f>(AN32-AO32)/AO32</f>
        <v/>
      </c>
      <c r="AR32" s="568" t="n"/>
      <c r="AS32" s="568" t="n"/>
      <c r="AT32" s="568">
        <f>(AR32-AR31)/AR31</f>
        <v/>
      </c>
      <c r="AU32" s="103">
        <f>(AR32-AS32)/AS32</f>
        <v/>
      </c>
      <c r="AV32" s="103" t="n"/>
      <c r="AW32" s="103" t="n"/>
      <c r="AX32" s="103" t="n"/>
      <c r="AY32" s="103" t="n"/>
      <c r="AZ32" s="82">
        <f>AN32/AR32</f>
        <v/>
      </c>
      <c r="BA32" s="82">
        <f>AO32/AS32</f>
        <v/>
      </c>
      <c r="BB32" s="568">
        <f>(AZ32-AZ31)/AZ31</f>
        <v/>
      </c>
      <c r="BC32" s="103">
        <f>(AZ32-BA32)/BA32</f>
        <v/>
      </c>
    </row>
    <row customFormat="1" customHeight="1" ht="15.75" r="33" s="357" spans="1:57">
      <c r="A33" s="69" t="s">
        <v>47</v>
      </c>
      <c r="B33" s="69" t="s">
        <v>116</v>
      </c>
      <c r="C33" s="70">
        <f>C32+7</f>
        <v/>
      </c>
      <c r="D33" s="571" t="n"/>
      <c r="E33" s="571" t="n"/>
      <c r="F33" s="571">
        <f>(D33-D32)/D32</f>
        <v/>
      </c>
      <c r="G33" s="104">
        <f>(D33-E33)/E33</f>
        <v/>
      </c>
      <c r="H33" s="571">
        <f>L33*1.085</f>
        <v/>
      </c>
      <c r="I33" s="571">
        <f>M33*1.085</f>
        <v/>
      </c>
      <c r="J33" s="104">
        <f>(H33-H32)/H32</f>
        <v/>
      </c>
      <c r="K33" s="104">
        <f>(H33-I33)/I33</f>
        <v/>
      </c>
      <c r="L33" s="572" t="n"/>
      <c r="M33" s="572" t="n"/>
      <c r="N33" s="104">
        <f>(L33-L32)/L32</f>
        <v/>
      </c>
      <c r="O33" s="104">
        <f>(L33-M33)/M33</f>
        <v/>
      </c>
      <c r="P33" s="572">
        <f>D33/H33</f>
        <v/>
      </c>
      <c r="Q33" s="572">
        <f>E33/I33</f>
        <v/>
      </c>
      <c r="R33" s="104">
        <f>(P33-P32)/P32</f>
        <v/>
      </c>
      <c r="S33" s="104">
        <f>(P33-Q33)/Q33</f>
        <v/>
      </c>
      <c r="T33" s="572">
        <f>D33/L33</f>
        <v/>
      </c>
      <c r="U33" s="571">
        <f>E33/M33</f>
        <v/>
      </c>
      <c r="V33" s="104">
        <f>(T33-T32)/T32</f>
        <v/>
      </c>
      <c r="W33" s="104">
        <f>(T33-U33)/U33</f>
        <v/>
      </c>
      <c r="X33" s="573" t="n"/>
      <c r="Y33" s="573" t="n"/>
      <c r="Z33" s="104">
        <f>(X33-X32)/X32</f>
        <v/>
      </c>
      <c r="AA33" s="104">
        <f>(X33-Y33)/Y33</f>
        <v/>
      </c>
      <c r="AB33" s="573" t="n"/>
      <c r="AC33" s="573" t="n"/>
      <c r="AD33" s="571">
        <f>(AB33-AB32)/AB32</f>
        <v/>
      </c>
      <c r="AE33" s="104">
        <f>(AB33-AC33)/AC33</f>
        <v/>
      </c>
      <c r="AF33" s="104" t="n"/>
      <c r="AG33" s="104" t="n"/>
      <c r="AH33" s="104" t="n"/>
      <c r="AI33" s="104" t="n"/>
      <c r="AJ33" s="571">
        <f>D33/AB33</f>
        <v/>
      </c>
      <c r="AK33" s="573">
        <f>E33/AC33</f>
        <v/>
      </c>
      <c r="AL33" s="104">
        <f>(AJ33-AJ32)/AJ32</f>
        <v/>
      </c>
      <c r="AM33" s="104">
        <f>(AJ33-AK33)/AK33</f>
        <v/>
      </c>
      <c r="AN33" s="573" t="n"/>
      <c r="AO33" s="573" t="n"/>
      <c r="AP33" s="571">
        <f>(AN33-AN32)/AN32</f>
        <v/>
      </c>
      <c r="AQ33" s="104">
        <f>(AN33-AO33)/AO33</f>
        <v/>
      </c>
      <c r="AR33" s="573" t="n"/>
      <c r="AS33" s="573" t="n"/>
      <c r="AT33" s="571">
        <f>(AR33-AR32)/AR32</f>
        <v/>
      </c>
      <c r="AU33" s="104">
        <f>(AR33-AS33)/AS33</f>
        <v/>
      </c>
      <c r="AV33" s="104" t="n"/>
      <c r="AW33" s="104" t="n"/>
      <c r="AX33" s="104" t="n"/>
      <c r="AY33" s="104" t="n"/>
      <c r="AZ33" s="83">
        <f>AN33/AR33</f>
        <v/>
      </c>
      <c r="BA33" s="83">
        <f>AO33/AS33</f>
        <v/>
      </c>
      <c r="BB33" s="571">
        <f>(AZ33-AZ32)/AZ32</f>
        <v/>
      </c>
      <c r="BC33" s="104">
        <f>(AZ33-BA33)/BA33</f>
        <v/>
      </c>
    </row>
    <row customHeight="1" ht="15.75" r="34" s="452" spans="1:57">
      <c r="A34" s="49" t="s">
        <v>48</v>
      </c>
      <c r="B34" s="49" t="s">
        <v>117</v>
      </c>
      <c r="C34" s="50">
        <f>C33+7</f>
        <v/>
      </c>
      <c r="D34" s="566" t="n"/>
      <c r="E34" s="566" t="n"/>
      <c r="F34" s="52">
        <f>(D34-D33)/D33</f>
        <v/>
      </c>
      <c r="G34" s="103">
        <f>(D34-E34)/E34</f>
        <v/>
      </c>
      <c r="H34" s="566">
        <f>L34*1.085</f>
        <v/>
      </c>
      <c r="I34" s="566">
        <f>M34*1.085</f>
        <v/>
      </c>
      <c r="J34" s="103">
        <f>(H34-H33)/H33</f>
        <v/>
      </c>
      <c r="K34" s="103">
        <f>(H34-I34)/I34</f>
        <v/>
      </c>
      <c r="L34" s="567" t="n"/>
      <c r="M34" s="567" t="n"/>
      <c r="N34" s="103">
        <f>(L34-L33)/L33</f>
        <v/>
      </c>
      <c r="O34" s="103">
        <f>(L34-M34)/M34</f>
        <v/>
      </c>
      <c r="P34" s="567">
        <f>D34/H34</f>
        <v/>
      </c>
      <c r="Q34" s="567">
        <f>E34/I34</f>
        <v/>
      </c>
      <c r="R34" s="103">
        <f>(P34-P33)/P33</f>
        <v/>
      </c>
      <c r="S34" s="103">
        <f>(P34-Q34)/Q34</f>
        <v/>
      </c>
      <c r="T34" s="567">
        <f>D34/L34</f>
        <v/>
      </c>
      <c r="U34" s="566">
        <f>E34/M34</f>
        <v/>
      </c>
      <c r="V34" s="103">
        <f>(T34-T33)/T33</f>
        <v/>
      </c>
      <c r="W34" s="103">
        <f>(T34-U34)/U34</f>
        <v/>
      </c>
      <c r="X34" s="568" t="n"/>
      <c r="Y34" s="568" t="n"/>
      <c r="Z34" s="103">
        <f>(X34-X33)/X33</f>
        <v/>
      </c>
      <c r="AA34" s="103">
        <f>(X34-Y34)/Y34</f>
        <v/>
      </c>
      <c r="AB34" s="568" t="n"/>
      <c r="AC34" s="568" t="n"/>
      <c r="AD34" s="52">
        <f>(AB34-AB33)/AB33</f>
        <v/>
      </c>
      <c r="AE34" s="103">
        <f>(AB34-AC34)/AC34</f>
        <v/>
      </c>
      <c r="AF34" s="103" t="n"/>
      <c r="AG34" s="103" t="n"/>
      <c r="AH34" s="103" t="n"/>
      <c r="AI34" s="103" t="n"/>
      <c r="AJ34" s="566">
        <f>D34/AB34</f>
        <v/>
      </c>
      <c r="AK34" s="568">
        <f>E34/AC34</f>
        <v/>
      </c>
      <c r="AL34" s="103">
        <f>(AJ34-AJ33)/AJ33</f>
        <v/>
      </c>
      <c r="AM34" s="104">
        <f>(AJ34-AK34)/AK34</f>
        <v/>
      </c>
      <c r="AN34" s="568" t="n"/>
      <c r="AO34" s="568" t="n"/>
      <c r="AP34" s="52">
        <f>(AN34-AN33)/AN33</f>
        <v/>
      </c>
      <c r="AQ34" s="103">
        <f>(AN34-AO34)/AO34</f>
        <v/>
      </c>
      <c r="AR34" s="568" t="n"/>
      <c r="AS34" s="568" t="n"/>
      <c r="AT34" s="52">
        <f>(AR34-AR33)/AR33</f>
        <v/>
      </c>
      <c r="AU34" s="103">
        <f>(AR34-AS34)/AS34</f>
        <v/>
      </c>
      <c r="AV34" s="103" t="n"/>
      <c r="AW34" s="103" t="n"/>
      <c r="AX34" s="103" t="n"/>
      <c r="AY34" s="103" t="n"/>
      <c r="AZ34" s="82">
        <f>AN34/AR34</f>
        <v/>
      </c>
      <c r="BA34" s="82">
        <f>AO34/AS34</f>
        <v/>
      </c>
      <c r="BB34" s="52">
        <f>(AZ34-AZ33)/AZ33</f>
        <v/>
      </c>
      <c r="BC34" s="103">
        <f>(AZ34-BA34)/BA34</f>
        <v/>
      </c>
    </row>
    <row customHeight="1" ht="15.75" r="35" s="452" spans="1:57">
      <c r="A35" s="49" t="s">
        <v>48</v>
      </c>
      <c r="B35" s="49" t="s">
        <v>118</v>
      </c>
      <c r="C35" s="50">
        <f>C34+7</f>
        <v/>
      </c>
      <c r="D35" s="566" t="n"/>
      <c r="E35" s="566" t="n"/>
      <c r="F35" s="52">
        <f>(D35-D34)/D34</f>
        <v/>
      </c>
      <c r="G35" s="103">
        <f>(D35-E35)/E35</f>
        <v/>
      </c>
      <c r="H35" s="566">
        <f>L35*1.085</f>
        <v/>
      </c>
      <c r="I35" s="566">
        <f>M35*1.085</f>
        <v/>
      </c>
      <c r="J35" s="103">
        <f>(H35-H34)/H34</f>
        <v/>
      </c>
      <c r="K35" s="103">
        <f>(H35-I35)/I35</f>
        <v/>
      </c>
      <c r="L35" s="567" t="n"/>
      <c r="M35" s="567" t="n"/>
      <c r="N35" s="103">
        <f>(L35-L34)/L34</f>
        <v/>
      </c>
      <c r="O35" s="103">
        <f>(L35-M35)/M35</f>
        <v/>
      </c>
      <c r="P35" s="567">
        <f>D35/H35</f>
        <v/>
      </c>
      <c r="Q35" s="567">
        <f>E35/I35</f>
        <v/>
      </c>
      <c r="R35" s="103">
        <f>(P35-P34)/P34</f>
        <v/>
      </c>
      <c r="S35" s="103">
        <f>(P35-Q35)/Q35</f>
        <v/>
      </c>
      <c r="T35" s="567">
        <f>D35/L35</f>
        <v/>
      </c>
      <c r="U35" s="566">
        <f>E35/M35</f>
        <v/>
      </c>
      <c r="V35" s="103">
        <f>(T35-T34)/T34</f>
        <v/>
      </c>
      <c r="W35" s="103">
        <f>(T35-U35)/U35</f>
        <v/>
      </c>
      <c r="X35" s="568" t="n"/>
      <c r="Y35" s="568" t="n"/>
      <c r="Z35" s="103">
        <f>(X35-X34)/X34</f>
        <v/>
      </c>
      <c r="AA35" s="103">
        <f>(X35-Y35)/Y35</f>
        <v/>
      </c>
      <c r="AB35" s="568" t="n"/>
      <c r="AC35" s="568" t="n"/>
      <c r="AD35" s="52">
        <f>(AB35-AB34)/AB34</f>
        <v/>
      </c>
      <c r="AE35" s="103">
        <f>(AB35-AC35)/AC35</f>
        <v/>
      </c>
      <c r="AF35" s="103" t="n"/>
      <c r="AG35" s="103" t="n"/>
      <c r="AH35" s="103" t="n"/>
      <c r="AI35" s="103" t="n"/>
      <c r="AJ35" s="566">
        <f>D35/AB35</f>
        <v/>
      </c>
      <c r="AK35" s="568">
        <f>E35/AC35</f>
        <v/>
      </c>
      <c r="AL35" s="103">
        <f>(AJ35-AJ34)/AJ34</f>
        <v/>
      </c>
      <c r="AM35" s="103">
        <f>(AJ35-AK35)/AK35</f>
        <v/>
      </c>
      <c r="AN35" s="568" t="n"/>
      <c r="AO35" s="568" t="n"/>
      <c r="AP35" s="52">
        <f>(AN35-AN34)/AN34</f>
        <v/>
      </c>
      <c r="AQ35" s="103">
        <f>(AN35-AO35)/AO35</f>
        <v/>
      </c>
      <c r="AR35" s="568" t="n"/>
      <c r="AS35" s="568" t="n"/>
      <c r="AT35" s="52">
        <f>(AR35-AR34)/AR34</f>
        <v/>
      </c>
      <c r="AU35" s="103">
        <f>(AR35-AS35)/AS35</f>
        <v/>
      </c>
      <c r="AV35" s="103" t="n"/>
      <c r="AW35" s="103" t="n"/>
      <c r="AX35" s="103" t="n"/>
      <c r="AY35" s="103" t="n"/>
      <c r="AZ35" s="82">
        <f>AN35/AR35</f>
        <v/>
      </c>
      <c r="BA35" s="82">
        <f>AO35/AS35</f>
        <v/>
      </c>
      <c r="BB35" s="52">
        <f>(AZ35-AZ34)/AZ34</f>
        <v/>
      </c>
      <c r="BC35" s="103">
        <f>(AZ35-BA35)/BA35</f>
        <v/>
      </c>
    </row>
    <row customHeight="1" ht="15.75" r="36" s="452" spans="1:57">
      <c r="A36" s="49" t="s">
        <v>48</v>
      </c>
      <c r="B36" s="49" t="s">
        <v>119</v>
      </c>
      <c r="C36" s="50">
        <f>C35+7</f>
        <v/>
      </c>
      <c r="D36" s="566" t="n"/>
      <c r="E36" s="566" t="n"/>
      <c r="F36" s="52">
        <f>(D36-D35)/D35</f>
        <v/>
      </c>
      <c r="G36" s="103">
        <f>(D36-E36)/E36</f>
        <v/>
      </c>
      <c r="H36" s="566">
        <f>L36*1.085</f>
        <v/>
      </c>
      <c r="I36" s="566">
        <f>M36*1.085</f>
        <v/>
      </c>
      <c r="J36" s="103">
        <f>(H36-H35)/H35</f>
        <v/>
      </c>
      <c r="K36" s="103">
        <f>(H36-I36)/I36</f>
        <v/>
      </c>
      <c r="L36" s="567" t="n"/>
      <c r="M36" s="567" t="n"/>
      <c r="N36" s="103">
        <f>(L36-L35)/L35</f>
        <v/>
      </c>
      <c r="O36" s="103">
        <f>(L36-M36)/M36</f>
        <v/>
      </c>
      <c r="P36" s="567">
        <f>D36/H36</f>
        <v/>
      </c>
      <c r="Q36" s="567">
        <f>E36/I36</f>
        <v/>
      </c>
      <c r="R36" s="103">
        <f>(P36-P35)/P35</f>
        <v/>
      </c>
      <c r="S36" s="103">
        <f>(P36-Q36)/Q36</f>
        <v/>
      </c>
      <c r="T36" s="567">
        <f>D36/L36</f>
        <v/>
      </c>
      <c r="U36" s="566">
        <f>E36/M36</f>
        <v/>
      </c>
      <c r="V36" s="103">
        <f>(T36-T35)/T35</f>
        <v/>
      </c>
      <c r="W36" s="103">
        <f>(T36-U36)/U36</f>
        <v/>
      </c>
      <c r="X36" s="568" t="n"/>
      <c r="Y36" s="568" t="n"/>
      <c r="Z36" s="103">
        <f>(X36-X35)/X35</f>
        <v/>
      </c>
      <c r="AA36" s="103">
        <f>(X36-Y36)/Y36</f>
        <v/>
      </c>
      <c r="AB36" s="568" t="n"/>
      <c r="AC36" s="568" t="n"/>
      <c r="AD36" s="52">
        <f>(AB36-AB35)/AB35</f>
        <v/>
      </c>
      <c r="AE36" s="103">
        <f>(AB36-AC36)/AC36</f>
        <v/>
      </c>
      <c r="AF36" s="103" t="n"/>
      <c r="AG36" s="103" t="n"/>
      <c r="AH36" s="103" t="n"/>
      <c r="AI36" s="103" t="n"/>
      <c r="AJ36" s="566">
        <f>D36/AB36</f>
        <v/>
      </c>
      <c r="AK36" s="568">
        <f>E36/AC36</f>
        <v/>
      </c>
      <c r="AL36" s="103">
        <f>(AJ36-AJ35)/AJ35</f>
        <v/>
      </c>
      <c r="AM36" s="103">
        <f>(AJ36-AK36)/AK36</f>
        <v/>
      </c>
      <c r="AN36" s="568" t="n"/>
      <c r="AO36" s="568" t="n"/>
      <c r="AP36" s="52">
        <f>(AN36-AN35)/AN35</f>
        <v/>
      </c>
      <c r="AQ36" s="103">
        <f>(AN36-AO36)/AO36</f>
        <v/>
      </c>
      <c r="AR36" s="568" t="n"/>
      <c r="AS36" s="568" t="n"/>
      <c r="AT36" s="52">
        <f>(AR36-AR35)/AR35</f>
        <v/>
      </c>
      <c r="AU36" s="103">
        <f>(AR36-AS36)/AS36</f>
        <v/>
      </c>
      <c r="AV36" s="103" t="n"/>
      <c r="AW36" s="103" t="n"/>
      <c r="AX36" s="103" t="n"/>
      <c r="AY36" s="103" t="n"/>
      <c r="AZ36" s="82">
        <f>AN36/AR36</f>
        <v/>
      </c>
      <c r="BA36" s="82">
        <f>AO36/AS36</f>
        <v/>
      </c>
      <c r="BB36" s="52">
        <f>(AZ36-AZ35)/AZ35</f>
        <v/>
      </c>
      <c r="BC36" s="103">
        <f>(AZ36-BA36)/BA36</f>
        <v/>
      </c>
    </row>
    <row customFormat="1" customHeight="1" ht="15.75" r="37" s="357" spans="1:57">
      <c r="A37" s="69" t="s">
        <v>48</v>
      </c>
      <c r="B37" s="69" t="s">
        <v>120</v>
      </c>
      <c r="C37" s="70">
        <f>C36+7</f>
        <v/>
      </c>
      <c r="D37" s="571" t="n"/>
      <c r="E37" s="571" t="n"/>
      <c r="F37" s="73">
        <f>(D37-D36)/D36</f>
        <v/>
      </c>
      <c r="G37" s="104">
        <f>(D37-E37)/E37</f>
        <v/>
      </c>
      <c r="H37" s="571">
        <f>L37*1.085</f>
        <v/>
      </c>
      <c r="I37" s="571">
        <f>M37*1.085</f>
        <v/>
      </c>
      <c r="J37" s="104">
        <f>(H37-H36)/H36</f>
        <v/>
      </c>
      <c r="K37" s="104">
        <f>(H37-I37)/I37</f>
        <v/>
      </c>
      <c r="L37" s="572" t="n"/>
      <c r="M37" s="572" t="n"/>
      <c r="N37" s="104">
        <f>(L37-L36)/L36</f>
        <v/>
      </c>
      <c r="O37" s="104">
        <f>(L37-M37)/M37</f>
        <v/>
      </c>
      <c r="P37" s="572">
        <f>D37/H37</f>
        <v/>
      </c>
      <c r="Q37" s="572">
        <f>E37/I37</f>
        <v/>
      </c>
      <c r="R37" s="104">
        <f>(P37-P36)/P36</f>
        <v/>
      </c>
      <c r="S37" s="104">
        <f>(P37-Q37)/Q37</f>
        <v/>
      </c>
      <c r="T37" s="572">
        <f>D37/L37</f>
        <v/>
      </c>
      <c r="U37" s="571">
        <f>E37/M37</f>
        <v/>
      </c>
      <c r="V37" s="104">
        <f>(T37-T36)/T36</f>
        <v/>
      </c>
      <c r="W37" s="104">
        <f>(T37-U37)/U37</f>
        <v/>
      </c>
      <c r="X37" s="573" t="n"/>
      <c r="Y37" s="573" t="n"/>
      <c r="Z37" s="104">
        <f>(X37-X36)/X36</f>
        <v/>
      </c>
      <c r="AA37" s="104">
        <f>(X37-Y37)/Y37</f>
        <v/>
      </c>
      <c r="AB37" s="573" t="n"/>
      <c r="AC37" s="573" t="n"/>
      <c r="AD37" s="73">
        <f>(AB37-AB36)/AB36</f>
        <v/>
      </c>
      <c r="AE37" s="104">
        <f>(AB37-AC37)/AC37</f>
        <v/>
      </c>
      <c r="AF37" s="104" t="n"/>
      <c r="AG37" s="104" t="n"/>
      <c r="AH37" s="104" t="n"/>
      <c r="AI37" s="104" t="n"/>
      <c r="AJ37" s="571">
        <f>D37/AB37</f>
        <v/>
      </c>
      <c r="AK37" s="573">
        <f>E37/AC37</f>
        <v/>
      </c>
      <c r="AL37" s="104">
        <f>(AJ37-AJ36)/AJ36</f>
        <v/>
      </c>
      <c r="AM37" s="104">
        <f>(AJ37-AK37)/AK37</f>
        <v/>
      </c>
      <c r="AN37" s="573" t="n"/>
      <c r="AO37" s="573" t="n"/>
      <c r="AP37" s="73">
        <f>(AN37-AN36)/AN36</f>
        <v/>
      </c>
      <c r="AQ37" s="104">
        <f>(AN37-AO37)/AO37</f>
        <v/>
      </c>
      <c r="AR37" s="573" t="n"/>
      <c r="AS37" s="573" t="n"/>
      <c r="AT37" s="73">
        <f>(AR37-AR36)/AR36</f>
        <v/>
      </c>
      <c r="AU37" s="104">
        <f>(AR37-AS37)/AS37</f>
        <v/>
      </c>
      <c r="AV37" s="104" t="n"/>
      <c r="AW37" s="104" t="n"/>
      <c r="AX37" s="104" t="n"/>
      <c r="AY37" s="104" t="n"/>
      <c r="AZ37" s="83">
        <f>AN37/AR37</f>
        <v/>
      </c>
      <c r="BA37" s="83">
        <f>AO37/AS37</f>
        <v/>
      </c>
      <c r="BB37" s="73">
        <f>(AZ37-AZ36)/AZ36</f>
        <v/>
      </c>
      <c r="BC37" s="104">
        <f>(AZ37-BA37)/BA37</f>
        <v/>
      </c>
    </row>
    <row customHeight="1" ht="15.75" r="38" s="452" spans="1:57">
      <c r="A38" s="49" t="s">
        <v>49</v>
      </c>
      <c r="B38" s="49" t="s">
        <v>121</v>
      </c>
      <c r="C38" s="50">
        <f>C37+7</f>
        <v/>
      </c>
      <c r="D38" s="566" t="n"/>
      <c r="E38" s="566" t="n"/>
      <c r="F38" s="52">
        <f>(D38-D37)/D37</f>
        <v/>
      </c>
      <c r="G38" s="103">
        <f>(D38-E38)/E38</f>
        <v/>
      </c>
      <c r="H38" s="566">
        <f>L38*1.085</f>
        <v/>
      </c>
      <c r="I38" s="566">
        <f>M38*1.085</f>
        <v/>
      </c>
      <c r="J38" s="103">
        <f>(H38-H37)/H37</f>
        <v/>
      </c>
      <c r="K38" s="103">
        <f>(H38-I38)/I38</f>
        <v/>
      </c>
      <c r="L38" s="567" t="n"/>
      <c r="M38" s="567" t="n"/>
      <c r="N38" s="103">
        <f>(L38-L37)/L37</f>
        <v/>
      </c>
      <c r="O38" s="103">
        <f>(L38-M38)/M38</f>
        <v/>
      </c>
      <c r="P38" s="567">
        <f>D38/H38</f>
        <v/>
      </c>
      <c r="Q38" s="567">
        <f>E38/I38</f>
        <v/>
      </c>
      <c r="R38" s="103">
        <f>(P38-P37)/P37</f>
        <v/>
      </c>
      <c r="S38" s="103">
        <f>(P38-Q38)/Q38</f>
        <v/>
      </c>
      <c r="T38" s="567">
        <f>D38/L38</f>
        <v/>
      </c>
      <c r="U38" s="566">
        <f>E38/M38</f>
        <v/>
      </c>
      <c r="V38" s="103">
        <f>(T38-T37)/T37</f>
        <v/>
      </c>
      <c r="W38" s="103">
        <f>(T38-U38)/U38</f>
        <v/>
      </c>
      <c r="X38" s="568" t="n"/>
      <c r="Y38" s="568" t="n"/>
      <c r="Z38" s="103">
        <f>(X38-X37)/X37</f>
        <v/>
      </c>
      <c r="AA38" s="103">
        <f>(X38-Y38)/Y38</f>
        <v/>
      </c>
      <c r="AB38" s="568" t="n"/>
      <c r="AC38" s="568" t="n"/>
      <c r="AD38" s="52">
        <f>(AB38-AB37)/AB37</f>
        <v/>
      </c>
      <c r="AE38" s="103">
        <f>(AB38-AC38)/AC38</f>
        <v/>
      </c>
      <c r="AF38" s="103" t="n"/>
      <c r="AG38" s="103" t="n"/>
      <c r="AH38" s="103" t="n"/>
      <c r="AI38" s="103" t="n"/>
      <c r="AJ38" s="566">
        <f>D38/AB38</f>
        <v/>
      </c>
      <c r="AK38" s="568">
        <f>E38/AC38</f>
        <v/>
      </c>
      <c r="AL38" s="103">
        <f>(AJ38-AJ37)/AJ37</f>
        <v/>
      </c>
      <c r="AM38" s="103">
        <f>(AJ38-AK38)/AK38</f>
        <v/>
      </c>
      <c r="AN38" s="568" t="n"/>
      <c r="AO38" s="568" t="n"/>
      <c r="AP38" s="52">
        <f>(AN38-AN37)/AN37</f>
        <v/>
      </c>
      <c r="AQ38" s="103">
        <f>(AN38-AO38)/AO38</f>
        <v/>
      </c>
      <c r="AR38" s="568" t="n"/>
      <c r="AS38" s="568" t="n"/>
      <c r="AT38" s="52">
        <f>(AR38-AR37)/AR37</f>
        <v/>
      </c>
      <c r="AU38" s="103">
        <f>(AR38-AS38)/AS38</f>
        <v/>
      </c>
      <c r="AV38" s="103" t="n"/>
      <c r="AW38" s="103" t="n"/>
      <c r="AX38" s="103" t="n"/>
      <c r="AY38" s="103" t="n"/>
      <c r="AZ38" s="82">
        <f>AN38/AR38</f>
        <v/>
      </c>
      <c r="BA38" s="82">
        <f>AO38/AS38</f>
        <v/>
      </c>
      <c r="BB38" s="52">
        <f>(AZ38-AZ37)/AZ37</f>
        <v/>
      </c>
      <c r="BC38" s="103">
        <f>(AZ38-BA38)/BA38</f>
        <v/>
      </c>
    </row>
    <row customHeight="1" ht="15.75" r="39" s="452" spans="1:57">
      <c r="A39" s="49" t="s">
        <v>49</v>
      </c>
      <c r="B39" s="49" t="s">
        <v>122</v>
      </c>
      <c r="C39" s="50">
        <f>C38+7</f>
        <v/>
      </c>
      <c r="D39" s="566" t="n"/>
      <c r="E39" s="566" t="n"/>
      <c r="F39" s="52">
        <f>(D39-D38)/D38</f>
        <v/>
      </c>
      <c r="G39" s="103">
        <f>(D39-E39)/E39</f>
        <v/>
      </c>
      <c r="H39" s="566">
        <f>L39*1.085</f>
        <v/>
      </c>
      <c r="I39" s="566">
        <f>M39*1.085</f>
        <v/>
      </c>
      <c r="J39" s="103">
        <f>(H39-H38)/H38</f>
        <v/>
      </c>
      <c r="K39" s="103">
        <f>(H39-I39)/I39</f>
        <v/>
      </c>
      <c r="L39" s="567" t="n"/>
      <c r="M39" s="567" t="n"/>
      <c r="N39" s="103">
        <f>(L39-L38)/L38</f>
        <v/>
      </c>
      <c r="O39" s="103">
        <f>(L39-M39)/M39</f>
        <v/>
      </c>
      <c r="P39" s="567">
        <f>D39/H39</f>
        <v/>
      </c>
      <c r="Q39" s="567">
        <f>E39/I39</f>
        <v/>
      </c>
      <c r="R39" s="103">
        <f>(P39-P38)/P38</f>
        <v/>
      </c>
      <c r="S39" s="103">
        <f>(P39-Q39)/Q39</f>
        <v/>
      </c>
      <c r="T39" s="567">
        <f>D39/L39</f>
        <v/>
      </c>
      <c r="U39" s="566">
        <f>E39/M39</f>
        <v/>
      </c>
      <c r="V39" s="103">
        <f>(T39-T38)/T38</f>
        <v/>
      </c>
      <c r="W39" s="103">
        <f>(T39-U39)/U39</f>
        <v/>
      </c>
      <c r="X39" s="568" t="n"/>
      <c r="Y39" s="568" t="n"/>
      <c r="Z39" s="103">
        <f>(X39-X38)/X38</f>
        <v/>
      </c>
      <c r="AA39" s="103">
        <f>(X39-Y39)/Y39</f>
        <v/>
      </c>
      <c r="AB39" s="568" t="n"/>
      <c r="AC39" s="568" t="n"/>
      <c r="AD39" s="52">
        <f>(AB39-AB38)/AB38</f>
        <v/>
      </c>
      <c r="AE39" s="103">
        <f>(AB39-AC39)/AC39</f>
        <v/>
      </c>
      <c r="AF39" s="103" t="n"/>
      <c r="AG39" s="103" t="n"/>
      <c r="AH39" s="103" t="n"/>
      <c r="AI39" s="103" t="n"/>
      <c r="AJ39" s="566">
        <f>D39/AB39</f>
        <v/>
      </c>
      <c r="AK39" s="568">
        <f>E39/AC39</f>
        <v/>
      </c>
      <c r="AL39" s="103">
        <f>(AJ39-AJ38)/AJ38</f>
        <v/>
      </c>
      <c r="AM39" s="103">
        <f>(AJ39-AK39)/AK39</f>
        <v/>
      </c>
      <c r="AN39" s="568" t="n"/>
      <c r="AO39" s="568" t="n"/>
      <c r="AP39" s="52">
        <f>(AN39-AN38)/AN38</f>
        <v/>
      </c>
      <c r="AQ39" s="103">
        <f>(AN39-AO39)/AO39</f>
        <v/>
      </c>
      <c r="AR39" s="568" t="n"/>
      <c r="AS39" s="568" t="n"/>
      <c r="AT39" s="52">
        <f>(AR39-AR38)/AR38</f>
        <v/>
      </c>
      <c r="AU39" s="103">
        <f>(AR39-AS39)/AS39</f>
        <v/>
      </c>
      <c r="AV39" s="103" t="n"/>
      <c r="AW39" s="103" t="n"/>
      <c r="AX39" s="103" t="n"/>
      <c r="AY39" s="103" t="n"/>
      <c r="AZ39" s="82">
        <f>AN39/AR39</f>
        <v/>
      </c>
      <c r="BA39" s="82">
        <f>AO39/AS39</f>
        <v/>
      </c>
      <c r="BB39" s="52">
        <f>(AZ39-AZ38)/AZ38</f>
        <v/>
      </c>
      <c r="BC39" s="103">
        <f>(AZ39-BA39)/BA39</f>
        <v/>
      </c>
    </row>
    <row customHeight="1" ht="15.75" r="40" s="452" spans="1:57">
      <c r="A40" s="49" t="s">
        <v>49</v>
      </c>
      <c r="B40" s="49" t="s">
        <v>123</v>
      </c>
      <c r="C40" s="50">
        <f>C39+7</f>
        <v/>
      </c>
      <c r="D40" s="566" t="n"/>
      <c r="E40" s="566" t="n"/>
      <c r="F40" s="52">
        <f>(D40-D39)/D39</f>
        <v/>
      </c>
      <c r="G40" s="103">
        <f>(D40-E40)/E40</f>
        <v/>
      </c>
      <c r="H40" s="566">
        <f>L40*1.085</f>
        <v/>
      </c>
      <c r="I40" s="566">
        <f>M40*1.085</f>
        <v/>
      </c>
      <c r="J40" s="103">
        <f>(H40-H39)/H39</f>
        <v/>
      </c>
      <c r="K40" s="103">
        <f>(H40-I40)/I40</f>
        <v/>
      </c>
      <c r="L40" s="567" t="n"/>
      <c r="M40" s="567" t="n"/>
      <c r="N40" s="103">
        <f>(L40-L39)/L39</f>
        <v/>
      </c>
      <c r="O40" s="103">
        <f>(L40-M40)/M40</f>
        <v/>
      </c>
      <c r="P40" s="567">
        <f>D40/H40</f>
        <v/>
      </c>
      <c r="Q40" s="567">
        <f>E40/I40</f>
        <v/>
      </c>
      <c r="R40" s="103">
        <f>(P40-P39)/P39</f>
        <v/>
      </c>
      <c r="S40" s="103">
        <f>(P40-Q40)/Q40</f>
        <v/>
      </c>
      <c r="T40" s="567">
        <f>D40/L40</f>
        <v/>
      </c>
      <c r="U40" s="566">
        <f>E40/M40</f>
        <v/>
      </c>
      <c r="V40" s="103">
        <f>(T40-T39)/T39</f>
        <v/>
      </c>
      <c r="W40" s="103">
        <f>(T40-U40)/U40</f>
        <v/>
      </c>
      <c r="X40" s="568" t="n"/>
      <c r="Y40" s="568" t="n"/>
      <c r="Z40" s="103">
        <f>(X40-X39)/X39</f>
        <v/>
      </c>
      <c r="AA40" s="103">
        <f>(X40-Y40)/Y40</f>
        <v/>
      </c>
      <c r="AB40" s="568" t="n"/>
      <c r="AC40" s="568" t="n"/>
      <c r="AD40" s="52">
        <f>(AB40-AB39)/AB39</f>
        <v/>
      </c>
      <c r="AE40" s="103">
        <f>(AB40-AC40)/AC40</f>
        <v/>
      </c>
      <c r="AF40" s="103" t="n"/>
      <c r="AG40" s="103" t="n"/>
      <c r="AH40" s="103" t="n"/>
      <c r="AI40" s="103" t="n"/>
      <c r="AJ40" s="566">
        <f>D40/AB40</f>
        <v/>
      </c>
      <c r="AK40" s="568">
        <f>E40/AC40</f>
        <v/>
      </c>
      <c r="AL40" s="103">
        <f>(AJ40-AJ39)/AJ39</f>
        <v/>
      </c>
      <c r="AM40" s="103">
        <f>(AJ40-AK40)/AK40</f>
        <v/>
      </c>
      <c r="AN40" s="568" t="n"/>
      <c r="AO40" s="568" t="n"/>
      <c r="AP40" s="52">
        <f>(AN40-AN39)/AN39</f>
        <v/>
      </c>
      <c r="AQ40" s="103">
        <f>(AN40-AO40)/AO40</f>
        <v/>
      </c>
      <c r="AR40" s="568" t="n"/>
      <c r="AS40" s="568" t="n"/>
      <c r="AT40" s="52">
        <f>(AR40-AR39)/AR39</f>
        <v/>
      </c>
      <c r="AU40" s="103">
        <f>(AR40-AS40)/AS40</f>
        <v/>
      </c>
      <c r="AV40" s="103" t="n"/>
      <c r="AW40" s="103" t="n"/>
      <c r="AX40" s="103" t="n"/>
      <c r="AY40" s="103" t="n"/>
      <c r="AZ40" s="82">
        <f>AN40/AR40</f>
        <v/>
      </c>
      <c r="BA40" s="82">
        <f>AO40/AS40</f>
        <v/>
      </c>
      <c r="BB40" s="52">
        <f>(AZ40-AZ39)/AZ39</f>
        <v/>
      </c>
      <c r="BC40" s="103">
        <f>(AZ40-BA40)/BA40</f>
        <v/>
      </c>
    </row>
    <row customFormat="1" customHeight="1" ht="15.75" r="41" s="357" spans="1:57">
      <c r="A41" s="69" t="s">
        <v>49</v>
      </c>
      <c r="B41" s="69" t="s">
        <v>124</v>
      </c>
      <c r="C41" s="70">
        <f>C40+7</f>
        <v/>
      </c>
      <c r="D41" s="571" t="n"/>
      <c r="E41" s="571" t="n"/>
      <c r="F41" s="73">
        <f>(D41-D40)/D40</f>
        <v/>
      </c>
      <c r="G41" s="104">
        <f>(D41-E41)/E41</f>
        <v/>
      </c>
      <c r="H41" s="571">
        <f>L41*1.085</f>
        <v/>
      </c>
      <c r="I41" s="571">
        <f>M41*1.085</f>
        <v/>
      </c>
      <c r="J41" s="104">
        <f>(H41-H40)/H40</f>
        <v/>
      </c>
      <c r="K41" s="104">
        <f>(H41-I41)/I41</f>
        <v/>
      </c>
      <c r="L41" s="571" t="n"/>
      <c r="M41" s="571" t="n"/>
      <c r="N41" s="104">
        <f>(L41-L40)/L40</f>
        <v/>
      </c>
      <c r="O41" s="104">
        <f>(L41-M41)/M41</f>
        <v/>
      </c>
      <c r="P41" s="572">
        <f>D41/H41</f>
        <v/>
      </c>
      <c r="Q41" s="572">
        <f>E41/I41</f>
        <v/>
      </c>
      <c r="R41" s="104">
        <f>(P41-P40)/P40</f>
        <v/>
      </c>
      <c r="S41" s="104">
        <f>(P41-Q41)/Q41</f>
        <v/>
      </c>
      <c r="T41" s="572">
        <f>D41/L41</f>
        <v/>
      </c>
      <c r="U41" s="571">
        <f>E41/M41</f>
        <v/>
      </c>
      <c r="V41" s="104">
        <f>(T41-T40)/T40</f>
        <v/>
      </c>
      <c r="W41" s="104">
        <f>(T41-U41)/U41</f>
        <v/>
      </c>
      <c r="X41" s="573" t="n"/>
      <c r="Y41" s="573" t="n"/>
      <c r="Z41" s="104">
        <f>(X41-X40)/X40</f>
        <v/>
      </c>
      <c r="AA41" s="104">
        <f>(X41-Y41)/Y41</f>
        <v/>
      </c>
      <c r="AB41" s="573" t="n"/>
      <c r="AC41" s="573" t="n"/>
      <c r="AD41" s="73">
        <f>(AB41-AB40)/AB40</f>
        <v/>
      </c>
      <c r="AE41" s="104">
        <f>(AB41-AC41)/AC41</f>
        <v/>
      </c>
      <c r="AF41" s="104" t="n"/>
      <c r="AG41" s="104" t="n"/>
      <c r="AH41" s="104" t="n"/>
      <c r="AI41" s="104" t="n"/>
      <c r="AJ41" s="571">
        <f>D41/AB41</f>
        <v/>
      </c>
      <c r="AK41" s="573">
        <f>E41/AC41</f>
        <v/>
      </c>
      <c r="AL41" s="104">
        <f>(AJ41-AJ40)/AJ40</f>
        <v/>
      </c>
      <c r="AM41" s="104">
        <f>(AJ41-AK41)/AK41</f>
        <v/>
      </c>
      <c r="AN41" s="573" t="n"/>
      <c r="AO41" s="573" t="n"/>
      <c r="AP41" s="73">
        <f>(AN41-AN40)/AN40</f>
        <v/>
      </c>
      <c r="AQ41" s="104">
        <f>(AN41-AO41)/AO41</f>
        <v/>
      </c>
      <c r="AR41" s="573" t="n"/>
      <c r="AS41" s="573" t="n"/>
      <c r="AT41" s="73">
        <f>(AR41-AR40)/AR40</f>
        <v/>
      </c>
      <c r="AU41" s="104">
        <f>(AR41-AS41)/AS41</f>
        <v/>
      </c>
      <c r="AV41" s="104" t="n"/>
      <c r="AW41" s="104" t="n"/>
      <c r="AX41" s="104" t="n"/>
      <c r="AY41" s="104" t="n"/>
      <c r="AZ41" s="83">
        <f>AN41/AR41</f>
        <v/>
      </c>
      <c r="BA41" s="83">
        <f>AO41/AS41</f>
        <v/>
      </c>
      <c r="BB41" s="73">
        <f>(AZ41-AZ40)/AZ40</f>
        <v/>
      </c>
      <c r="BC41" s="104">
        <f>(AZ41-BA41)/BA41</f>
        <v/>
      </c>
    </row>
    <row customHeight="1" ht="15.75" r="42" s="452" spans="1:57">
      <c r="A42" s="49" t="s">
        <v>50</v>
      </c>
      <c r="B42" s="49" t="s">
        <v>125</v>
      </c>
      <c r="C42" s="50">
        <f>C41+7</f>
        <v/>
      </c>
      <c r="D42" s="566" t="n">
        <v>0</v>
      </c>
      <c r="E42" s="566" t="n"/>
      <c r="F42" s="52">
        <f>(D42-D41)/D41</f>
        <v/>
      </c>
      <c r="G42" s="103">
        <f>(D42-E42)/E42</f>
        <v/>
      </c>
      <c r="H42" s="566">
        <f>L42*1.085</f>
        <v/>
      </c>
      <c r="I42" s="566">
        <f>M42*1.085</f>
        <v/>
      </c>
      <c r="J42" s="103">
        <f>(H42-H41)/H41</f>
        <v/>
      </c>
      <c r="K42" s="103">
        <f>(H42-I42)/I42</f>
        <v/>
      </c>
      <c r="L42" s="566" t="n">
        <v>231.33</v>
      </c>
      <c r="M42" s="566" t="n"/>
      <c r="N42" s="103">
        <f>(L42-L41)/L41</f>
        <v/>
      </c>
      <c r="O42" s="103">
        <f>(L42-M42)/M42</f>
        <v/>
      </c>
      <c r="P42" s="567">
        <f>D42/H42</f>
        <v/>
      </c>
      <c r="Q42" s="567">
        <f>E42/I42</f>
        <v/>
      </c>
      <c r="R42" s="103">
        <f>(P42-P41)/P41</f>
        <v/>
      </c>
      <c r="S42" s="103">
        <f>(P42-Q42)/Q42</f>
        <v/>
      </c>
      <c r="T42" s="567">
        <f>D42/L42</f>
        <v/>
      </c>
      <c r="U42" s="566">
        <f>E42/M42</f>
        <v/>
      </c>
      <c r="V42" s="103">
        <f>(T42-T41)/T41</f>
        <v/>
      </c>
      <c r="W42" s="103">
        <f>(T42-U42)/U42</f>
        <v/>
      </c>
      <c r="X42" s="568" t="n">
        <v>291</v>
      </c>
      <c r="Y42" s="568" t="n"/>
      <c r="Z42" s="103">
        <f>(X42-X41)/X41</f>
        <v/>
      </c>
      <c r="AA42" s="103">
        <f>(X42-Y42)/Y42</f>
        <v/>
      </c>
      <c r="AB42" s="568" t="n">
        <v>0</v>
      </c>
      <c r="AC42" s="568" t="n"/>
      <c r="AD42" s="52">
        <f>(AB42-AB41)/AB41</f>
        <v/>
      </c>
      <c r="AE42" s="103">
        <f>(AB42-AC42)/AC42</f>
        <v/>
      </c>
      <c r="AF42" s="82">
        <f>AB42/X42</f>
        <v/>
      </c>
      <c r="AG42" s="103" t="n"/>
      <c r="AH42" s="103" t="n"/>
      <c r="AI42" s="103" t="n"/>
      <c r="AJ42" s="566">
        <f>D42/AB42</f>
        <v/>
      </c>
      <c r="AK42" s="568">
        <f>E42/AC42</f>
        <v/>
      </c>
      <c r="AL42" s="103">
        <f>(AJ42-AJ41)/AJ41</f>
        <v/>
      </c>
      <c r="AM42" s="103">
        <f>(AJ42-AK42)/AK42</f>
        <v/>
      </c>
      <c r="AN42" s="568" t="n">
        <v>297</v>
      </c>
      <c r="AO42" s="568" t="n"/>
      <c r="AP42" s="52">
        <f>(AN42-AN41)/AN41</f>
        <v/>
      </c>
      <c r="AQ42" s="103">
        <f>(AN42-AO42)/AO42</f>
        <v/>
      </c>
      <c r="AR42" s="568" t="n">
        <v>9582</v>
      </c>
      <c r="AS42" s="568" t="n"/>
      <c r="AT42" s="52">
        <f>(AR42-AR41)/AR41</f>
        <v/>
      </c>
      <c r="AU42" s="103">
        <f>(AR42-AS42)/AS42</f>
        <v/>
      </c>
      <c r="AV42" s="621">
        <f>L42/AN42</f>
        <v/>
      </c>
      <c r="AW42" s="103" t="n"/>
      <c r="AX42" s="82">
        <f>(AV42-AV41)/AV41</f>
        <v/>
      </c>
      <c r="AY42" s="82">
        <f>(AV42-AW42)/AW42</f>
        <v/>
      </c>
      <c r="AZ42" s="82">
        <f>AN42/AR42</f>
        <v/>
      </c>
      <c r="BA42" s="82">
        <f>AO42/AS42</f>
        <v/>
      </c>
      <c r="BB42" s="52">
        <f>(AZ42-AZ41)/AZ41</f>
        <v/>
      </c>
      <c r="BC42" s="103">
        <f>(AZ42-BA42)/BA42</f>
        <v/>
      </c>
    </row>
    <row customHeight="1" ht="15.75" r="43" s="452" spans="1:57">
      <c r="A43" s="49" t="s">
        <v>50</v>
      </c>
      <c r="B43" s="49" t="s">
        <v>126</v>
      </c>
      <c r="C43" s="50">
        <f>C42+7</f>
        <v/>
      </c>
      <c r="D43" s="566" t="n">
        <v>152</v>
      </c>
      <c r="E43" s="566" t="n"/>
      <c r="F43" s="52">
        <f>(D43-D42)/D42</f>
        <v/>
      </c>
      <c r="G43" s="103">
        <f>(D43-E43)/E43</f>
        <v/>
      </c>
      <c r="H43" s="566">
        <f>L43*1.085</f>
        <v/>
      </c>
      <c r="I43" s="566">
        <f>M43*1.085</f>
        <v/>
      </c>
      <c r="J43" s="103">
        <f>(H43-H42)/H42</f>
        <v/>
      </c>
      <c r="K43" s="103">
        <f>(H43-I43)/I43</f>
        <v/>
      </c>
      <c r="L43" s="566" t="n">
        <v>1400.34</v>
      </c>
      <c r="M43" s="566" t="n"/>
      <c r="N43" s="103">
        <f>(L43-L42)/L42</f>
        <v/>
      </c>
      <c r="O43" s="103">
        <f>(L43-M43)/M43</f>
        <v/>
      </c>
      <c r="P43" s="567">
        <f>D43/H43</f>
        <v/>
      </c>
      <c r="Q43" s="567">
        <f>E43/I43</f>
        <v/>
      </c>
      <c r="R43" s="103">
        <f>(P43-P42)/P42</f>
        <v/>
      </c>
      <c r="S43" s="103">
        <f>(P43-Q43)/Q43</f>
        <v/>
      </c>
      <c r="T43" s="567">
        <f>D43/L43</f>
        <v/>
      </c>
      <c r="U43" s="566">
        <f>E43/M43</f>
        <v/>
      </c>
      <c r="V43" s="103">
        <f>(T43-T42)/T42</f>
        <v/>
      </c>
      <c r="W43" s="103">
        <f>(T43-U43)/U43</f>
        <v/>
      </c>
      <c r="X43" s="568" t="n">
        <v>890</v>
      </c>
      <c r="Y43" s="568" t="n"/>
      <c r="Z43" s="103">
        <f>(X43-X42)/X42</f>
        <v/>
      </c>
      <c r="AA43" s="103">
        <f>(X43-Y43)/Y43</f>
        <v/>
      </c>
      <c r="AB43" s="568" t="n">
        <v>3</v>
      </c>
      <c r="AC43" s="568" t="n"/>
      <c r="AD43" s="52">
        <f>(AB43-AB42)/AB42</f>
        <v/>
      </c>
      <c r="AE43" s="103">
        <f>(AB43-AC43)/AC43</f>
        <v/>
      </c>
      <c r="AF43" s="82">
        <f>AB43/X43</f>
        <v/>
      </c>
      <c r="AG43" s="103" t="n"/>
      <c r="AH43" s="82">
        <f>(AF43-AF42)/AF42</f>
        <v/>
      </c>
      <c r="AI43" s="82">
        <f>(AF43-AG43)/AG43</f>
        <v/>
      </c>
      <c r="AJ43" s="566">
        <f>D43/AB43</f>
        <v/>
      </c>
      <c r="AK43" s="568">
        <f>E43/AC43</f>
        <v/>
      </c>
      <c r="AL43" s="103">
        <f>(AJ43-AJ42)/AJ42</f>
        <v/>
      </c>
      <c r="AM43" s="103">
        <f>(AJ43-AK43)/AK43</f>
        <v/>
      </c>
      <c r="AN43" s="568" t="n">
        <v>1148</v>
      </c>
      <c r="AO43" s="568" t="n"/>
      <c r="AP43" s="52">
        <f>(AN43-AN42)/AN42</f>
        <v/>
      </c>
      <c r="AQ43" s="103">
        <f>(AN43-AO43)/AO43</f>
        <v/>
      </c>
      <c r="AR43" s="568" t="n">
        <v>48638</v>
      </c>
      <c r="AS43" s="568" t="n"/>
      <c r="AT43" s="52">
        <f>(AR43-AR42)/AR42</f>
        <v/>
      </c>
      <c r="AU43" s="103">
        <f>(AR43-AS43)/AS43</f>
        <v/>
      </c>
      <c r="AV43" s="621">
        <f>L43/AN43</f>
        <v/>
      </c>
      <c r="AW43" s="103" t="n"/>
      <c r="AX43" s="82">
        <f>(AV43-AV42)/AV42</f>
        <v/>
      </c>
      <c r="AY43" s="82">
        <f>(AV43-AW43)/AW43</f>
        <v/>
      </c>
      <c r="AZ43" s="82">
        <f>AN43/AR43</f>
        <v/>
      </c>
      <c r="BA43" s="82">
        <f>AO43/AS43</f>
        <v/>
      </c>
      <c r="BB43" s="52">
        <f>(AZ43-AZ42)/AZ42</f>
        <v/>
      </c>
      <c r="BC43" s="103">
        <f>(AZ43-BA43)/BA43</f>
        <v/>
      </c>
    </row>
    <row customHeight="1" ht="15.75" r="44" s="452" spans="1:57">
      <c r="A44" s="49" t="s">
        <v>50</v>
      </c>
      <c r="B44" s="49" t="s">
        <v>127</v>
      </c>
      <c r="C44" s="50">
        <f>C43+7</f>
        <v/>
      </c>
      <c r="D44" s="566" t="n">
        <v>786</v>
      </c>
      <c r="E44" s="566" t="n"/>
      <c r="F44" s="52">
        <f>(D44-D43)/D43</f>
        <v/>
      </c>
      <c r="G44" s="103">
        <f>(D44-E44)/E44</f>
        <v/>
      </c>
      <c r="H44" s="566">
        <f>L44*1.085</f>
        <v/>
      </c>
      <c r="I44" s="566">
        <f>M44*1.085</f>
        <v/>
      </c>
      <c r="J44" s="103">
        <f>(H44-H43)/H43</f>
        <v/>
      </c>
      <c r="K44" s="103">
        <f>(H44-I44)/I44</f>
        <v/>
      </c>
      <c r="L44" s="566" t="n">
        <v>1498</v>
      </c>
      <c r="M44" s="566" t="n"/>
      <c r="N44" s="103">
        <f>(L44-L43)/L43</f>
        <v/>
      </c>
      <c r="O44" s="103">
        <f>(L44-M44)/M44</f>
        <v/>
      </c>
      <c r="P44" s="567">
        <f>D44/H44</f>
        <v/>
      </c>
      <c r="Q44" s="567">
        <f>E44/I44</f>
        <v/>
      </c>
      <c r="R44" s="103">
        <f>(P44-P43)/P43</f>
        <v/>
      </c>
      <c r="S44" s="103">
        <f>(P44-Q44)/Q44</f>
        <v/>
      </c>
      <c r="T44" s="567">
        <f>D44/L44</f>
        <v/>
      </c>
      <c r="U44" s="566">
        <f>E44/M44</f>
        <v/>
      </c>
      <c r="V44" s="103">
        <f>(T44-T43)/T43</f>
        <v/>
      </c>
      <c r="W44" s="103">
        <f>(T44-U44)/U44</f>
        <v/>
      </c>
      <c r="X44" s="568" t="n">
        <v>1301</v>
      </c>
      <c r="Y44" s="568" t="n"/>
      <c r="Z44" s="103">
        <f>(X44-X43)/X43</f>
        <v/>
      </c>
      <c r="AA44" s="103">
        <f>(X44-Y44)/Y44</f>
        <v/>
      </c>
      <c r="AB44" s="568" t="n">
        <v>8</v>
      </c>
      <c r="AC44" s="568" t="n"/>
      <c r="AD44" s="52">
        <f>(AB44-AB43)/AB43</f>
        <v/>
      </c>
      <c r="AE44" s="103">
        <f>(AB44-AC44)/AC44</f>
        <v/>
      </c>
      <c r="AF44" s="82">
        <f>AB44/X44</f>
        <v/>
      </c>
      <c r="AG44" s="103" t="n"/>
      <c r="AH44" s="82">
        <f>(AF44-AF43)/AF43</f>
        <v/>
      </c>
      <c r="AI44" s="82">
        <f>(AF44-AG44)/AG44</f>
        <v/>
      </c>
      <c r="AJ44" s="566">
        <f>D44/AB44</f>
        <v/>
      </c>
      <c r="AK44" s="568">
        <f>E44/AC44</f>
        <v/>
      </c>
      <c r="AL44" s="103">
        <f>(AJ44-AJ43)/AJ43</f>
        <v/>
      </c>
      <c r="AM44" s="103">
        <f>(AJ44-AK44)/AK44</f>
        <v/>
      </c>
      <c r="AN44" s="568" t="n">
        <v>1654</v>
      </c>
      <c r="AO44" s="568" t="n"/>
      <c r="AP44" s="52">
        <f>(AN44-AN43)/AN43</f>
        <v/>
      </c>
      <c r="AQ44" s="103">
        <f>(AN44-AO44)/AO44</f>
        <v/>
      </c>
      <c r="AR44" s="568" t="n">
        <v>59742</v>
      </c>
      <c r="AS44" s="568" t="n"/>
      <c r="AT44" s="52">
        <f>(AR44-AR43)/AR43</f>
        <v/>
      </c>
      <c r="AU44" s="103">
        <f>(AR44-AS44)/AS44</f>
        <v/>
      </c>
      <c r="AV44" s="621">
        <f>L44/AN44</f>
        <v/>
      </c>
      <c r="AW44" s="103" t="n"/>
      <c r="AX44" s="82">
        <f>(AV44-AV43)/AV43</f>
        <v/>
      </c>
      <c r="AY44" s="82">
        <f>(AV44-AW44)/AW44</f>
        <v/>
      </c>
      <c r="AZ44" s="82">
        <f>AN44/AR44</f>
        <v/>
      </c>
      <c r="BA44" s="82">
        <f>AO44/AS44</f>
        <v/>
      </c>
      <c r="BB44" s="52">
        <f>(AZ44-AZ43)/AZ43</f>
        <v/>
      </c>
      <c r="BC44" s="103">
        <f>(AZ44-BA44)/BA44</f>
        <v/>
      </c>
    </row>
    <row customFormat="1" customHeight="1" ht="15.75" r="45" s="357" spans="1:57">
      <c r="A45" s="69" t="s">
        <v>50</v>
      </c>
      <c r="B45" s="69" t="s">
        <v>128</v>
      </c>
      <c r="C45" s="70">
        <f>C44+7</f>
        <v/>
      </c>
      <c r="D45" s="585" t="n">
        <v>210</v>
      </c>
      <c r="E45" s="585" t="n"/>
      <c r="F45" s="73">
        <f>(D45-D44)/D44</f>
        <v/>
      </c>
      <c r="G45" s="104">
        <f>(D45-E45)/E45</f>
        <v/>
      </c>
      <c r="H45" s="571">
        <f>L45*1.085</f>
        <v/>
      </c>
      <c r="I45" s="571">
        <f>M45*1.085</f>
        <v/>
      </c>
      <c r="J45" s="104">
        <f>(H45-H44)/H44</f>
        <v/>
      </c>
      <c r="K45" s="104">
        <f>(H45-I45)/I45</f>
        <v/>
      </c>
      <c r="L45" s="571" t="n">
        <v>1478.87</v>
      </c>
      <c r="M45" s="571" t="n"/>
      <c r="N45" s="104">
        <f>(L45-L44)/L44</f>
        <v/>
      </c>
      <c r="O45" s="104">
        <f>(L45-M45)/M45</f>
        <v/>
      </c>
      <c r="P45" s="572">
        <f>D45/H45</f>
        <v/>
      </c>
      <c r="Q45" s="572">
        <f>E45/I45</f>
        <v/>
      </c>
      <c r="R45" s="104">
        <f>(P45-P44)/P44</f>
        <v/>
      </c>
      <c r="S45" s="104">
        <f>(P45-Q45)/Q45</f>
        <v/>
      </c>
      <c r="T45" s="572">
        <f>D45/L45</f>
        <v/>
      </c>
      <c r="U45" s="571">
        <f>E45/M45</f>
        <v/>
      </c>
      <c r="V45" s="104">
        <f>(T45-T44)/T44</f>
        <v/>
      </c>
      <c r="W45" s="104">
        <f>(T45-U45)/U45</f>
        <v/>
      </c>
      <c r="X45" s="573" t="n">
        <v>1347</v>
      </c>
      <c r="Y45" s="573" t="n"/>
      <c r="Z45" s="104">
        <f>(X45-X44)/X44</f>
        <v/>
      </c>
      <c r="AA45" s="104">
        <f>(X45-Y45)/Y45</f>
        <v/>
      </c>
      <c r="AB45" s="573" t="n">
        <v>3</v>
      </c>
      <c r="AC45" s="573" t="n"/>
      <c r="AD45" s="73">
        <f>(AB45-AB44)/AB44</f>
        <v/>
      </c>
      <c r="AE45" s="104">
        <f>(AB45-AC45)/AC45</f>
        <v/>
      </c>
      <c r="AF45" s="83">
        <f>AB45/X45</f>
        <v/>
      </c>
      <c r="AG45" s="104" t="n"/>
      <c r="AH45" s="83">
        <f>(AF45-AF44)/AF44</f>
        <v/>
      </c>
      <c r="AI45" s="82">
        <f>(AF45-AG45)/AG45</f>
        <v/>
      </c>
      <c r="AJ45" s="571">
        <f>D45/AB45</f>
        <v/>
      </c>
      <c r="AK45" s="573">
        <f>E45/AC45</f>
        <v/>
      </c>
      <c r="AL45" s="104">
        <f>(AJ45-AJ44)/AJ44</f>
        <v/>
      </c>
      <c r="AM45" s="104">
        <f>(AJ45-AK45)/AK45</f>
        <v/>
      </c>
      <c r="AN45" s="573" t="n">
        <v>1708</v>
      </c>
      <c r="AO45" s="573" t="n"/>
      <c r="AP45" s="73">
        <f>(AN45-AN44)/AN44</f>
        <v/>
      </c>
      <c r="AQ45" s="104">
        <f>(AN45-AO45)/AO45</f>
        <v/>
      </c>
      <c r="AR45" s="573" t="n">
        <v>62794</v>
      </c>
      <c r="AS45" s="573" t="n"/>
      <c r="AT45" s="73">
        <f>(AR45-AR44)/AR44</f>
        <v/>
      </c>
      <c r="AU45" s="104">
        <f>(AR45-AS45)/AS45</f>
        <v/>
      </c>
      <c r="AV45" s="622">
        <f>L45/AN45</f>
        <v/>
      </c>
      <c r="AW45" s="104" t="n"/>
      <c r="AX45" s="83">
        <f>(AV45-AV44)/AV44</f>
        <v/>
      </c>
      <c r="AY45" s="83">
        <f>(AV45-AW45)/AW45</f>
        <v/>
      </c>
      <c r="AZ45" s="83">
        <f>AN45/AR45</f>
        <v/>
      </c>
      <c r="BA45" s="83">
        <f>AO45/AS45</f>
        <v/>
      </c>
      <c r="BB45" s="73">
        <f>(AZ45-AZ44)/AZ44</f>
        <v/>
      </c>
      <c r="BC45" s="104">
        <f>(AZ45-BA45)/BA45</f>
        <v/>
      </c>
      <c r="BD45" s="357" t="n"/>
    </row>
    <row customHeight="1" ht="15.75" r="46" s="452" spans="1:57">
      <c r="A46" s="49" t="s">
        <v>51</v>
      </c>
      <c r="B46" s="49" t="s">
        <v>129</v>
      </c>
      <c r="C46" s="50">
        <f>C45+7</f>
        <v/>
      </c>
      <c r="D46" s="587" t="n">
        <v>281</v>
      </c>
      <c r="E46" s="587" t="n"/>
      <c r="F46" s="52">
        <f>(D46-D45)/D45</f>
        <v/>
      </c>
      <c r="G46" s="103">
        <f>(D46-E46)/E46</f>
        <v/>
      </c>
      <c r="H46" s="566">
        <f>L46*1.085</f>
        <v/>
      </c>
      <c r="I46" s="566">
        <f>M46*1.085</f>
        <v/>
      </c>
      <c r="J46" s="103">
        <f>(H46-H45)/H45</f>
        <v/>
      </c>
      <c r="K46" s="103">
        <f>(H46-I46)/I46</f>
        <v/>
      </c>
      <c r="L46" s="566" t="n">
        <v>790.6</v>
      </c>
      <c r="M46" s="566" t="n"/>
      <c r="N46" s="103">
        <f>(L46-L45)/L45</f>
        <v/>
      </c>
      <c r="O46" s="103">
        <f>(L46-M46)/M46</f>
        <v/>
      </c>
      <c r="P46" s="567">
        <f>D46/H46</f>
        <v/>
      </c>
      <c r="Q46" s="567">
        <f>E46/I46</f>
        <v/>
      </c>
      <c r="R46" s="103">
        <f>(P46-P45)/P45</f>
        <v/>
      </c>
      <c r="S46" s="103">
        <f>(P46-Q46)/Q46</f>
        <v/>
      </c>
      <c r="T46" s="567">
        <f>D46/L46</f>
        <v/>
      </c>
      <c r="U46" s="566">
        <f>E46/M46</f>
        <v/>
      </c>
      <c r="V46" s="103">
        <f>(T46-T45)/T45</f>
        <v/>
      </c>
      <c r="W46" s="103">
        <f>(T46-U46)/U46</f>
        <v/>
      </c>
      <c r="X46" s="568" t="n">
        <v>1231</v>
      </c>
      <c r="Y46" s="568" t="n"/>
      <c r="Z46" s="103">
        <f>(X46-X45)/X45</f>
        <v/>
      </c>
      <c r="AA46" s="103">
        <f>(X46-Y46)/Y46</f>
        <v/>
      </c>
      <c r="AB46" s="568" t="n">
        <v>4</v>
      </c>
      <c r="AC46" s="568" t="n"/>
      <c r="AD46" s="52">
        <f>(AB46-AB45)/AB45</f>
        <v/>
      </c>
      <c r="AE46" s="103">
        <f>(AB46-AC46)/AC46</f>
        <v/>
      </c>
      <c r="AF46" s="82">
        <f>AB46/X46</f>
        <v/>
      </c>
      <c r="AG46" s="103" t="n"/>
      <c r="AH46" s="82">
        <f>(AF46-AF45)/AF45</f>
        <v/>
      </c>
      <c r="AI46" s="82">
        <f>(AF46-AG46)/AG46</f>
        <v/>
      </c>
      <c r="AJ46" s="566">
        <f>D46/AB46</f>
        <v/>
      </c>
      <c r="AK46" s="568">
        <f>E46/AC46</f>
        <v/>
      </c>
      <c r="AL46" s="103">
        <f>(AJ46-AJ45)/AJ45</f>
        <v/>
      </c>
      <c r="AM46" s="103">
        <f>(AJ46-AK46)/AK46</f>
        <v/>
      </c>
      <c r="AN46" s="568" t="n">
        <v>1506</v>
      </c>
      <c r="AO46" s="568" t="n"/>
      <c r="AP46" s="52">
        <f>(AN46-AN45)/AN45</f>
        <v/>
      </c>
      <c r="AQ46" s="103">
        <f>(AN46-AO46)/AO46</f>
        <v/>
      </c>
      <c r="AR46" s="568" t="n">
        <v>38885</v>
      </c>
      <c r="AS46" s="568" t="n"/>
      <c r="AT46" s="52">
        <f>(AR46-AR45)/AR45</f>
        <v/>
      </c>
      <c r="AU46" s="103">
        <f>(AR46-AS46)/AS46</f>
        <v/>
      </c>
      <c r="AV46" s="621">
        <f>L46/AN46</f>
        <v/>
      </c>
      <c r="AW46" s="103" t="n"/>
      <c r="AX46" s="82">
        <f>(AV46-AV45)/AV45</f>
        <v/>
      </c>
      <c r="AY46" s="82">
        <f>(AV46-AW46)/AW46</f>
        <v/>
      </c>
      <c r="AZ46" s="82">
        <f>AN46/AR46</f>
        <v/>
      </c>
      <c r="BA46" s="82">
        <f>AO46/AS46</f>
        <v/>
      </c>
      <c r="BB46" s="52">
        <f>(AZ46-AZ45)/AZ45</f>
        <v/>
      </c>
      <c r="BC46" s="103">
        <f>(AZ46-BA46)/BA46</f>
        <v/>
      </c>
      <c r="BE46" t="s">
        <v>214</v>
      </c>
    </row>
    <row customHeight="1" ht="15.75" r="47" s="452" spans="1:57">
      <c r="A47" s="49" t="s">
        <v>51</v>
      </c>
      <c r="B47" s="49" t="s">
        <v>130</v>
      </c>
      <c r="C47" s="50">
        <f>C46+7</f>
        <v/>
      </c>
      <c r="D47" s="587" t="n">
        <v>632</v>
      </c>
      <c r="E47" s="587" t="n"/>
      <c r="F47" s="52">
        <f>(D47-D46)/D46</f>
        <v/>
      </c>
      <c r="G47" s="103">
        <f>(D47-E47)/E47</f>
        <v/>
      </c>
      <c r="H47" s="566">
        <f>L47*1.085</f>
        <v/>
      </c>
      <c r="I47" s="566">
        <f>M47*1.085</f>
        <v/>
      </c>
      <c r="J47" s="103">
        <f>(H47-H46)/H46</f>
        <v/>
      </c>
      <c r="K47" s="103">
        <f>(H47-I47)/I47</f>
        <v/>
      </c>
      <c r="L47" s="566" t="n">
        <v>1983.05</v>
      </c>
      <c r="M47" s="566" t="n"/>
      <c r="N47" s="103">
        <f>(L47-L46)/L46</f>
        <v/>
      </c>
      <c r="O47" s="103">
        <f>(L47-M47)/M47</f>
        <v/>
      </c>
      <c r="P47" s="567">
        <f>D47/H47</f>
        <v/>
      </c>
      <c r="Q47" s="567">
        <f>E47/I47</f>
        <v/>
      </c>
      <c r="R47" s="103">
        <f>(P47-P46)/P46</f>
        <v/>
      </c>
      <c r="S47" s="103">
        <f>(P47-Q47)/Q47</f>
        <v/>
      </c>
      <c r="T47" s="567">
        <f>D47/L47</f>
        <v/>
      </c>
      <c r="U47" s="566">
        <f>E47/M47</f>
        <v/>
      </c>
      <c r="V47" s="103">
        <f>(T47-T46)/T46</f>
        <v/>
      </c>
      <c r="W47" s="103">
        <f>(T47-U47)/U47</f>
        <v/>
      </c>
      <c r="X47" s="568" t="n">
        <v>2027</v>
      </c>
      <c r="Y47" s="568" t="n"/>
      <c r="Z47" s="103">
        <f>(X47-X46)/X46</f>
        <v/>
      </c>
      <c r="AA47" s="103">
        <f>(X47-Y47)/Y47</f>
        <v/>
      </c>
      <c r="AB47" s="588" t="n">
        <v>5</v>
      </c>
      <c r="AC47" s="588" t="n"/>
      <c r="AD47" s="52">
        <f>(AB47-AB46)/AB46</f>
        <v/>
      </c>
      <c r="AE47" s="103">
        <f>(AB47-AC47)/AC47</f>
        <v/>
      </c>
      <c r="AF47" s="82">
        <f>AB47/X47</f>
        <v/>
      </c>
      <c r="AG47" s="103" t="n"/>
      <c r="AH47" s="82">
        <f>(AF47-AF46)/AF46</f>
        <v/>
      </c>
      <c r="AI47" s="82">
        <f>(AF47-AG47)/AG47</f>
        <v/>
      </c>
      <c r="AJ47" s="566">
        <f>D47/AB47</f>
        <v/>
      </c>
      <c r="AK47" s="568">
        <f>E47/AC47</f>
        <v/>
      </c>
      <c r="AL47" s="103">
        <f>(AJ47-AJ46)/AJ46</f>
        <v/>
      </c>
      <c r="AM47" s="103">
        <f>(AJ47-AK47)/AK47</f>
        <v/>
      </c>
      <c r="AN47" s="568" t="n">
        <v>2428</v>
      </c>
      <c r="AO47" s="568" t="n"/>
      <c r="AP47" s="52">
        <f>(AN47-AN46)/AN46</f>
        <v/>
      </c>
      <c r="AQ47" s="103">
        <f>(AN47-AO47)/AO47</f>
        <v/>
      </c>
      <c r="AR47" s="588" t="n">
        <v>86217</v>
      </c>
      <c r="AS47" s="588" t="n"/>
      <c r="AT47" s="52">
        <f>(AR47-AR46)/AR46</f>
        <v/>
      </c>
      <c r="AU47" s="103">
        <f>(AR47-AS47)/AS47</f>
        <v/>
      </c>
      <c r="AV47" s="621">
        <f>L47/AN47</f>
        <v/>
      </c>
      <c r="AW47" s="103" t="n"/>
      <c r="AX47" s="82">
        <f>(AV47-AV46)/AV46</f>
        <v/>
      </c>
      <c r="AY47" s="82">
        <f>(AV47-AW47)/AW47</f>
        <v/>
      </c>
      <c r="AZ47" s="82">
        <f>AN47/AR47</f>
        <v/>
      </c>
      <c r="BA47" s="82">
        <f>AO47/AS47</f>
        <v/>
      </c>
      <c r="BB47" s="52">
        <f>(AZ47-AZ46)/AZ46</f>
        <v/>
      </c>
      <c r="BC47" s="103">
        <f>(AZ47-BA47)/BA47</f>
        <v/>
      </c>
    </row>
    <row customHeight="1" ht="15.75" r="48" s="452" spans="1:57">
      <c r="A48" s="49" t="s">
        <v>51</v>
      </c>
      <c r="B48" s="49" t="s">
        <v>131</v>
      </c>
      <c r="C48" s="50">
        <f>C47+7</f>
        <v/>
      </c>
      <c r="D48" s="587" t="n">
        <v>881</v>
      </c>
      <c r="E48" s="587" t="n"/>
      <c r="F48" s="52">
        <f>(D48-D47)/D47</f>
        <v/>
      </c>
      <c r="G48" s="103">
        <f>(D48-E48)/E48</f>
        <v/>
      </c>
      <c r="H48" s="566">
        <f>L48*1.085</f>
        <v/>
      </c>
      <c r="I48" s="566">
        <f>M48*1.085</f>
        <v/>
      </c>
      <c r="J48" s="103">
        <f>(H48-H47)/H47</f>
        <v/>
      </c>
      <c r="K48" s="103">
        <f>(H48-I48)/I48</f>
        <v/>
      </c>
      <c r="L48" s="566" t="n">
        <v>3235.34</v>
      </c>
      <c r="M48" s="566" t="n"/>
      <c r="N48" s="103">
        <f>(L48-L47)/L47</f>
        <v/>
      </c>
      <c r="O48" s="103">
        <f>(L48-M48)/M48</f>
        <v/>
      </c>
      <c r="P48" s="567">
        <f>D48/H48</f>
        <v/>
      </c>
      <c r="Q48" s="567">
        <f>E48/I48</f>
        <v/>
      </c>
      <c r="R48" s="103">
        <f>(P48-P47)/P47</f>
        <v/>
      </c>
      <c r="S48" s="103">
        <f>(P48-Q48)/Q48</f>
        <v/>
      </c>
      <c r="T48" s="567">
        <f>D48/L48</f>
        <v/>
      </c>
      <c r="U48" s="566">
        <f>E48/M48</f>
        <v/>
      </c>
      <c r="V48" s="103">
        <f>(T48-T47)/T47</f>
        <v/>
      </c>
      <c r="W48" s="103">
        <f>(T48-U48)/U48</f>
        <v/>
      </c>
      <c r="X48" s="568" t="n">
        <v>2229</v>
      </c>
      <c r="Y48" s="568" t="n"/>
      <c r="Z48" s="103">
        <f>(X48-X47)/X47</f>
        <v/>
      </c>
      <c r="AA48" s="103">
        <f>(X48-Y48)/Y48</f>
        <v/>
      </c>
      <c r="AB48" s="588" t="n">
        <v>9</v>
      </c>
      <c r="AC48" s="588" t="n"/>
      <c r="AD48" s="52">
        <f>(AB48-AB47)/AB47</f>
        <v/>
      </c>
      <c r="AE48" s="103">
        <f>(AB48-AC48)/AC48</f>
        <v/>
      </c>
      <c r="AF48" s="82">
        <f>AB48/X48</f>
        <v/>
      </c>
      <c r="AG48" s="103" t="n"/>
      <c r="AH48" s="448" t="n"/>
      <c r="AI48" s="448">
        <f>(AF48-AG48)/AG48</f>
        <v/>
      </c>
      <c r="AJ48" s="566">
        <f>D48/AB48</f>
        <v/>
      </c>
      <c r="AK48" s="568">
        <f>E48/AC48</f>
        <v/>
      </c>
      <c r="AL48" s="103">
        <f>(AJ48-AJ47)/AJ47</f>
        <v/>
      </c>
      <c r="AM48" s="103">
        <f>(AJ48-AK48)/AK48</f>
        <v/>
      </c>
      <c r="AN48" s="568" t="n">
        <v>2724</v>
      </c>
      <c r="AO48" s="568" t="n"/>
      <c r="AP48" s="52">
        <f>(AN48-AN47)/AN47</f>
        <v/>
      </c>
      <c r="AQ48" s="103">
        <f>(AN48-AO48)/AO48</f>
        <v/>
      </c>
      <c r="AR48" s="588" t="n">
        <v>102300</v>
      </c>
      <c r="AS48" s="588" t="n"/>
      <c r="AT48" s="52">
        <f>(AR48-AR47)/AR47</f>
        <v/>
      </c>
      <c r="AU48" s="103">
        <f>(AR48-AS48)/AS48</f>
        <v/>
      </c>
      <c r="AV48" s="621">
        <f>L48/AN48</f>
        <v/>
      </c>
      <c r="AW48" s="103" t="n"/>
      <c r="AX48" s="448" t="n"/>
      <c r="AY48" s="448">
        <f>(AV48-AW48)/AW48</f>
        <v/>
      </c>
      <c r="AZ48" s="82">
        <f>AN48/AR48</f>
        <v/>
      </c>
      <c r="BA48" s="82">
        <f>AO48/AS48</f>
        <v/>
      </c>
      <c r="BB48" s="52">
        <f>(AZ48-AZ47)/AZ47</f>
        <v/>
      </c>
      <c r="BC48" s="103">
        <f>(AZ48-BA48)/BA48</f>
        <v/>
      </c>
      <c r="BE48" t="s">
        <v>214</v>
      </c>
    </row>
    <row customFormat="1" customHeight="1" ht="15.75" r="49" s="357" spans="1:57">
      <c r="A49" s="69" t="s">
        <v>51</v>
      </c>
      <c r="B49" s="69" t="s">
        <v>53</v>
      </c>
      <c r="C49" s="70">
        <f>C48+7</f>
        <v/>
      </c>
      <c r="D49" s="585" t="n">
        <v>2416</v>
      </c>
      <c r="E49" s="585" t="n"/>
      <c r="F49" s="73">
        <f>(D49-D48)/D48</f>
        <v/>
      </c>
      <c r="G49" s="104">
        <f>(D49-E49)/E49</f>
        <v/>
      </c>
      <c r="H49" s="571">
        <f>L49*1.085</f>
        <v/>
      </c>
      <c r="I49" s="571">
        <f>M49*1.085</f>
        <v/>
      </c>
      <c r="J49" s="104">
        <f>(H49-H48)/H48</f>
        <v/>
      </c>
      <c r="K49" s="104">
        <f>(H49-I49)/I49</f>
        <v/>
      </c>
      <c r="L49" s="571" t="n">
        <v>11248.4</v>
      </c>
      <c r="M49" s="571" t="n"/>
      <c r="N49" s="104">
        <f>(L49-L48)/L48</f>
        <v/>
      </c>
      <c r="O49" s="104">
        <f>(L49-M49)/M49</f>
        <v/>
      </c>
      <c r="P49" s="572">
        <f>D49/H49</f>
        <v/>
      </c>
      <c r="Q49" s="572">
        <f>E49/I49</f>
        <v/>
      </c>
      <c r="R49" s="104">
        <f>(P49-P48)/P48</f>
        <v/>
      </c>
      <c r="S49" s="104">
        <f>(P49-Q49)/Q49</f>
        <v/>
      </c>
      <c r="T49" s="572">
        <f>D49/L49</f>
        <v/>
      </c>
      <c r="U49" s="571">
        <f>E49/M49</f>
        <v/>
      </c>
      <c r="V49" s="104">
        <f>(T49-T48)/T48</f>
        <v/>
      </c>
      <c r="W49" s="104">
        <f>(T49-U49)/U49</f>
        <v/>
      </c>
      <c r="X49" s="573" t="n">
        <v>3489</v>
      </c>
      <c r="Y49" s="573" t="n"/>
      <c r="Z49" s="104">
        <f>(X49-X48)/X48</f>
        <v/>
      </c>
      <c r="AA49" s="104">
        <f>(X49-Y49)/Y49</f>
        <v/>
      </c>
      <c r="AB49" s="589" t="n">
        <v>20</v>
      </c>
      <c r="AC49" s="589" t="n"/>
      <c r="AD49" s="73">
        <f>(AB49-AB48)/AB48</f>
        <v/>
      </c>
      <c r="AE49" s="104">
        <f>(AB49-AC49)/AC49</f>
        <v/>
      </c>
      <c r="AF49" s="104">
        <f>AB49/X49</f>
        <v/>
      </c>
      <c r="AG49" s="104" t="n"/>
      <c r="AH49" s="449" t="n"/>
      <c r="AI49" s="449">
        <f>(AF49-AG49)/AG49</f>
        <v/>
      </c>
      <c r="AJ49" s="571">
        <f>D49/AB49</f>
        <v/>
      </c>
      <c r="AK49" s="573">
        <f>E49/AC49</f>
        <v/>
      </c>
      <c r="AL49" s="104">
        <f>(AJ49-AJ48)/AJ48</f>
        <v/>
      </c>
      <c r="AM49" s="104">
        <f>(AJ49-AK49)/AK49</f>
        <v/>
      </c>
      <c r="AN49" s="573" t="n">
        <v>4472</v>
      </c>
      <c r="AO49" s="573" t="n"/>
      <c r="AP49" s="73">
        <f>(AN49-AN48)/AN48</f>
        <v/>
      </c>
      <c r="AQ49" s="104">
        <f>(AN49-AO49)/AO49</f>
        <v/>
      </c>
      <c r="AR49" s="589" t="n">
        <v>220785</v>
      </c>
      <c r="AS49" s="589" t="n"/>
      <c r="AT49" s="73">
        <f>(AR49-AR48)/AR48</f>
        <v/>
      </c>
      <c r="AU49" s="104">
        <f>(AR49-AS49)/AS49</f>
        <v/>
      </c>
      <c r="AV49" s="104">
        <f>L49/AN49</f>
        <v/>
      </c>
      <c r="AW49" s="104" t="n"/>
      <c r="AX49" s="449" t="n"/>
      <c r="AY49" s="449">
        <f>(AV49-AW49)/AW49</f>
        <v/>
      </c>
      <c r="AZ49" s="83">
        <f>AN49/AR49</f>
        <v/>
      </c>
      <c r="BA49" s="83">
        <f>AO49/AS49</f>
        <v/>
      </c>
      <c r="BB49" s="73">
        <f>(AZ49-AZ48)/AZ48</f>
        <v/>
      </c>
      <c r="BC49" s="104">
        <f>(AZ49-BA49)/BA49</f>
        <v/>
      </c>
      <c r="BD49" s="357" t="n"/>
    </row>
    <row customHeight="1" ht="15.75" r="50" s="452" spans="1:57">
      <c r="A50" s="49" t="s">
        <v>52</v>
      </c>
      <c r="B50" s="49" t="s">
        <v>132</v>
      </c>
      <c r="C50" s="50">
        <f>C49+7</f>
        <v/>
      </c>
      <c r="D50" s="566" t="n"/>
      <c r="E50" s="623" t="n"/>
      <c r="F50" s="52">
        <f>(D50-D49)/D49</f>
        <v/>
      </c>
      <c r="G50" s="103">
        <f>(D50-E50)/E50</f>
        <v/>
      </c>
      <c r="H50" s="566">
        <f>L50*1.085</f>
        <v/>
      </c>
      <c r="I50" s="566">
        <f>M50*1.085</f>
        <v/>
      </c>
      <c r="J50" s="103">
        <f>(H50-H49)/H49</f>
        <v/>
      </c>
      <c r="K50" s="103">
        <f>(H50-I50)/I50</f>
        <v/>
      </c>
      <c r="L50" s="566" t="n"/>
      <c r="M50" s="623" t="n"/>
      <c r="N50" s="103">
        <f>(L50-L49)/L49</f>
        <v/>
      </c>
      <c r="O50" s="103">
        <f>(L50-M50)/M50</f>
        <v/>
      </c>
      <c r="P50" s="567">
        <f>D50/H50</f>
        <v/>
      </c>
      <c r="Q50" s="567">
        <f>E50/I50</f>
        <v/>
      </c>
      <c r="R50" s="103">
        <f>(P50-P49)/P49</f>
        <v/>
      </c>
      <c r="S50" s="103">
        <f>(P50-Q50)/Q50</f>
        <v/>
      </c>
      <c r="T50" s="567">
        <f>D50/L50</f>
        <v/>
      </c>
      <c r="U50" s="566">
        <f>E50/M50</f>
        <v/>
      </c>
      <c r="V50" s="103">
        <f>(T50-T49)/T49</f>
        <v/>
      </c>
      <c r="W50" s="103">
        <f>(T50-U50)/U50</f>
        <v/>
      </c>
      <c r="X50" s="568" t="n"/>
      <c r="Y50" s="568" t="n"/>
      <c r="Z50" s="103">
        <f>(X50-X49)/X49</f>
        <v/>
      </c>
      <c r="AA50" s="103">
        <f>(X50-Y50)/Y50</f>
        <v/>
      </c>
      <c r="AB50" s="588" t="n"/>
      <c r="AC50" s="568" t="n"/>
      <c r="AD50" s="52">
        <f>(AB50-AB49)/AB49</f>
        <v/>
      </c>
      <c r="AE50" s="103">
        <f>(AB50-AC50)/AC50</f>
        <v/>
      </c>
      <c r="AF50" s="103" t="n"/>
      <c r="AG50" s="103" t="n"/>
      <c r="AH50" s="103" t="n"/>
      <c r="AI50" s="103" t="n"/>
      <c r="AJ50" s="566">
        <f>D50/AB50</f>
        <v/>
      </c>
      <c r="AK50" s="568">
        <f>E50/AC50</f>
        <v/>
      </c>
      <c r="AL50" s="103">
        <f>(AJ50-AJ49)/AJ49</f>
        <v/>
      </c>
      <c r="AM50" s="103">
        <f>(AJ50-AK50)/AK50</f>
        <v/>
      </c>
      <c r="AN50" s="568" t="n"/>
      <c r="AO50" s="568" t="n"/>
      <c r="AP50" s="52">
        <f>(AN50-AN49)/AN49</f>
        <v/>
      </c>
      <c r="AQ50" s="103">
        <f>(AN50-AO50)/AO50</f>
        <v/>
      </c>
      <c r="AR50" s="588" t="n"/>
      <c r="AS50" s="568" t="n"/>
      <c r="AT50" s="52">
        <f>(AR50-AR49)/AR49</f>
        <v/>
      </c>
      <c r="AU50" s="103">
        <f>(AR50-AS50)/AS50</f>
        <v/>
      </c>
      <c r="AV50" s="103" t="n"/>
      <c r="AW50" s="103" t="n"/>
      <c r="AX50" s="103" t="n"/>
      <c r="AY50" s="103" t="n"/>
      <c r="AZ50" s="82">
        <f>AN50/AR50</f>
        <v/>
      </c>
      <c r="BA50" s="82">
        <f>AO50/AS50</f>
        <v/>
      </c>
      <c r="BB50" s="52">
        <f>(AZ50-AZ49)/AZ49</f>
        <v/>
      </c>
      <c r="BC50" s="103">
        <f>(AZ50-BA50)/BA50</f>
        <v/>
      </c>
    </row>
    <row customHeight="1" ht="15.75" r="51" s="452" spans="1:57">
      <c r="A51" s="49" t="s">
        <v>52</v>
      </c>
      <c r="B51" s="49" t="s">
        <v>133</v>
      </c>
      <c r="C51" s="50">
        <f>C50+7</f>
        <v/>
      </c>
      <c r="D51" s="566" t="n"/>
      <c r="E51" s="623" t="n"/>
      <c r="F51" s="52">
        <f>(D51-D50)/D50</f>
        <v/>
      </c>
      <c r="G51" s="103">
        <f>(D51-E51)/E51</f>
        <v/>
      </c>
      <c r="H51" s="566">
        <f>L51*1.085</f>
        <v/>
      </c>
      <c r="I51" s="566">
        <f>M51*1.085</f>
        <v/>
      </c>
      <c r="J51" s="103">
        <f>(H51-H50)/H50</f>
        <v/>
      </c>
      <c r="K51" s="103">
        <f>(H51-I51)/I51</f>
        <v/>
      </c>
      <c r="L51" s="566" t="n"/>
      <c r="M51" s="623" t="n"/>
      <c r="N51" s="103">
        <f>(L51-L50)/L50</f>
        <v/>
      </c>
      <c r="O51" s="103">
        <f>(L51-M51)/M51</f>
        <v/>
      </c>
      <c r="P51" s="567">
        <f>D51/H51</f>
        <v/>
      </c>
      <c r="Q51" s="567">
        <f>E51/I51</f>
        <v/>
      </c>
      <c r="R51" s="103">
        <f>(P51-P50)/P50</f>
        <v/>
      </c>
      <c r="S51" s="103">
        <f>(P51-Q51)/Q51</f>
        <v/>
      </c>
      <c r="T51" s="567">
        <f>D51/L51</f>
        <v/>
      </c>
      <c r="U51" s="566">
        <f>E51/M51</f>
        <v/>
      </c>
      <c r="V51" s="103">
        <f>(T51-T50)/T50</f>
        <v/>
      </c>
      <c r="W51" s="103">
        <f>(T51-U51)/U51</f>
        <v/>
      </c>
      <c r="X51" s="568" t="n"/>
      <c r="Y51" s="568" t="n"/>
      <c r="Z51" s="103">
        <f>(X51-X50)/X50</f>
        <v/>
      </c>
      <c r="AA51" s="103">
        <f>(X51-Y51)/Y51</f>
        <v/>
      </c>
      <c r="AB51" s="588" t="n"/>
      <c r="AC51" s="568" t="n"/>
      <c r="AD51" s="52">
        <f>(AB51-AB50)/AB50</f>
        <v/>
      </c>
      <c r="AE51" s="103">
        <f>(AB51-AC51)/AC51</f>
        <v/>
      </c>
      <c r="AF51" s="103" t="n"/>
      <c r="AG51" s="103" t="n"/>
      <c r="AH51" s="103" t="n"/>
      <c r="AI51" s="103" t="n"/>
      <c r="AJ51" s="566">
        <f>D51/AB51</f>
        <v/>
      </c>
      <c r="AK51" s="568">
        <f>E51/AC51</f>
        <v/>
      </c>
      <c r="AL51" s="103">
        <f>(AJ51-AJ50)/AJ50</f>
        <v/>
      </c>
      <c r="AM51" s="103">
        <f>(AJ51-AK51)/AK51</f>
        <v/>
      </c>
      <c r="AN51" s="568" t="n"/>
      <c r="AO51" s="568" t="n"/>
      <c r="AP51" s="52">
        <f>(AN51-AN50)/AN50</f>
        <v/>
      </c>
      <c r="AQ51" s="103">
        <f>(AN51-AO51)/AO51</f>
        <v/>
      </c>
      <c r="AR51" s="588" t="n"/>
      <c r="AS51" s="588" t="n"/>
      <c r="AT51" s="52">
        <f>(AR51-AR50)/AR50</f>
        <v/>
      </c>
      <c r="AU51" s="103">
        <f>(AR51-AS51)/AS51</f>
        <v/>
      </c>
      <c r="AV51" s="103" t="n"/>
      <c r="AW51" s="103" t="n"/>
      <c r="AX51" s="103" t="n"/>
      <c r="AY51" s="103" t="n"/>
      <c r="AZ51" s="82">
        <f>AN51/AR51</f>
        <v/>
      </c>
      <c r="BA51" s="82">
        <f>AO51/AS51</f>
        <v/>
      </c>
      <c r="BB51" s="52">
        <f>(AZ51-AZ50)/AZ50</f>
        <v/>
      </c>
      <c r="BC51" s="103">
        <f>(AZ51-BA51)/BA51</f>
        <v/>
      </c>
    </row>
    <row customHeight="1" ht="15.75" r="52" s="452" spans="1:57">
      <c r="A52" s="49" t="s">
        <v>52</v>
      </c>
      <c r="B52" s="49" t="s">
        <v>134</v>
      </c>
      <c r="C52" s="50">
        <f>C51+7</f>
        <v/>
      </c>
      <c r="D52" s="566" t="n"/>
      <c r="E52" s="623" t="n"/>
      <c r="F52" s="52">
        <f>(D52-D51)/D51</f>
        <v/>
      </c>
      <c r="G52" s="103">
        <f>(D52-E52)/E52</f>
        <v/>
      </c>
      <c r="H52" s="566">
        <f>L52*1.085</f>
        <v/>
      </c>
      <c r="I52" s="566">
        <f>M52*1.085</f>
        <v/>
      </c>
      <c r="J52" s="103">
        <f>(H52-H51)/H51</f>
        <v/>
      </c>
      <c r="K52" s="103">
        <f>(H52-I52)/I52</f>
        <v/>
      </c>
      <c r="L52" s="566" t="n"/>
      <c r="M52" s="623" t="n"/>
      <c r="N52" s="103">
        <f>(L52-L51)/L51</f>
        <v/>
      </c>
      <c r="O52" s="103">
        <f>(L52-M52)/M52</f>
        <v/>
      </c>
      <c r="P52" s="567">
        <f>D52/H52</f>
        <v/>
      </c>
      <c r="Q52" s="567">
        <f>E52/I52</f>
        <v/>
      </c>
      <c r="R52" s="103">
        <f>(P52-P51)/P51</f>
        <v/>
      </c>
      <c r="S52" s="103">
        <f>(P52-Q52)/Q52</f>
        <v/>
      </c>
      <c r="T52" s="567">
        <f>D52/L52</f>
        <v/>
      </c>
      <c r="U52" s="566">
        <f>E52/M52</f>
        <v/>
      </c>
      <c r="V52" s="103">
        <f>(T52-T51)/T51</f>
        <v/>
      </c>
      <c r="W52" s="103">
        <f>(T52-U52)/U52</f>
        <v/>
      </c>
      <c r="X52" s="568" t="n"/>
      <c r="Y52" s="568" t="n"/>
      <c r="Z52" s="103">
        <f>(X52-X51)/X51</f>
        <v/>
      </c>
      <c r="AA52" s="103">
        <f>(X52-Y52)/Y52</f>
        <v/>
      </c>
      <c r="AB52" s="588" t="n"/>
      <c r="AC52" s="568" t="n"/>
      <c r="AD52" s="52">
        <f>(AB52-AB51)/AB51</f>
        <v/>
      </c>
      <c r="AE52" s="103">
        <f>(AB52-AC52)/AC52</f>
        <v/>
      </c>
      <c r="AF52" s="103" t="n"/>
      <c r="AG52" s="103" t="n"/>
      <c r="AH52" s="103" t="n"/>
      <c r="AI52" s="103" t="n"/>
      <c r="AJ52" s="566">
        <f>D52/AB52</f>
        <v/>
      </c>
      <c r="AK52" s="568">
        <f>E52/AC52</f>
        <v/>
      </c>
      <c r="AL52" s="103">
        <f>(AJ52-AJ51)/AJ51</f>
        <v/>
      </c>
      <c r="AM52" s="103">
        <f>(AJ52-AK52)/AK52</f>
        <v/>
      </c>
      <c r="AN52" s="568" t="n"/>
      <c r="AO52" s="568" t="n"/>
      <c r="AP52" s="52">
        <f>(AN52-AN51)/AN51</f>
        <v/>
      </c>
      <c r="AQ52" s="103">
        <f>(AN52-AO52)/AO52</f>
        <v/>
      </c>
      <c r="AR52" s="588" t="n"/>
      <c r="AS52" s="588" t="n"/>
      <c r="AT52" s="52">
        <f>(AR52-AR51)/AR51</f>
        <v/>
      </c>
      <c r="AU52" s="103">
        <f>(AR52-AS52)/AS52</f>
        <v/>
      </c>
      <c r="AV52" s="103" t="n"/>
      <c r="AW52" s="103" t="n"/>
      <c r="AX52" s="103" t="n"/>
      <c r="AY52" s="103" t="n"/>
      <c r="AZ52" s="82">
        <f>AN52/AR52</f>
        <v/>
      </c>
      <c r="BA52" s="82">
        <f>AO52/AS52</f>
        <v/>
      </c>
      <c r="BB52" s="52">
        <f>(AZ52-AZ51)/AZ51</f>
        <v/>
      </c>
      <c r="BC52" s="103">
        <f>(AZ52-BA52)/BA52</f>
        <v/>
      </c>
    </row>
    <row customFormat="1" customHeight="1" ht="15.75" r="53" s="357" spans="1:57">
      <c r="A53" s="69" t="s">
        <v>52</v>
      </c>
      <c r="B53" s="69" t="s">
        <v>135</v>
      </c>
      <c r="C53" s="70">
        <f>C52+7</f>
        <v/>
      </c>
      <c r="D53" s="571" t="n"/>
      <c r="E53" s="624" t="n"/>
      <c r="F53" s="73">
        <f>(D53-D52)/D52</f>
        <v/>
      </c>
      <c r="G53" s="104">
        <f>(D53-E53)/E53</f>
        <v/>
      </c>
      <c r="H53" s="571">
        <f>L53*1.085</f>
        <v/>
      </c>
      <c r="I53" s="571">
        <f>M53*1.085</f>
        <v/>
      </c>
      <c r="J53" s="104">
        <f>(H53-H52)/H52</f>
        <v/>
      </c>
      <c r="K53" s="104">
        <f>(H53-I53)/I53</f>
        <v/>
      </c>
      <c r="L53" s="571" t="n"/>
      <c r="M53" s="624" t="n"/>
      <c r="N53" s="104">
        <f>(L53-L52)/L52</f>
        <v/>
      </c>
      <c r="O53" s="104">
        <f>(L53-M53)/M53</f>
        <v/>
      </c>
      <c r="P53" s="572">
        <f>D53/H53</f>
        <v/>
      </c>
      <c r="Q53" s="572">
        <f>E53/I53</f>
        <v/>
      </c>
      <c r="R53" s="104">
        <f>(P53-P52)/P52</f>
        <v/>
      </c>
      <c r="S53" s="104">
        <f>(P53-Q53)/Q53</f>
        <v/>
      </c>
      <c r="T53" s="572">
        <f>D53/L53</f>
        <v/>
      </c>
      <c r="U53" s="571">
        <f>E53/M53</f>
        <v/>
      </c>
      <c r="V53" s="104">
        <f>(T53-T52)/T52</f>
        <v/>
      </c>
      <c r="W53" s="104">
        <f>(T53-U53)/U53</f>
        <v/>
      </c>
      <c r="X53" s="573" t="n"/>
      <c r="Y53" s="573" t="n"/>
      <c r="Z53" s="104">
        <f>(X53-X52)/X52</f>
        <v/>
      </c>
      <c r="AA53" s="104">
        <f>(X53-Y53)/Y53</f>
        <v/>
      </c>
      <c r="AB53" s="589" t="n"/>
      <c r="AC53" s="573" t="n"/>
      <c r="AD53" s="73">
        <f>(AB53-AB52)/AB52</f>
        <v/>
      </c>
      <c r="AE53" s="104">
        <f>(AB53-AC53)/AC53</f>
        <v/>
      </c>
      <c r="AF53" s="104" t="n"/>
      <c r="AG53" s="104" t="n"/>
      <c r="AH53" s="104" t="n"/>
      <c r="AI53" s="104" t="n"/>
      <c r="AJ53" s="571">
        <f>D53/AB53</f>
        <v/>
      </c>
      <c r="AK53" s="573">
        <f>E53/AC53</f>
        <v/>
      </c>
      <c r="AL53" s="104">
        <f>(AJ53-AJ52)/AJ52</f>
        <v/>
      </c>
      <c r="AM53" s="104">
        <f>(AJ53-AK53)/AK53</f>
        <v/>
      </c>
      <c r="AN53" s="573" t="n"/>
      <c r="AO53" s="573" t="n"/>
      <c r="AP53" s="73">
        <f>(AN53-AN52)/AN52</f>
        <v/>
      </c>
      <c r="AQ53" s="104">
        <f>(AN53-AO53)/AO53</f>
        <v/>
      </c>
      <c r="AR53" s="589" t="n"/>
      <c r="AS53" s="589" t="n"/>
      <c r="AT53" s="73">
        <f>(AR53-AR52)/AR52</f>
        <v/>
      </c>
      <c r="AU53" s="104">
        <f>(AR53-AS53)/AS53</f>
        <v/>
      </c>
      <c r="AV53" s="104" t="n"/>
      <c r="AW53" s="104" t="n"/>
      <c r="AX53" s="104" t="n"/>
      <c r="AY53" s="104" t="n"/>
      <c r="AZ53" s="83">
        <f>AN53/AR53</f>
        <v/>
      </c>
      <c r="BA53" s="83">
        <f>AO53/AS53</f>
        <v/>
      </c>
      <c r="BB53" s="73">
        <f>(AZ53-AZ52)/AZ52</f>
        <v/>
      </c>
      <c r="BC53" s="104">
        <f>(AZ53-BA53)/BA53</f>
        <v/>
      </c>
      <c r="BD53" s="357" t="n"/>
    </row>
    <row customFormat="1" customHeight="1" ht="19.5" r="54" s="182" spans="1:57">
      <c r="A54" s="172" t="s">
        <v>137</v>
      </c>
      <c r="B54" s="173" t="n"/>
      <c r="C54" s="174" t="n"/>
      <c r="D54" s="617">
        <f>SUM(D2:D53)</f>
        <v/>
      </c>
      <c r="E54" s="617">
        <f>SUM(E2:E53)</f>
        <v/>
      </c>
      <c r="F54" s="617" t="n"/>
      <c r="G54" s="190">
        <f>(D54-E54)/E54</f>
        <v/>
      </c>
      <c r="H54" s="617">
        <f>SUM(H2:H53)</f>
        <v/>
      </c>
      <c r="I54" s="617">
        <f>SUM(I2:I53)</f>
        <v/>
      </c>
      <c r="J54" s="191" t="n"/>
      <c r="K54" s="191">
        <f>(H54-I54)/I54</f>
        <v/>
      </c>
      <c r="L54" s="617">
        <f>SUM(L2:L53)</f>
        <v/>
      </c>
      <c r="M54" s="617">
        <f>SUM(M2:M53)</f>
        <v/>
      </c>
      <c r="N54" s="191" t="n"/>
      <c r="O54" s="191">
        <f>(L54-M54)/M54</f>
        <v/>
      </c>
      <c r="P54" s="618" t="n"/>
      <c r="Q54" s="618" t="n"/>
      <c r="R54" s="191" t="n"/>
      <c r="S54" s="190">
        <f>(P54-Q54)/Q54</f>
        <v/>
      </c>
      <c r="T54" s="618">
        <f>D54/L54</f>
        <v/>
      </c>
      <c r="U54" s="618">
        <f>E54/M54</f>
        <v/>
      </c>
      <c r="V54" s="191" t="n"/>
      <c r="W54" s="190">
        <f>(T54-U54)/U54</f>
        <v/>
      </c>
      <c r="X54" s="619">
        <f>SUM(X2:X53)</f>
        <v/>
      </c>
      <c r="Y54" s="619">
        <f>SUM(Y2:Y53)</f>
        <v/>
      </c>
      <c r="Z54" s="191" t="n"/>
      <c r="AA54" s="190">
        <f>(X54-Y54)/Y54</f>
        <v/>
      </c>
      <c r="AB54" s="619">
        <f>SUM(AB2:AB53)</f>
        <v/>
      </c>
      <c r="AC54" s="619">
        <f>SUM(AC2:AC53)</f>
        <v/>
      </c>
      <c r="AD54" s="619" t="n"/>
      <c r="AE54" s="190">
        <f>(AB54-AC54)/AC54</f>
        <v/>
      </c>
      <c r="AF54" s="447" t="n"/>
      <c r="AG54" s="447" t="n"/>
      <c r="AH54" s="447" t="n"/>
      <c r="AI54" s="447" t="n"/>
      <c r="AJ54" s="617">
        <f>D54/AB54</f>
        <v/>
      </c>
      <c r="AK54" s="617">
        <f>E54/AC54</f>
        <v/>
      </c>
      <c r="AL54" s="191" t="n"/>
      <c r="AM54" s="191">
        <f>(AJ54-AK54)/AK54</f>
        <v/>
      </c>
      <c r="AN54" s="619">
        <f>SUM(AN2:AN53)</f>
        <v/>
      </c>
      <c r="AO54" s="619">
        <f>SUM(AO2:AO53)</f>
        <v/>
      </c>
      <c r="AP54" s="619" t="n"/>
      <c r="AQ54" s="190">
        <f>(AN54-AO54)/AO54</f>
        <v/>
      </c>
      <c r="AR54" s="619">
        <f>SUM(AR2:AR53)</f>
        <v/>
      </c>
      <c r="AS54" s="619">
        <f>SUM(AS2:AS53)</f>
        <v/>
      </c>
      <c r="AT54" s="619" t="n"/>
      <c r="AU54" s="190">
        <f>(AR54-AS54)/AS54</f>
        <v/>
      </c>
      <c r="AV54" s="447" t="n"/>
      <c r="AW54" s="447" t="n"/>
      <c r="AX54" s="447" t="n"/>
      <c r="AY54" s="447" t="n"/>
      <c r="AZ54" s="178">
        <f>AN54/AR54</f>
        <v/>
      </c>
      <c r="BA54" s="178">
        <f>AO54/AS54</f>
        <v/>
      </c>
      <c r="BB54" s="619" t="n"/>
      <c r="BC54" s="191">
        <f>(AZ54-BA54)/BA54</f>
        <v/>
      </c>
      <c r="BD54" s="182" t="n"/>
    </row>
    <row customHeight="1" ht="15.75" r="55" s="452" spans="1:57">
      <c r="A55" s="44" t="n"/>
      <c r="B55" s="221" t="n"/>
      <c r="C55" s="221" t="n"/>
      <c r="D55" s="535" t="n"/>
      <c r="E55" s="535" t="n"/>
      <c r="F55" s="535" t="n"/>
      <c r="G55" s="535" t="n"/>
      <c r="H55" s="535" t="n"/>
      <c r="I55" s="535" t="n"/>
      <c r="J55" s="404" t="n"/>
      <c r="K55" s="535" t="n"/>
      <c r="L55" s="535" t="n"/>
      <c r="M55" s="535" t="n"/>
      <c r="N55" s="404" t="n"/>
      <c r="O55" s="535" t="n"/>
      <c r="P55" s="536" t="n"/>
      <c r="Q55" s="536" t="n"/>
      <c r="R55" s="404" t="n"/>
      <c r="S55" s="537" t="n"/>
      <c r="T55" s="536" t="n"/>
      <c r="U55" s="536" t="n"/>
      <c r="V55" s="404" t="n"/>
      <c r="W55" s="537" t="n"/>
      <c r="X55" s="537" t="n"/>
      <c r="Y55" s="537" t="n"/>
      <c r="Z55" s="404" t="n"/>
      <c r="AA55" s="537" t="n"/>
      <c r="AB55" s="537" t="n"/>
      <c r="AC55" s="537" t="n"/>
      <c r="AD55" s="537" t="n"/>
      <c r="AE55" s="537" t="n"/>
      <c r="AF55" s="537" t="n"/>
      <c r="AG55" s="537" t="n"/>
      <c r="AH55" s="537" t="n"/>
      <c r="AI55" s="537" t="n"/>
      <c r="AJ55" s="537" t="n"/>
      <c r="AK55" s="537" t="n"/>
      <c r="AL55" s="537" t="n"/>
      <c r="AM55" s="537" t="n"/>
      <c r="AN55" s="537" t="n"/>
      <c r="AO55" s="537" t="n"/>
      <c r="AP55" s="537" t="n"/>
      <c r="AQ55" s="537" t="n"/>
      <c r="AR55" s="537" t="n"/>
      <c r="AS55" s="537" t="n"/>
      <c r="AT55" s="537" t="n"/>
      <c r="AU55" s="537" t="n"/>
      <c r="AV55" s="537" t="n"/>
      <c r="AW55" s="537" t="n"/>
      <c r="AX55" s="537" t="n"/>
      <c r="AY55" s="537" t="n"/>
      <c r="AZ55" s="537" t="n"/>
      <c r="BA55" s="537" t="n"/>
      <c r="BB55" s="537" t="n"/>
      <c r="BC55" s="537" t="n"/>
    </row>
    <row customHeight="1" ht="15.75" r="56" s="452" spans="1:57">
      <c r="A56" s="44" t="n"/>
      <c r="D56" s="535" t="n"/>
      <c r="E56" s="535" t="n"/>
      <c r="F56" s="535" t="n"/>
      <c r="G56" s="535" t="n"/>
      <c r="H56" s="535" t="n"/>
      <c r="I56" s="535" t="n"/>
      <c r="J56" s="404" t="n"/>
      <c r="K56" s="535" t="n"/>
      <c r="L56" s="535" t="n"/>
      <c r="M56" s="535" t="n"/>
      <c r="N56" s="404" t="n"/>
      <c r="O56" s="535" t="n"/>
      <c r="P56" s="536" t="n"/>
      <c r="Q56" s="536" t="n"/>
      <c r="R56" s="404" t="n"/>
      <c r="S56" s="537" t="n"/>
      <c r="T56" s="536" t="n"/>
      <c r="U56" s="536" t="n"/>
      <c r="V56" s="404" t="n"/>
      <c r="W56" s="537" t="n"/>
      <c r="X56" s="537" t="n"/>
      <c r="Y56" s="537" t="n"/>
      <c r="Z56" s="404" t="n"/>
      <c r="AA56" s="537" t="n"/>
      <c r="AB56" s="537" t="n"/>
      <c r="AC56" s="537" t="n"/>
      <c r="AD56" s="537" t="n"/>
      <c r="AE56" s="537" t="n"/>
      <c r="AF56" s="537" t="n"/>
      <c r="AG56" s="537" t="n"/>
      <c r="AH56" s="537" t="n"/>
      <c r="AI56" s="537" t="n"/>
      <c r="AJ56" s="537" t="n"/>
      <c r="AK56" s="537" t="n"/>
      <c r="AL56" s="537" t="n"/>
      <c r="AM56" s="537" t="n"/>
      <c r="AN56" s="537" t="n"/>
      <c r="AO56" s="537" t="n"/>
      <c r="AP56" s="537" t="n"/>
      <c r="AQ56" s="537" t="n"/>
      <c r="AR56" s="537" t="n"/>
      <c r="AS56" s="537" t="n"/>
      <c r="AT56" s="537" t="n"/>
      <c r="AU56" s="537" t="n"/>
      <c r="AV56" s="537" t="n"/>
      <c r="AW56" s="537" t="n"/>
      <c r="AX56" s="537" t="n"/>
      <c r="AY56" s="537" t="n"/>
      <c r="AZ56" s="537" t="n"/>
      <c r="BA56" s="537" t="n"/>
      <c r="BB56" s="537" t="n"/>
      <c r="BC56" s="537" t="n"/>
    </row>
    <row customHeight="1" ht="15.75" r="57" s="452" spans="1:57">
      <c r="A57" s="44" t="n"/>
      <c r="B57" s="44" t="n"/>
      <c r="C57" s="46" t="n"/>
      <c r="D57" s="535" t="n"/>
      <c r="E57" s="535" t="n"/>
      <c r="F57" s="535" t="n"/>
      <c r="G57" s="535" t="n"/>
      <c r="H57" s="535" t="n"/>
      <c r="I57" s="535" t="n"/>
      <c r="J57" s="404" t="n"/>
      <c r="K57" s="535" t="n"/>
      <c r="L57" s="535" t="n"/>
      <c r="M57" s="535" t="n"/>
      <c r="N57" s="404" t="n"/>
      <c r="O57" s="535" t="n"/>
      <c r="P57" s="536" t="n"/>
      <c r="Q57" s="536" t="n"/>
      <c r="R57" s="404" t="n"/>
      <c r="S57" s="537" t="n"/>
      <c r="T57" s="536" t="n"/>
      <c r="U57" s="536" t="n"/>
      <c r="V57" s="404" t="n"/>
      <c r="W57" s="537" t="n"/>
      <c r="X57" s="537" t="n"/>
      <c r="Y57" s="537" t="n"/>
      <c r="Z57" s="404" t="n"/>
      <c r="AA57" s="537" t="n"/>
      <c r="AB57" s="537" t="n"/>
      <c r="AC57" s="537" t="n"/>
      <c r="AD57" s="537" t="n"/>
      <c r="AE57" s="537" t="n"/>
      <c r="AF57" s="537" t="n"/>
      <c r="AG57" s="537" t="n"/>
      <c r="AH57" s="537" t="n"/>
      <c r="AI57" s="537" t="n"/>
      <c r="AJ57" s="537" t="n"/>
      <c r="AK57" s="537" t="n"/>
      <c r="AL57" s="537" t="n"/>
      <c r="AM57" s="537" t="n"/>
      <c r="AN57" s="537" t="n"/>
      <c r="AO57" s="537" t="n"/>
      <c r="AP57" s="537" t="n"/>
      <c r="AQ57" s="537" t="n"/>
      <c r="AR57" s="537" t="n"/>
      <c r="AS57" s="537" t="n"/>
      <c r="AT57" s="537" t="n"/>
      <c r="AU57" s="537" t="n"/>
      <c r="AV57" s="537" t="n"/>
      <c r="AW57" s="537" t="n"/>
      <c r="AX57" s="537" t="n"/>
      <c r="AY57" s="537" t="n"/>
      <c r="AZ57" s="537" t="n"/>
      <c r="BA57" s="537" t="n"/>
      <c r="BB57" s="537" t="n"/>
      <c r="BC57" s="537" t="n"/>
    </row>
    <row customHeight="1" ht="15.75" r="58" s="452" spans="1:57">
      <c r="A58" s="44" t="n"/>
      <c r="J58" s="404" t="n"/>
      <c r="N58" s="404" t="n"/>
      <c r="R58" s="404" t="n"/>
      <c r="V58" s="404" t="n"/>
      <c r="Z58" s="404" t="n"/>
      <c r="AN58" s="537" t="n"/>
      <c r="AO58" s="537" t="n"/>
      <c r="AR58" s="537" t="n"/>
      <c r="AS58" s="537" t="n"/>
    </row>
    <row customHeight="1" ht="15.75" r="59" s="452" spans="1:57">
      <c r="A59" s="44" t="n"/>
      <c r="J59" s="404" t="n"/>
      <c r="N59" s="404" t="n"/>
      <c r="R59" s="404" t="n"/>
      <c r="V59" s="404" t="n"/>
      <c r="Z59" s="404" t="n"/>
      <c r="AN59" s="537" t="n"/>
      <c r="AO59" s="537" t="n"/>
      <c r="AR59" s="537" t="n"/>
      <c r="AS59" s="537" t="n"/>
    </row>
    <row customHeight="1" ht="15.75" r="60" s="452" spans="1:57">
      <c r="A60" s="44" t="n"/>
      <c r="J60" s="404" t="n"/>
      <c r="N60" s="404" t="n"/>
      <c r="R60" s="404" t="n"/>
      <c r="V60" s="404" t="n"/>
      <c r="Z60" s="404" t="n"/>
      <c r="AN60" s="537" t="n"/>
      <c r="AO60" s="537" t="n"/>
      <c r="AR60" s="537" t="n"/>
      <c r="AS60" s="537" t="n"/>
    </row>
    <row customHeight="1" ht="15.75" r="61" s="452" spans="1:57">
      <c r="A61" s="44" t="n"/>
      <c r="J61" s="404" t="n"/>
      <c r="N61" s="404" t="n"/>
      <c r="R61" s="404" t="n"/>
      <c r="V61" s="404" t="n"/>
      <c r="Z61" s="404" t="n"/>
      <c r="AN61" s="537" t="n"/>
      <c r="AO61" s="537" t="n"/>
      <c r="AR61" s="537" t="n"/>
      <c r="AS61" s="537" t="n"/>
    </row>
    <row customHeight="1" ht="15.75" r="62" s="452" spans="1:57">
      <c r="A62" s="44" t="n"/>
      <c r="J62" s="404" t="n"/>
      <c r="N62" s="404" t="n"/>
      <c r="R62" s="404" t="n"/>
      <c r="V62" s="404" t="n"/>
      <c r="Z62" s="404" t="n"/>
      <c r="AN62" s="537" t="n"/>
      <c r="AO62" s="537" t="n"/>
      <c r="AR62" s="537" t="n"/>
      <c r="AS62" s="537" t="n"/>
    </row>
    <row customHeight="1" ht="15.75" r="63" s="452" spans="1:57">
      <c r="A63" s="44" t="n"/>
      <c r="J63" s="404" t="n"/>
      <c r="N63" s="404" t="n"/>
      <c r="R63" s="404" t="n"/>
      <c r="V63" s="404" t="n"/>
      <c r="Z63" s="404" t="n"/>
      <c r="AN63" s="537" t="n"/>
      <c r="AO63" s="537" t="n"/>
      <c r="AR63" s="537" t="n"/>
      <c r="AS63" s="537" t="n"/>
    </row>
    <row customHeight="1" ht="15.75" r="64" s="452" spans="1:57">
      <c r="A64" s="44" t="n"/>
      <c r="J64" s="404" t="n"/>
      <c r="N64" s="404" t="n"/>
      <c r="R64" s="404" t="n"/>
      <c r="V64" s="404" t="n"/>
      <c r="Z64" s="404" t="n"/>
      <c r="AN64" s="537" t="n"/>
      <c r="AO64" s="537" t="n"/>
      <c r="AR64" s="537" t="n"/>
      <c r="AS64" s="537" t="n"/>
    </row>
    <row customHeight="1" ht="15.75" r="65" s="452" spans="1:57">
      <c r="A65" s="44" t="n"/>
      <c r="J65" s="404" t="n"/>
      <c r="N65" s="404" t="n"/>
      <c r="R65" s="404" t="n"/>
      <c r="V65" s="404" t="n"/>
      <c r="Z65" s="404" t="n"/>
      <c r="AN65" s="537" t="n"/>
      <c r="AO65" s="537" t="n"/>
      <c r="AR65" s="537" t="n"/>
      <c r="AS65" s="537" t="n"/>
    </row>
    <row customHeight="1" ht="15.75" r="66" s="452" spans="1:57">
      <c r="A66" s="44" t="n"/>
      <c r="J66" s="404" t="n"/>
      <c r="N66" s="404" t="n"/>
      <c r="R66" s="404" t="n"/>
      <c r="V66" s="404" t="n"/>
      <c r="Z66" s="404" t="n"/>
      <c r="AN66" s="537" t="n"/>
      <c r="AO66" s="537" t="n"/>
      <c r="AR66" s="537" t="n"/>
      <c r="AS66" s="537" t="n"/>
    </row>
    <row customHeight="1" ht="15.75" r="67" s="452" spans="1:57">
      <c r="A67" s="44" t="n"/>
      <c r="J67" s="404" t="n"/>
      <c r="N67" s="404" t="n"/>
      <c r="R67" s="404" t="n"/>
      <c r="V67" s="404" t="n"/>
      <c r="Z67" s="404" t="n"/>
      <c r="AN67" s="537" t="n"/>
      <c r="AO67" s="537" t="n"/>
      <c r="AR67" s="537" t="n"/>
      <c r="AS67" s="537" t="n"/>
    </row>
    <row customHeight="1" ht="15.75" r="68" s="452" spans="1:57">
      <c r="A68" s="44" t="n"/>
      <c r="J68" s="404" t="n"/>
      <c r="N68" s="404" t="n"/>
      <c r="R68" s="404" t="n"/>
      <c r="V68" s="404" t="n"/>
      <c r="Z68" s="404" t="n"/>
      <c r="AN68" s="537" t="n"/>
      <c r="AO68" s="537" t="n"/>
      <c r="AR68" s="537" t="n"/>
      <c r="AS68" s="537" t="n"/>
    </row>
    <row customHeight="1" ht="15.75" r="69" s="452" spans="1:57">
      <c r="A69" s="44" t="n"/>
      <c r="J69" s="404" t="n"/>
      <c r="N69" s="404" t="n"/>
      <c r="R69" s="404" t="n"/>
      <c r="V69" s="404" t="n"/>
      <c r="Z69" s="404" t="n"/>
      <c r="AN69" s="537" t="n"/>
      <c r="AO69" s="537" t="n"/>
      <c r="AR69" s="537" t="n"/>
      <c r="AS69" s="537" t="n"/>
    </row>
    <row customHeight="1" ht="15.75" r="70" s="452" spans="1:57">
      <c r="A70" s="44" t="n"/>
      <c r="J70" s="404" t="n"/>
      <c r="N70" s="404" t="n"/>
      <c r="R70" s="404" t="n"/>
      <c r="V70" s="404" t="n"/>
      <c r="Z70" s="404" t="n"/>
      <c r="AN70" s="537" t="n"/>
      <c r="AO70" s="537" t="n"/>
      <c r="AR70" s="537" t="n"/>
      <c r="AS70" s="537" t="n"/>
    </row>
    <row customHeight="1" ht="15.75" r="71" s="452" spans="1:57">
      <c r="A71" s="44" t="n"/>
      <c r="J71" s="404" t="n"/>
      <c r="N71" s="404" t="n"/>
      <c r="R71" s="404" t="n"/>
      <c r="V71" s="404" t="n"/>
      <c r="Z71" s="404" t="n"/>
      <c r="AN71" s="537" t="n"/>
      <c r="AO71" s="537" t="n"/>
      <c r="AR71" s="537" t="n"/>
      <c r="AS71" s="537" t="n"/>
    </row>
    <row customHeight="1" ht="15.75" r="72" s="452" spans="1:57">
      <c r="A72" s="44" t="n"/>
      <c r="J72" s="404" t="n"/>
      <c r="N72" s="404" t="n"/>
      <c r="R72" s="404" t="n"/>
      <c r="V72" s="404" t="n"/>
      <c r="Z72" s="404" t="n"/>
      <c r="AN72" s="537" t="n"/>
      <c r="AO72" s="537" t="n"/>
      <c r="AR72" s="537" t="n"/>
      <c r="AS72" s="537" t="n"/>
    </row>
    <row customHeight="1" ht="15.75" r="73" s="452" spans="1:57">
      <c r="A73" s="44" t="n"/>
      <c r="J73" s="404" t="n"/>
      <c r="N73" s="404" t="n"/>
      <c r="R73" s="404" t="n"/>
      <c r="V73" s="404" t="n"/>
      <c r="Z73" s="404" t="n"/>
      <c r="AN73" s="537" t="n"/>
      <c r="AO73" s="537" t="n"/>
      <c r="AR73" s="537" t="n"/>
      <c r="AS73" s="537" t="n"/>
    </row>
    <row customHeight="1" ht="15.75" r="74" s="452" spans="1:57">
      <c r="A74" s="44" t="n"/>
      <c r="J74" s="404" t="n"/>
      <c r="N74" s="404" t="n"/>
      <c r="R74" s="404" t="n"/>
      <c r="V74" s="404" t="n"/>
      <c r="Z74" s="404" t="n"/>
      <c r="AN74" s="537" t="n"/>
      <c r="AO74" s="537" t="n"/>
      <c r="AR74" s="537" t="n"/>
      <c r="AS74" s="537" t="n"/>
    </row>
    <row customHeight="1" ht="15.75" r="75" s="452" spans="1:57">
      <c r="A75" s="44" t="n"/>
      <c r="J75" s="404" t="n"/>
      <c r="N75" s="404" t="n"/>
      <c r="R75" s="404" t="n"/>
      <c r="V75" s="404" t="n"/>
      <c r="Z75" s="404" t="n"/>
      <c r="AN75" s="537" t="n"/>
      <c r="AO75" s="537" t="n"/>
      <c r="AR75" s="537" t="n"/>
      <c r="AS75" s="537" t="n"/>
    </row>
    <row customHeight="1" ht="15.75" r="76" s="452" spans="1:57">
      <c r="A76" s="44" t="n"/>
      <c r="J76" s="404" t="n"/>
      <c r="N76" s="404" t="n"/>
      <c r="R76" s="404" t="n"/>
      <c r="V76" s="404" t="n"/>
      <c r="Z76" s="404" t="n"/>
      <c r="AN76" s="537" t="n"/>
      <c r="AO76" s="537" t="n"/>
      <c r="AR76" s="537" t="n"/>
      <c r="AS76" s="537" t="n"/>
    </row>
    <row customHeight="1" ht="15.75" r="77" s="452" spans="1:57">
      <c r="A77" s="44" t="n"/>
      <c r="J77" s="404" t="n"/>
      <c r="N77" s="404" t="n"/>
      <c r="R77" s="404" t="n"/>
      <c r="V77" s="404" t="n"/>
      <c r="Z77" s="404" t="n"/>
      <c r="AN77" s="537" t="n"/>
      <c r="AO77" s="537" t="n"/>
      <c r="AR77" s="537" t="n"/>
      <c r="AS77" s="537" t="n"/>
    </row>
    <row customHeight="1" ht="15.75" r="78" s="452" spans="1:57">
      <c r="A78" s="44" t="n"/>
      <c r="J78" s="404" t="n"/>
      <c r="N78" s="404" t="n"/>
      <c r="R78" s="404" t="n"/>
      <c r="V78" s="404" t="n"/>
      <c r="Z78" s="404" t="n"/>
      <c r="AN78" s="537" t="n"/>
      <c r="AO78" s="537" t="n"/>
      <c r="AR78" s="537" t="n"/>
      <c r="AS78" s="537" t="n"/>
    </row>
    <row customHeight="1" ht="15.75" r="79" s="452" spans="1:57">
      <c r="A79" s="44" t="n"/>
      <c r="J79" s="404" t="n"/>
      <c r="N79" s="404" t="n"/>
      <c r="R79" s="404" t="n"/>
      <c r="V79" s="404" t="n"/>
      <c r="Z79" s="404" t="n"/>
      <c r="AN79" s="537" t="n"/>
      <c r="AO79" s="537" t="n"/>
      <c r="AR79" s="537" t="n"/>
      <c r="AS79" s="537" t="n"/>
    </row>
    <row customHeight="1" ht="15.75" r="80" s="452" spans="1:57">
      <c r="A80" s="44" t="n"/>
      <c r="J80" s="404" t="n"/>
      <c r="N80" s="404" t="n"/>
      <c r="R80" s="404" t="n"/>
      <c r="V80" s="404" t="n"/>
      <c r="Z80" s="404" t="n"/>
      <c r="AN80" s="537" t="n"/>
      <c r="AO80" s="537" t="n"/>
      <c r="AR80" s="537" t="n"/>
      <c r="AS80" s="537" t="n"/>
    </row>
    <row customHeight="1" ht="15.75" r="81" s="452" spans="1:57">
      <c r="A81" s="44" t="n"/>
      <c r="J81" s="404" t="n"/>
      <c r="N81" s="404" t="n"/>
      <c r="R81" s="404" t="n"/>
      <c r="V81" s="404" t="n"/>
      <c r="Z81" s="404" t="n"/>
      <c r="AN81" s="537" t="n"/>
      <c r="AO81" s="537" t="n"/>
      <c r="AR81" s="537" t="n"/>
      <c r="AS81" s="537" t="n"/>
    </row>
    <row customHeight="1" ht="15.75" r="82" s="452" spans="1:57">
      <c r="A82" s="44" t="n"/>
      <c r="J82" s="404" t="n"/>
      <c r="N82" s="404" t="n"/>
      <c r="R82" s="404" t="n"/>
      <c r="V82" s="404" t="n"/>
      <c r="Z82" s="404" t="n"/>
      <c r="AN82" s="537" t="n"/>
      <c r="AO82" s="537" t="n"/>
      <c r="AR82" s="537" t="n"/>
      <c r="AS82" s="537" t="n"/>
    </row>
    <row customHeight="1" ht="15.75" r="83" s="452" spans="1:57">
      <c r="A83" s="44" t="n"/>
      <c r="J83" s="404" t="n"/>
      <c r="N83" s="404" t="n"/>
      <c r="R83" s="404" t="n"/>
      <c r="V83" s="404" t="n"/>
      <c r="Z83" s="404" t="n"/>
      <c r="AN83" s="537" t="n"/>
      <c r="AO83" s="537" t="n"/>
      <c r="AR83" s="537" t="n"/>
      <c r="AS83" s="537" t="n"/>
    </row>
    <row customHeight="1" ht="15.75" r="84" s="452" spans="1:57">
      <c r="A84" s="44" t="n"/>
      <c r="J84" s="404" t="n"/>
      <c r="N84" s="404" t="n"/>
      <c r="R84" s="404" t="n"/>
      <c r="V84" s="404" t="n"/>
      <c r="Z84" s="404" t="n"/>
      <c r="AN84" s="537" t="n"/>
      <c r="AO84" s="537" t="n"/>
      <c r="AR84" s="537" t="n"/>
      <c r="AS84" s="537" t="n"/>
    </row>
    <row customHeight="1" ht="15.75" r="85" s="452" spans="1:57">
      <c r="A85" s="44" t="n"/>
      <c r="J85" s="404" t="n"/>
      <c r="N85" s="404" t="n"/>
      <c r="R85" s="404" t="n"/>
      <c r="V85" s="404" t="n"/>
      <c r="Z85" s="404" t="n"/>
      <c r="AN85" s="537" t="n"/>
      <c r="AO85" s="537" t="n"/>
      <c r="AR85" s="537" t="n"/>
      <c r="AS85" s="537" t="n"/>
    </row>
    <row customHeight="1" ht="15.75" r="86" s="452" spans="1:57">
      <c r="A86" s="44" t="n"/>
      <c r="J86" s="404" t="n"/>
      <c r="N86" s="404" t="n"/>
      <c r="R86" s="404" t="n"/>
      <c r="V86" s="404" t="n"/>
      <c r="Z86" s="404" t="n"/>
      <c r="AN86" s="537" t="n"/>
      <c r="AO86" s="537" t="n"/>
      <c r="AR86" s="537" t="n"/>
      <c r="AS86" s="537" t="n"/>
    </row>
    <row customHeight="1" ht="15.75" r="87" s="452" spans="1:57">
      <c r="A87" s="44" t="n"/>
      <c r="J87" s="404" t="n"/>
      <c r="N87" s="404" t="n"/>
      <c r="R87" s="404" t="n"/>
      <c r="V87" s="404" t="n"/>
      <c r="Z87" s="404" t="n"/>
      <c r="AN87" s="537" t="n"/>
      <c r="AO87" s="537" t="n"/>
      <c r="AR87" s="537" t="n"/>
      <c r="AS87" s="537" t="n"/>
    </row>
    <row customHeight="1" ht="15.75" r="88" s="452" spans="1:57">
      <c r="A88" s="44" t="n"/>
      <c r="J88" s="404" t="n"/>
      <c r="N88" s="404" t="n"/>
      <c r="R88" s="404" t="n"/>
      <c r="V88" s="404" t="n"/>
      <c r="Z88" s="404" t="n"/>
      <c r="AN88" s="537" t="n"/>
      <c r="AO88" s="537" t="n"/>
      <c r="AR88" s="537" t="n"/>
      <c r="AS88" s="537" t="n"/>
    </row>
    <row customHeight="1" ht="15.75" r="89" s="452" spans="1:57">
      <c r="A89" s="44" t="n"/>
      <c r="J89" s="404" t="n"/>
      <c r="N89" s="404" t="n"/>
      <c r="R89" s="404" t="n"/>
      <c r="V89" s="404" t="n"/>
      <c r="Z89" s="404" t="n"/>
      <c r="AN89" s="537" t="n"/>
      <c r="AO89" s="537" t="n"/>
      <c r="AR89" s="537" t="n"/>
      <c r="AS89" s="537" t="n"/>
    </row>
    <row customHeight="1" ht="15.75" r="90" s="452" spans="1:57">
      <c r="A90" s="44" t="n"/>
      <c r="J90" s="404" t="n"/>
      <c r="N90" s="404" t="n"/>
      <c r="R90" s="404" t="n"/>
      <c r="V90" s="404" t="n"/>
      <c r="Z90" s="404" t="n"/>
      <c r="AN90" s="537" t="n"/>
      <c r="AO90" s="537" t="n"/>
      <c r="AR90" s="537" t="n"/>
      <c r="AS90" s="537" t="n"/>
    </row>
    <row customHeight="1" ht="15.75" r="91" s="452" spans="1:57">
      <c r="A91" s="44" t="n"/>
      <c r="J91" s="404" t="n"/>
      <c r="N91" s="404" t="n"/>
      <c r="R91" s="404" t="n"/>
      <c r="V91" s="404" t="n"/>
      <c r="Z91" s="404" t="n"/>
      <c r="AN91" s="537" t="n"/>
      <c r="AO91" s="537" t="n"/>
      <c r="AR91" s="537" t="n"/>
      <c r="AS91" s="537" t="n"/>
    </row>
    <row customHeight="1" ht="15.75" r="92" s="452" spans="1:57">
      <c r="A92" s="44" t="n"/>
      <c r="J92" s="404" t="n"/>
      <c r="N92" s="404" t="n"/>
      <c r="R92" s="404" t="n"/>
      <c r="V92" s="404" t="n"/>
      <c r="Z92" s="404" t="n"/>
      <c r="AN92" s="537" t="n"/>
      <c r="AO92" s="537" t="n"/>
      <c r="AR92" s="537" t="n"/>
      <c r="AS92" s="537" t="n"/>
    </row>
    <row customHeight="1" ht="15.75" r="93" s="452" spans="1:57">
      <c r="A93" s="44" t="n"/>
      <c r="J93" s="404" t="n"/>
      <c r="N93" s="404" t="n"/>
      <c r="R93" s="404" t="n"/>
      <c r="V93" s="404" t="n"/>
      <c r="Z93" s="404" t="n"/>
      <c r="AN93" s="537" t="n"/>
      <c r="AO93" s="537" t="n"/>
      <c r="AR93" s="537" t="n"/>
      <c r="AS93" s="537" t="n"/>
    </row>
    <row customHeight="1" ht="15.75" r="94" s="452" spans="1:57">
      <c r="A94" s="44" t="n"/>
      <c r="J94" s="404" t="n"/>
      <c r="N94" s="404" t="n"/>
      <c r="R94" s="404" t="n"/>
      <c r="V94" s="404" t="n"/>
      <c r="Z94" s="404" t="n"/>
      <c r="AN94" s="537" t="n"/>
      <c r="AO94" s="537" t="n"/>
      <c r="AR94" s="537" t="n"/>
      <c r="AS94" s="537" t="n"/>
    </row>
    <row customHeight="1" ht="15.75" r="95" s="452" spans="1:57">
      <c r="A95" s="44" t="n"/>
      <c r="J95" s="404" t="n"/>
      <c r="N95" s="404" t="n"/>
      <c r="R95" s="404" t="n"/>
      <c r="V95" s="404" t="n"/>
      <c r="Z95" s="404" t="n"/>
      <c r="AN95" s="537" t="n"/>
      <c r="AO95" s="537" t="n"/>
      <c r="AR95" s="537" t="n"/>
      <c r="AS95" s="537" t="n"/>
    </row>
    <row customHeight="1" ht="15.75" r="96" s="452" spans="1:57">
      <c r="A96" s="44" t="n"/>
      <c r="J96" s="404" t="n"/>
      <c r="N96" s="404" t="n"/>
      <c r="R96" s="404" t="n"/>
      <c r="V96" s="404" t="n"/>
      <c r="Z96" s="404" t="n"/>
      <c r="AN96" s="537" t="n"/>
      <c r="AO96" s="537" t="n"/>
      <c r="AR96" s="537" t="n"/>
      <c r="AS96" s="537" t="n"/>
    </row>
    <row customHeight="1" ht="15.75" r="97" s="452" spans="1:57">
      <c r="A97" s="44" t="n"/>
      <c r="J97" s="404" t="n"/>
      <c r="N97" s="404" t="n"/>
      <c r="R97" s="404" t="n"/>
      <c r="V97" s="404" t="n"/>
      <c r="Z97" s="404" t="n"/>
      <c r="AN97" s="537" t="n"/>
      <c r="AO97" s="537" t="n"/>
      <c r="AR97" s="537" t="n"/>
      <c r="AS97" s="537" t="n"/>
    </row>
    <row customHeight="1" ht="15.75" r="98" s="452" spans="1:57">
      <c r="A98" s="44" t="n"/>
      <c r="J98" s="404" t="n"/>
      <c r="N98" s="404" t="n"/>
      <c r="R98" s="404" t="n"/>
      <c r="V98" s="404" t="n"/>
      <c r="Z98" s="404" t="n"/>
      <c r="AN98" s="537" t="n"/>
      <c r="AO98" s="537" t="n"/>
      <c r="AR98" s="537" t="n"/>
      <c r="AS98" s="537" t="n"/>
    </row>
    <row customHeight="1" ht="15.75" r="99" s="452" spans="1:57">
      <c r="A99" s="44" t="n"/>
      <c r="J99" s="404" t="n"/>
      <c r="N99" s="404" t="n"/>
      <c r="R99" s="404" t="n"/>
      <c r="V99" s="404" t="n"/>
      <c r="Z99" s="404" t="n"/>
      <c r="AN99" s="537" t="n"/>
      <c r="AO99" s="537" t="n"/>
      <c r="AR99" s="537" t="n"/>
      <c r="AS99" s="537" t="n"/>
    </row>
    <row customHeight="1" ht="15.75" r="100" s="452" spans="1:57">
      <c r="A100" s="44" t="n"/>
      <c r="J100" s="404" t="n"/>
      <c r="N100" s="404" t="n"/>
      <c r="R100" s="404" t="n"/>
      <c r="V100" s="404" t="n"/>
      <c r="Z100" s="404" t="n"/>
      <c r="AN100" s="537" t="n"/>
      <c r="AO100" s="537" t="n"/>
      <c r="AR100" s="537" t="n"/>
      <c r="AS100" s="537" t="n"/>
    </row>
    <row customHeight="1" ht="15.75" r="101" s="452" spans="1:57">
      <c r="A101" s="44" t="n"/>
      <c r="J101" s="404" t="n"/>
      <c r="N101" s="404" t="n"/>
      <c r="R101" s="404" t="n"/>
      <c r="V101" s="404" t="n"/>
      <c r="Z101" s="404" t="n"/>
      <c r="AN101" s="537" t="n"/>
      <c r="AO101" s="537" t="n"/>
      <c r="AR101" s="537" t="n"/>
      <c r="AS101" s="537" t="n"/>
    </row>
    <row customHeight="1" ht="15.75" r="102" s="452" spans="1:57">
      <c r="A102" s="44" t="n"/>
      <c r="J102" s="404" t="n"/>
      <c r="N102" s="404" t="n"/>
      <c r="R102" s="404" t="n"/>
      <c r="V102" s="404" t="n"/>
      <c r="Z102" s="404" t="n"/>
      <c r="AN102" s="537" t="n"/>
      <c r="AO102" s="537" t="n"/>
      <c r="AR102" s="537" t="n"/>
      <c r="AS102" s="537" t="n"/>
    </row>
    <row customHeight="1" ht="15.75" r="103" s="452" spans="1:57">
      <c r="A103" s="44" t="n"/>
      <c r="J103" s="404" t="n"/>
      <c r="N103" s="404" t="n"/>
      <c r="R103" s="404" t="n"/>
      <c r="V103" s="404" t="n"/>
      <c r="Z103" s="404" t="n"/>
      <c r="AN103" s="537" t="n"/>
      <c r="AO103" s="537" t="n"/>
      <c r="AR103" s="537" t="n"/>
      <c r="AS103" s="537" t="n"/>
    </row>
    <row customHeight="1" ht="15.75" r="104" s="452" spans="1:57">
      <c r="A104" s="44" t="n"/>
      <c r="J104" s="404" t="n"/>
      <c r="N104" s="404" t="n"/>
      <c r="R104" s="404" t="n"/>
      <c r="V104" s="404" t="n"/>
      <c r="Z104" s="404" t="n"/>
      <c r="AN104" s="537" t="n"/>
      <c r="AO104" s="537" t="n"/>
      <c r="AR104" s="537" t="n"/>
      <c r="AS104" s="537" t="n"/>
    </row>
    <row customHeight="1" ht="15.75" r="105" s="452" spans="1:57">
      <c r="A105" s="44" t="n"/>
      <c r="J105" s="404" t="n"/>
      <c r="N105" s="404" t="n"/>
      <c r="R105" s="404" t="n"/>
      <c r="V105" s="404" t="n"/>
      <c r="Z105" s="404" t="n"/>
      <c r="AN105" s="537" t="n"/>
      <c r="AO105" s="537" t="n"/>
      <c r="AR105" s="537" t="n"/>
      <c r="AS105" s="537" t="n"/>
    </row>
    <row customHeight="1" ht="15.75" r="106" s="452" spans="1:57">
      <c r="A106" s="44" t="n"/>
      <c r="J106" s="404" t="n"/>
      <c r="N106" s="404" t="n"/>
      <c r="R106" s="404" t="n"/>
      <c r="V106" s="404" t="n"/>
      <c r="Z106" s="404" t="n"/>
      <c r="AN106" s="537" t="n"/>
      <c r="AO106" s="537" t="n"/>
      <c r="AR106" s="537" t="n"/>
      <c r="AS106" s="537" t="n"/>
    </row>
    <row customHeight="1" ht="15.75" r="107" s="452" spans="1:57">
      <c r="A107" s="44" t="n"/>
      <c r="J107" s="404" t="n"/>
      <c r="N107" s="404" t="n"/>
      <c r="R107" s="404" t="n"/>
      <c r="V107" s="404" t="n"/>
      <c r="Z107" s="404" t="n"/>
      <c r="AN107" s="537" t="n"/>
      <c r="AO107" s="537" t="n"/>
      <c r="AR107" s="537" t="n"/>
      <c r="AS107" s="537" t="n"/>
    </row>
    <row customHeight="1" ht="15.75" r="108" s="452" spans="1:57">
      <c r="A108" s="44" t="n"/>
      <c r="J108" s="404" t="n"/>
      <c r="N108" s="404" t="n"/>
      <c r="R108" s="404" t="n"/>
      <c r="V108" s="404" t="n"/>
      <c r="Z108" s="404" t="n"/>
      <c r="AN108" s="537" t="n"/>
      <c r="AO108" s="537" t="n"/>
      <c r="AR108" s="537" t="n"/>
      <c r="AS108" s="537" t="n"/>
    </row>
    <row customHeight="1" ht="15.75" r="109" s="452" spans="1:57">
      <c r="A109" s="44" t="n"/>
      <c r="J109" s="404" t="n"/>
      <c r="N109" s="404" t="n"/>
      <c r="R109" s="404" t="n"/>
      <c r="V109" s="404" t="n"/>
      <c r="Z109" s="404" t="n"/>
      <c r="AN109" s="537" t="n"/>
      <c r="AO109" s="537" t="n"/>
      <c r="AR109" s="537" t="n"/>
      <c r="AS109" s="537" t="n"/>
    </row>
    <row customHeight="1" ht="15.75" r="110" s="452" spans="1:57">
      <c r="A110" s="44" t="n"/>
      <c r="J110" s="404" t="n"/>
      <c r="N110" s="404" t="n"/>
      <c r="R110" s="404" t="n"/>
      <c r="V110" s="404" t="n"/>
      <c r="Z110" s="404" t="n"/>
      <c r="AN110" s="537" t="n"/>
      <c r="AO110" s="537" t="n"/>
      <c r="AR110" s="537" t="n"/>
      <c r="AS110" s="537" t="n"/>
    </row>
    <row customHeight="1" ht="15.75" r="111" s="452" spans="1:57">
      <c r="A111" s="44" t="n"/>
      <c r="J111" s="404" t="n"/>
      <c r="N111" s="404" t="n"/>
      <c r="R111" s="404" t="n"/>
      <c r="V111" s="404" t="n"/>
      <c r="Z111" s="404" t="n"/>
      <c r="AN111" s="537" t="n"/>
      <c r="AO111" s="537" t="n"/>
      <c r="AR111" s="537" t="n"/>
      <c r="AS111" s="537" t="n"/>
    </row>
    <row customHeight="1" ht="15.75" r="112" s="452" spans="1:57">
      <c r="A112" s="44" t="n"/>
      <c r="J112" s="404" t="n"/>
      <c r="N112" s="404" t="n"/>
      <c r="R112" s="404" t="n"/>
      <c r="V112" s="404" t="n"/>
      <c r="Z112" s="404" t="n"/>
      <c r="AN112" s="537" t="n"/>
      <c r="AO112" s="537" t="n"/>
      <c r="AR112" s="537" t="n"/>
      <c r="AS112" s="537" t="n"/>
    </row>
    <row customHeight="1" ht="15.75" r="113" s="452" spans="1:57">
      <c r="A113" s="44" t="n"/>
      <c r="J113" s="404" t="n"/>
      <c r="N113" s="404" t="n"/>
      <c r="R113" s="404" t="n"/>
      <c r="V113" s="404" t="n"/>
      <c r="Z113" s="404" t="n"/>
      <c r="AN113" s="537" t="n"/>
      <c r="AO113" s="537" t="n"/>
      <c r="AR113" s="537" t="n"/>
      <c r="AS113" s="537" t="n"/>
    </row>
    <row customHeight="1" ht="15.75" r="114" s="452" spans="1:57">
      <c r="A114" s="44" t="n"/>
      <c r="J114" s="404" t="n"/>
      <c r="N114" s="404" t="n"/>
      <c r="R114" s="404" t="n"/>
      <c r="V114" s="404" t="n"/>
      <c r="Z114" s="404" t="n"/>
      <c r="AN114" s="537" t="n"/>
      <c r="AO114" s="537" t="n"/>
      <c r="AR114" s="537" t="n"/>
      <c r="AS114" s="537" t="n"/>
    </row>
    <row customHeight="1" ht="15.75" r="115" s="452" spans="1:57">
      <c r="A115" s="44" t="n"/>
      <c r="J115" s="404" t="n"/>
      <c r="N115" s="404" t="n"/>
      <c r="R115" s="404" t="n"/>
      <c r="V115" s="404" t="n"/>
      <c r="Z115" s="404" t="n"/>
      <c r="AN115" s="537" t="n"/>
      <c r="AO115" s="537" t="n"/>
      <c r="AR115" s="537" t="n"/>
      <c r="AS115" s="537" t="n"/>
    </row>
    <row customHeight="1" ht="15.75" r="116" s="452" spans="1:57">
      <c r="A116" s="44" t="n"/>
      <c r="J116" s="404" t="n"/>
      <c r="N116" s="404" t="n"/>
      <c r="R116" s="404" t="n"/>
      <c r="V116" s="404" t="n"/>
      <c r="Z116" s="404" t="n"/>
      <c r="AN116" s="537" t="n"/>
      <c r="AO116" s="537" t="n"/>
      <c r="AR116" s="537" t="n"/>
      <c r="AS116" s="537" t="n"/>
    </row>
    <row customHeight="1" ht="15.75" r="117" s="452" spans="1:57">
      <c r="A117" s="44" t="n"/>
      <c r="J117" s="404" t="n"/>
      <c r="N117" s="404" t="n"/>
      <c r="R117" s="404" t="n"/>
      <c r="V117" s="404" t="n"/>
      <c r="Z117" s="404" t="n"/>
      <c r="AN117" s="537" t="n"/>
      <c r="AO117" s="537" t="n"/>
      <c r="AR117" s="537" t="n"/>
      <c r="AS117" s="537" t="n"/>
    </row>
    <row customHeight="1" ht="15.75" r="118" s="452" spans="1:57">
      <c r="A118" s="44" t="n"/>
      <c r="J118" s="404" t="n"/>
      <c r="N118" s="404" t="n"/>
      <c r="R118" s="404" t="n"/>
      <c r="V118" s="404" t="n"/>
      <c r="Z118" s="404" t="n"/>
      <c r="AN118" s="537" t="n"/>
      <c r="AO118" s="537" t="n"/>
      <c r="AR118" s="537" t="n"/>
      <c r="AS118" s="537" t="n"/>
    </row>
    <row customHeight="1" ht="15.75" r="119" s="452" spans="1:57">
      <c r="A119" s="44" t="n"/>
      <c r="J119" s="404" t="n"/>
      <c r="N119" s="404" t="n"/>
      <c r="R119" s="404" t="n"/>
      <c r="V119" s="404" t="n"/>
      <c r="Z119" s="404" t="n"/>
      <c r="AN119" s="537" t="n"/>
      <c r="AO119" s="537" t="n"/>
      <c r="AR119" s="537" t="n"/>
      <c r="AS119" s="537" t="n"/>
    </row>
    <row customHeight="1" ht="15.75" r="120" s="452" spans="1:57">
      <c r="A120" s="44" t="n"/>
      <c r="J120" s="404" t="n"/>
      <c r="N120" s="404" t="n"/>
      <c r="R120" s="404" t="n"/>
      <c r="V120" s="404" t="n"/>
      <c r="Z120" s="404" t="n"/>
      <c r="AN120" s="537" t="n"/>
      <c r="AO120" s="537" t="n"/>
      <c r="AR120" s="537" t="n"/>
      <c r="AS120" s="537" t="n"/>
    </row>
    <row customHeight="1" ht="15.75" r="121" s="452" spans="1:57">
      <c r="A121" s="44" t="n"/>
      <c r="J121" s="404" t="n"/>
      <c r="N121" s="404" t="n"/>
      <c r="R121" s="404" t="n"/>
      <c r="V121" s="404" t="n"/>
      <c r="Z121" s="404" t="n"/>
      <c r="AN121" s="537" t="n"/>
      <c r="AO121" s="537" t="n"/>
      <c r="AR121" s="537" t="n"/>
      <c r="AS121" s="537" t="n"/>
    </row>
    <row customHeight="1" ht="15.75" r="122" s="452" spans="1:57">
      <c r="A122" s="44" t="n"/>
      <c r="J122" s="404" t="n"/>
      <c r="N122" s="404" t="n"/>
      <c r="R122" s="404" t="n"/>
      <c r="V122" s="404" t="n"/>
      <c r="Z122" s="404" t="n"/>
      <c r="AN122" s="537" t="n"/>
      <c r="AO122" s="537" t="n"/>
      <c r="AR122" s="537" t="n"/>
      <c r="AS122" s="537" t="n"/>
    </row>
    <row customHeight="1" ht="15.75" r="123" s="452" spans="1:57">
      <c r="A123" s="44" t="n"/>
      <c r="J123" s="404" t="n"/>
      <c r="N123" s="404" t="n"/>
      <c r="R123" s="404" t="n"/>
      <c r="V123" s="404" t="n"/>
      <c r="Z123" s="404" t="n"/>
      <c r="AN123" s="537" t="n"/>
      <c r="AO123" s="537" t="n"/>
      <c r="AR123" s="537" t="n"/>
      <c r="AS123" s="537" t="n"/>
    </row>
    <row customHeight="1" ht="15.75" r="124" s="452" spans="1:57">
      <c r="A124" s="44" t="n"/>
      <c r="J124" s="404" t="n"/>
      <c r="N124" s="404" t="n"/>
      <c r="R124" s="404" t="n"/>
      <c r="V124" s="404" t="n"/>
      <c r="Z124" s="404" t="n"/>
      <c r="AN124" s="537" t="n"/>
      <c r="AO124" s="537" t="n"/>
      <c r="AR124" s="537" t="n"/>
      <c r="AS124" s="537" t="n"/>
    </row>
    <row customHeight="1" ht="15.75" r="125" s="452" spans="1:57">
      <c r="A125" s="44" t="n"/>
      <c r="J125" s="404" t="n"/>
      <c r="N125" s="404" t="n"/>
      <c r="R125" s="404" t="n"/>
      <c r="V125" s="404" t="n"/>
      <c r="Z125" s="404" t="n"/>
      <c r="AN125" s="537" t="n"/>
      <c r="AO125" s="537" t="n"/>
      <c r="AR125" s="537" t="n"/>
      <c r="AS125" s="537" t="n"/>
    </row>
    <row customHeight="1" ht="15.75" r="126" s="452" spans="1:57">
      <c r="A126" s="44" t="n"/>
      <c r="J126" s="404" t="n"/>
      <c r="N126" s="404" t="n"/>
      <c r="R126" s="404" t="n"/>
      <c r="V126" s="404" t="n"/>
      <c r="Z126" s="404" t="n"/>
      <c r="AN126" s="537" t="n"/>
      <c r="AO126" s="537" t="n"/>
      <c r="AR126" s="537" t="n"/>
      <c r="AS126" s="537" t="n"/>
    </row>
    <row customHeight="1" ht="15.75" r="127" s="452" spans="1:57">
      <c r="A127" s="44" t="n"/>
      <c r="J127" s="404" t="n"/>
      <c r="N127" s="404" t="n"/>
      <c r="R127" s="404" t="n"/>
      <c r="V127" s="404" t="n"/>
      <c r="Z127" s="404" t="n"/>
      <c r="AN127" s="537" t="n"/>
      <c r="AO127" s="537" t="n"/>
      <c r="AR127" s="537" t="n"/>
      <c r="AS127" s="537" t="n"/>
    </row>
    <row customHeight="1" ht="15.75" r="128" s="452" spans="1:57">
      <c r="A128" s="44" t="n"/>
      <c r="J128" s="404" t="n"/>
      <c r="N128" s="404" t="n"/>
      <c r="R128" s="404" t="n"/>
      <c r="V128" s="404" t="n"/>
      <c r="Z128" s="404" t="n"/>
      <c r="AN128" s="537" t="n"/>
      <c r="AO128" s="537" t="n"/>
      <c r="AR128" s="537" t="n"/>
      <c r="AS128" s="537" t="n"/>
    </row>
    <row customHeight="1" ht="15.75" r="129" s="452" spans="1:57">
      <c r="A129" s="44" t="n"/>
      <c r="J129" s="404" t="n"/>
      <c r="N129" s="404" t="n"/>
      <c r="R129" s="404" t="n"/>
      <c r="V129" s="404" t="n"/>
      <c r="Z129" s="404" t="n"/>
      <c r="AN129" s="537" t="n"/>
      <c r="AO129" s="537" t="n"/>
      <c r="AR129" s="537" t="n"/>
      <c r="AS129" s="537" t="n"/>
    </row>
    <row customHeight="1" ht="15.75" r="130" s="452" spans="1:57">
      <c r="A130" s="44" t="n"/>
      <c r="J130" s="404" t="n"/>
      <c r="N130" s="404" t="n"/>
      <c r="R130" s="404" t="n"/>
      <c r="V130" s="404" t="n"/>
      <c r="Z130" s="404" t="n"/>
      <c r="AN130" s="537" t="n"/>
      <c r="AO130" s="537" t="n"/>
      <c r="AR130" s="537" t="n"/>
      <c r="AS130" s="537" t="n"/>
    </row>
    <row customHeight="1" ht="15.75" r="131" s="452" spans="1:57">
      <c r="A131" s="44" t="n"/>
      <c r="J131" s="404" t="n"/>
      <c r="N131" s="404" t="n"/>
      <c r="R131" s="404" t="n"/>
      <c r="V131" s="404" t="n"/>
      <c r="Z131" s="404" t="n"/>
      <c r="AN131" s="537" t="n"/>
      <c r="AO131" s="537" t="n"/>
      <c r="AR131" s="537" t="n"/>
      <c r="AS131" s="537" t="n"/>
    </row>
    <row customHeight="1" ht="15.75" r="132" s="452" spans="1:57">
      <c r="A132" s="44" t="n"/>
      <c r="J132" s="404" t="n"/>
      <c r="N132" s="404" t="n"/>
      <c r="R132" s="404" t="n"/>
      <c r="V132" s="404" t="n"/>
      <c r="Z132" s="404" t="n"/>
      <c r="AN132" s="537" t="n"/>
      <c r="AO132" s="537" t="n"/>
      <c r="AR132" s="537" t="n"/>
      <c r="AS132" s="537" t="n"/>
    </row>
    <row customHeight="1" ht="15.75" r="133" s="452" spans="1:57">
      <c r="A133" s="44" t="n"/>
      <c r="J133" s="404" t="n"/>
      <c r="N133" s="404" t="n"/>
      <c r="R133" s="404" t="n"/>
      <c r="V133" s="404" t="n"/>
      <c r="Z133" s="404" t="n"/>
      <c r="AN133" s="537" t="n"/>
      <c r="AO133" s="537" t="n"/>
      <c r="AR133" s="537" t="n"/>
      <c r="AS133" s="537" t="n"/>
    </row>
    <row customHeight="1" ht="15.75" r="134" s="452" spans="1:57">
      <c r="A134" s="44" t="n"/>
      <c r="J134" s="404" t="n"/>
      <c r="N134" s="404" t="n"/>
      <c r="R134" s="404" t="n"/>
      <c r="V134" s="404" t="n"/>
      <c r="Z134" s="404" t="n"/>
      <c r="AN134" s="537" t="n"/>
      <c r="AO134" s="537" t="n"/>
      <c r="AR134" s="537" t="n"/>
      <c r="AS134" s="537" t="n"/>
    </row>
    <row customHeight="1" ht="15.75" r="135" s="452" spans="1:57">
      <c r="A135" s="44" t="n"/>
      <c r="J135" s="404" t="n"/>
      <c r="N135" s="404" t="n"/>
      <c r="R135" s="404" t="n"/>
      <c r="V135" s="404" t="n"/>
      <c r="Z135" s="404" t="n"/>
      <c r="AN135" s="537" t="n"/>
      <c r="AO135" s="537" t="n"/>
      <c r="AR135" s="537" t="n"/>
      <c r="AS135" s="537" t="n"/>
    </row>
    <row customHeight="1" ht="15.75" r="136" s="452" spans="1:57">
      <c r="A136" s="44" t="n"/>
      <c r="J136" s="404" t="n"/>
      <c r="N136" s="404" t="n"/>
      <c r="R136" s="404" t="n"/>
      <c r="V136" s="404" t="n"/>
      <c r="Z136" s="404" t="n"/>
      <c r="AN136" s="537" t="n"/>
      <c r="AO136" s="537" t="n"/>
      <c r="AR136" s="537" t="n"/>
      <c r="AS136" s="537" t="n"/>
    </row>
    <row customHeight="1" ht="15.75" r="137" s="452" spans="1:57">
      <c r="A137" s="44" t="n"/>
      <c r="J137" s="404" t="n"/>
      <c r="N137" s="404" t="n"/>
      <c r="R137" s="404" t="n"/>
      <c r="V137" s="404" t="n"/>
      <c r="Z137" s="404" t="n"/>
      <c r="AN137" s="537" t="n"/>
      <c r="AO137" s="537" t="n"/>
      <c r="AR137" s="537" t="n"/>
      <c r="AS137" s="537" t="n"/>
    </row>
    <row customHeight="1" ht="15.75" r="138" s="452" spans="1:57">
      <c r="A138" s="44" t="n"/>
      <c r="J138" s="404" t="n"/>
      <c r="N138" s="404" t="n"/>
      <c r="R138" s="404" t="n"/>
      <c r="V138" s="404" t="n"/>
      <c r="Z138" s="404" t="n"/>
      <c r="AN138" s="537" t="n"/>
      <c r="AO138" s="537" t="n"/>
      <c r="AR138" s="537" t="n"/>
      <c r="AS138" s="537" t="n"/>
    </row>
    <row customHeight="1" ht="15.75" r="139" s="452" spans="1:57">
      <c r="A139" s="44" t="n"/>
      <c r="J139" s="404" t="n"/>
      <c r="N139" s="404" t="n"/>
      <c r="R139" s="404" t="n"/>
      <c r="V139" s="404" t="n"/>
      <c r="Z139" s="404" t="n"/>
      <c r="AN139" s="537" t="n"/>
      <c r="AO139" s="537" t="n"/>
      <c r="AR139" s="537" t="n"/>
      <c r="AS139" s="537" t="n"/>
    </row>
    <row customHeight="1" ht="15.75" r="140" s="452" spans="1:57">
      <c r="A140" s="44" t="n"/>
      <c r="J140" s="404" t="n"/>
      <c r="N140" s="404" t="n"/>
      <c r="R140" s="404" t="n"/>
      <c r="V140" s="404" t="n"/>
      <c r="Z140" s="404" t="n"/>
      <c r="AN140" s="537" t="n"/>
      <c r="AO140" s="537" t="n"/>
      <c r="AR140" s="537" t="n"/>
      <c r="AS140" s="537" t="n"/>
    </row>
    <row customHeight="1" ht="15.75" r="141" s="452" spans="1:57">
      <c r="A141" s="44" t="n"/>
      <c r="J141" s="404" t="n"/>
      <c r="N141" s="404" t="n"/>
      <c r="R141" s="404" t="n"/>
      <c r="V141" s="404" t="n"/>
      <c r="Z141" s="404" t="n"/>
      <c r="AN141" s="537" t="n"/>
      <c r="AO141" s="537" t="n"/>
      <c r="AR141" s="537" t="n"/>
      <c r="AS141" s="537" t="n"/>
    </row>
    <row customHeight="1" ht="15.75" r="142" s="452" spans="1:57">
      <c r="A142" s="44" t="n"/>
      <c r="J142" s="404" t="n"/>
      <c r="N142" s="404" t="n"/>
      <c r="R142" s="404" t="n"/>
      <c r="V142" s="404" t="n"/>
      <c r="Z142" s="404" t="n"/>
      <c r="AN142" s="537" t="n"/>
      <c r="AO142" s="537" t="n"/>
      <c r="AR142" s="537" t="n"/>
      <c r="AS142" s="537" t="n"/>
    </row>
    <row customHeight="1" ht="15.75" r="143" s="452" spans="1:57">
      <c r="A143" s="44" t="n"/>
      <c r="J143" s="404" t="n"/>
      <c r="N143" s="404" t="n"/>
      <c r="R143" s="404" t="n"/>
      <c r="V143" s="404" t="n"/>
      <c r="Z143" s="404" t="n"/>
      <c r="AN143" s="537" t="n"/>
      <c r="AO143" s="537" t="n"/>
      <c r="AR143" s="537" t="n"/>
      <c r="AS143" s="537" t="n"/>
    </row>
    <row customHeight="1" ht="15.75" r="144" s="452" spans="1:57">
      <c r="A144" s="44" t="n"/>
      <c r="J144" s="404" t="n"/>
      <c r="N144" s="404" t="n"/>
      <c r="R144" s="404" t="n"/>
      <c r="V144" s="404" t="n"/>
      <c r="Z144" s="404" t="n"/>
      <c r="AN144" s="537" t="n"/>
      <c r="AO144" s="537" t="n"/>
      <c r="AR144" s="537" t="n"/>
      <c r="AS144" s="537" t="n"/>
    </row>
    <row customHeight="1" ht="15.75" r="145" s="452" spans="1:57">
      <c r="A145" s="44" t="n"/>
      <c r="J145" s="404" t="n"/>
      <c r="N145" s="404" t="n"/>
      <c r="R145" s="404" t="n"/>
      <c r="V145" s="404" t="n"/>
      <c r="Z145" s="404" t="n"/>
      <c r="AN145" s="537" t="n"/>
      <c r="AO145" s="537" t="n"/>
      <c r="AR145" s="537" t="n"/>
      <c r="AS145" s="537" t="n"/>
    </row>
    <row customHeight="1" ht="15.75" r="146" s="452" spans="1:57">
      <c r="A146" s="44" t="n"/>
      <c r="J146" s="404" t="n"/>
      <c r="N146" s="404" t="n"/>
      <c r="R146" s="404" t="n"/>
      <c r="V146" s="404" t="n"/>
      <c r="Z146" s="404" t="n"/>
      <c r="AN146" s="537" t="n"/>
      <c r="AO146" s="537" t="n"/>
      <c r="AR146" s="537" t="n"/>
      <c r="AS146" s="537" t="n"/>
    </row>
    <row customHeight="1" ht="15.75" r="147" s="452" spans="1:57">
      <c r="A147" s="44" t="n"/>
      <c r="J147" s="404" t="n"/>
      <c r="N147" s="404" t="n"/>
      <c r="R147" s="404" t="n"/>
      <c r="V147" s="404" t="n"/>
      <c r="Z147" s="404" t="n"/>
      <c r="AN147" s="537" t="n"/>
      <c r="AO147" s="537" t="n"/>
      <c r="AR147" s="537" t="n"/>
      <c r="AS147" s="537" t="n"/>
    </row>
    <row customHeight="1" ht="15.75" r="148" s="452" spans="1:57">
      <c r="A148" s="44" t="n"/>
      <c r="J148" s="404" t="n"/>
      <c r="N148" s="404" t="n"/>
      <c r="R148" s="404" t="n"/>
      <c r="V148" s="404" t="n"/>
      <c r="Z148" s="404" t="n"/>
      <c r="AN148" s="537" t="n"/>
      <c r="AO148" s="537" t="n"/>
      <c r="AR148" s="537" t="n"/>
      <c r="AS148" s="537" t="n"/>
    </row>
    <row customHeight="1" ht="15.75" r="149" s="452" spans="1:57">
      <c r="A149" s="44" t="n"/>
      <c r="J149" s="404" t="n"/>
      <c r="N149" s="404" t="n"/>
      <c r="R149" s="404" t="n"/>
      <c r="V149" s="404" t="n"/>
      <c r="Z149" s="404" t="n"/>
      <c r="AN149" s="537" t="n"/>
      <c r="AO149" s="537" t="n"/>
      <c r="AR149" s="537" t="n"/>
      <c r="AS149" s="537" t="n"/>
    </row>
    <row customHeight="1" ht="15.75" r="150" s="452" spans="1:57">
      <c r="A150" s="44" t="n"/>
      <c r="J150" s="404" t="n"/>
      <c r="N150" s="404" t="n"/>
      <c r="R150" s="404" t="n"/>
      <c r="V150" s="404" t="n"/>
      <c r="Z150" s="404" t="n"/>
      <c r="AN150" s="537" t="n"/>
      <c r="AO150" s="537" t="n"/>
      <c r="AR150" s="537" t="n"/>
      <c r="AS150" s="537" t="n"/>
    </row>
    <row customHeight="1" ht="15.75" r="151" s="452" spans="1:57">
      <c r="A151" s="44" t="n"/>
      <c r="J151" s="404" t="n"/>
      <c r="N151" s="404" t="n"/>
      <c r="R151" s="404" t="n"/>
      <c r="V151" s="404" t="n"/>
      <c r="Z151" s="404" t="n"/>
      <c r="AN151" s="537" t="n"/>
      <c r="AO151" s="537" t="n"/>
      <c r="AR151" s="537" t="n"/>
      <c r="AS151" s="537" t="n"/>
    </row>
    <row customHeight="1" ht="15.75" r="152" s="452" spans="1:57">
      <c r="A152" s="44" t="n"/>
      <c r="J152" s="404" t="n"/>
      <c r="N152" s="404" t="n"/>
      <c r="R152" s="404" t="n"/>
      <c r="V152" s="404" t="n"/>
      <c r="Z152" s="404" t="n"/>
      <c r="AN152" s="537" t="n"/>
      <c r="AO152" s="537" t="n"/>
      <c r="AR152" s="537" t="n"/>
      <c r="AS152" s="537" t="n"/>
    </row>
    <row customHeight="1" ht="15.75" r="153" s="452" spans="1:57">
      <c r="A153" s="44" t="n"/>
      <c r="J153" s="404" t="n"/>
      <c r="N153" s="404" t="n"/>
      <c r="R153" s="404" t="n"/>
      <c r="V153" s="404" t="n"/>
      <c r="Z153" s="404" t="n"/>
      <c r="AN153" s="537" t="n"/>
      <c r="AO153" s="537" t="n"/>
      <c r="AR153" s="537" t="n"/>
      <c r="AS153" s="537" t="n"/>
    </row>
    <row customHeight="1" ht="15.75" r="154" s="452" spans="1:57">
      <c r="A154" s="44" t="n"/>
      <c r="J154" s="404" t="n"/>
      <c r="N154" s="404" t="n"/>
      <c r="R154" s="404" t="n"/>
      <c r="V154" s="404" t="n"/>
      <c r="Z154" s="404" t="n"/>
      <c r="AN154" s="537" t="n"/>
      <c r="AO154" s="537" t="n"/>
      <c r="AR154" s="537" t="n"/>
      <c r="AS154" s="537" t="n"/>
    </row>
    <row customHeight="1" ht="15.75" r="155" s="452" spans="1:57">
      <c r="A155" s="44" t="n"/>
      <c r="J155" s="404" t="n"/>
      <c r="N155" s="404" t="n"/>
      <c r="R155" s="404" t="n"/>
      <c r="V155" s="404" t="n"/>
      <c r="Z155" s="404" t="n"/>
      <c r="AN155" s="537" t="n"/>
      <c r="AO155" s="537" t="n"/>
      <c r="AR155" s="537" t="n"/>
      <c r="AS155" s="537" t="n"/>
    </row>
    <row customHeight="1" ht="15.75" r="156" s="452" spans="1:57">
      <c r="A156" s="44" t="n"/>
      <c r="J156" s="404" t="n"/>
      <c r="N156" s="404" t="n"/>
      <c r="R156" s="404" t="n"/>
      <c r="V156" s="404" t="n"/>
      <c r="Z156" s="404" t="n"/>
      <c r="AN156" s="537" t="n"/>
      <c r="AO156" s="537" t="n"/>
      <c r="AR156" s="537" t="n"/>
      <c r="AS156" s="537" t="n"/>
    </row>
    <row customHeight="1" ht="15.75" r="157" s="452" spans="1:57">
      <c r="A157" s="44" t="n"/>
      <c r="J157" s="404" t="n"/>
      <c r="N157" s="404" t="n"/>
      <c r="R157" s="404" t="n"/>
      <c r="V157" s="404" t="n"/>
      <c r="Z157" s="404" t="n"/>
      <c r="AN157" s="537" t="n"/>
      <c r="AO157" s="537" t="n"/>
      <c r="AR157" s="537" t="n"/>
      <c r="AS157" s="537" t="n"/>
    </row>
    <row customHeight="1" ht="15.75" r="158" s="452" spans="1:57">
      <c r="A158" s="44" t="n"/>
      <c r="J158" s="404" t="n"/>
      <c r="N158" s="404" t="n"/>
      <c r="R158" s="404" t="n"/>
      <c r="V158" s="404" t="n"/>
      <c r="Z158" s="404" t="n"/>
      <c r="AN158" s="537" t="n"/>
      <c r="AO158" s="537" t="n"/>
      <c r="AR158" s="537" t="n"/>
      <c r="AS158" s="537" t="n"/>
    </row>
    <row customHeight="1" ht="15.75" r="159" s="452" spans="1:57">
      <c r="A159" s="44" t="n"/>
      <c r="J159" s="404" t="n"/>
      <c r="N159" s="404" t="n"/>
      <c r="R159" s="404" t="n"/>
      <c r="V159" s="404" t="n"/>
      <c r="Z159" s="404" t="n"/>
      <c r="AN159" s="537" t="n"/>
      <c r="AO159" s="537" t="n"/>
      <c r="AR159" s="537" t="n"/>
      <c r="AS159" s="537" t="n"/>
    </row>
    <row customHeight="1" ht="15.75" r="160" s="452" spans="1:57">
      <c r="A160" s="44" t="n"/>
      <c r="J160" s="404" t="n"/>
      <c r="N160" s="404" t="n"/>
      <c r="R160" s="404" t="n"/>
      <c r="V160" s="404" t="n"/>
      <c r="Z160" s="404" t="n"/>
      <c r="AN160" s="537" t="n"/>
      <c r="AO160" s="537" t="n"/>
      <c r="AR160" s="537" t="n"/>
      <c r="AS160" s="537" t="n"/>
    </row>
    <row customHeight="1" ht="15.75" r="161" s="452" spans="1:57">
      <c r="A161" s="44" t="n"/>
      <c r="J161" s="404" t="n"/>
      <c r="N161" s="404" t="n"/>
      <c r="R161" s="404" t="n"/>
      <c r="V161" s="404" t="n"/>
      <c r="Z161" s="404" t="n"/>
      <c r="AN161" s="537" t="n"/>
      <c r="AO161" s="537" t="n"/>
      <c r="AR161" s="537" t="n"/>
      <c r="AS161" s="537" t="n"/>
    </row>
    <row customHeight="1" ht="15.75" r="162" s="452" spans="1:57">
      <c r="A162" s="44" t="n"/>
      <c r="J162" s="404" t="n"/>
      <c r="N162" s="404" t="n"/>
      <c r="R162" s="404" t="n"/>
      <c r="V162" s="404" t="n"/>
      <c r="Z162" s="404" t="n"/>
      <c r="AN162" s="537" t="n"/>
      <c r="AO162" s="537" t="n"/>
      <c r="AR162" s="537" t="n"/>
      <c r="AS162" s="537" t="n"/>
    </row>
    <row customHeight="1" ht="15.75" r="163" s="452" spans="1:57">
      <c r="A163" s="44" t="n"/>
      <c r="J163" s="404" t="n"/>
      <c r="N163" s="404" t="n"/>
      <c r="R163" s="404" t="n"/>
      <c r="V163" s="404" t="n"/>
      <c r="Z163" s="404" t="n"/>
      <c r="AN163" s="537" t="n"/>
      <c r="AO163" s="537" t="n"/>
      <c r="AR163" s="537" t="n"/>
      <c r="AS163" s="537" t="n"/>
    </row>
    <row customHeight="1" ht="15.75" r="164" s="452" spans="1:57">
      <c r="A164" s="44" t="n"/>
      <c r="J164" s="404" t="n"/>
      <c r="N164" s="404" t="n"/>
      <c r="R164" s="404" t="n"/>
      <c r="V164" s="404" t="n"/>
      <c r="Z164" s="404" t="n"/>
      <c r="AN164" s="537" t="n"/>
      <c r="AO164" s="537" t="n"/>
      <c r="AR164" s="537" t="n"/>
      <c r="AS164" s="537" t="n"/>
    </row>
    <row customHeight="1" ht="15.75" r="165" s="452" spans="1:57">
      <c r="A165" s="44" t="n"/>
      <c r="J165" s="404" t="n"/>
      <c r="N165" s="404" t="n"/>
      <c r="R165" s="404" t="n"/>
      <c r="V165" s="404" t="n"/>
      <c r="Z165" s="404" t="n"/>
      <c r="AN165" s="537" t="n"/>
      <c r="AO165" s="537" t="n"/>
      <c r="AR165" s="537" t="n"/>
      <c r="AS165" s="537" t="n"/>
    </row>
    <row customHeight="1" ht="15.75" r="166" s="452" spans="1:57">
      <c r="A166" s="44" t="n"/>
      <c r="J166" s="404" t="n"/>
      <c r="N166" s="404" t="n"/>
      <c r="R166" s="404" t="n"/>
      <c r="V166" s="404" t="n"/>
      <c r="Z166" s="404" t="n"/>
      <c r="AN166" s="537" t="n"/>
      <c r="AO166" s="537" t="n"/>
      <c r="AR166" s="537" t="n"/>
      <c r="AS166" s="537" t="n"/>
    </row>
    <row customHeight="1" ht="15.75" r="167" s="452" spans="1:57">
      <c r="A167" s="44" t="n"/>
      <c r="J167" s="404" t="n"/>
      <c r="N167" s="404" t="n"/>
      <c r="R167" s="404" t="n"/>
      <c r="V167" s="404" t="n"/>
      <c r="Z167" s="404" t="n"/>
      <c r="AN167" s="537" t="n"/>
      <c r="AO167" s="537" t="n"/>
      <c r="AR167" s="537" t="n"/>
      <c r="AS167" s="537" t="n"/>
    </row>
    <row customHeight="1" ht="15.75" r="168" s="452" spans="1:57">
      <c r="A168" s="44" t="n"/>
      <c r="J168" s="404" t="n"/>
      <c r="N168" s="404" t="n"/>
      <c r="R168" s="404" t="n"/>
      <c r="V168" s="404" t="n"/>
      <c r="Z168" s="404" t="n"/>
      <c r="AN168" s="537" t="n"/>
      <c r="AO168" s="537" t="n"/>
      <c r="AR168" s="537" t="n"/>
      <c r="AS168" s="537" t="n"/>
    </row>
    <row customHeight="1" ht="15.75" r="169" s="452" spans="1:57">
      <c r="A169" s="44" t="n"/>
      <c r="J169" s="404" t="n"/>
      <c r="N169" s="404" t="n"/>
      <c r="R169" s="404" t="n"/>
      <c r="V169" s="404" t="n"/>
      <c r="Z169" s="404" t="n"/>
      <c r="AN169" s="537" t="n"/>
      <c r="AO169" s="537" t="n"/>
      <c r="AR169" s="537" t="n"/>
      <c r="AS169" s="537" t="n"/>
    </row>
    <row customHeight="1" ht="15.75" r="170" s="452" spans="1:57">
      <c r="A170" s="44" t="n"/>
      <c r="J170" s="404" t="n"/>
      <c r="N170" s="404" t="n"/>
      <c r="R170" s="404" t="n"/>
      <c r="V170" s="404" t="n"/>
      <c r="Z170" s="404" t="n"/>
      <c r="AN170" s="537" t="n"/>
      <c r="AO170" s="537" t="n"/>
      <c r="AR170" s="537" t="n"/>
      <c r="AS170" s="537" t="n"/>
    </row>
    <row customHeight="1" ht="15.75" r="171" s="452" spans="1:57">
      <c r="A171" s="44" t="n"/>
      <c r="J171" s="404" t="n"/>
      <c r="N171" s="404" t="n"/>
      <c r="R171" s="404" t="n"/>
      <c r="V171" s="404" t="n"/>
      <c r="Z171" s="404" t="n"/>
      <c r="AN171" s="537" t="n"/>
      <c r="AO171" s="537" t="n"/>
      <c r="AR171" s="537" t="n"/>
      <c r="AS171" s="537" t="n"/>
    </row>
    <row customHeight="1" ht="15.75" r="172" s="452" spans="1:57">
      <c r="A172" s="44" t="n"/>
      <c r="J172" s="404" t="n"/>
      <c r="N172" s="404" t="n"/>
      <c r="R172" s="404" t="n"/>
      <c r="V172" s="404" t="n"/>
      <c r="Z172" s="404" t="n"/>
      <c r="AN172" s="537" t="n"/>
      <c r="AO172" s="537" t="n"/>
      <c r="AR172" s="537" t="n"/>
      <c r="AS172" s="537" t="n"/>
    </row>
    <row customHeight="1" ht="15.75" r="173" s="452" spans="1:57">
      <c r="A173" s="44" t="n"/>
      <c r="J173" s="404" t="n"/>
      <c r="N173" s="404" t="n"/>
      <c r="R173" s="404" t="n"/>
      <c r="V173" s="404" t="n"/>
      <c r="Z173" s="404" t="n"/>
      <c r="AN173" s="537" t="n"/>
      <c r="AO173" s="537" t="n"/>
      <c r="AR173" s="537" t="n"/>
      <c r="AS173" s="537" t="n"/>
    </row>
    <row customHeight="1" ht="15.75" r="174" s="452" spans="1:57">
      <c r="A174" s="44" t="n"/>
      <c r="J174" s="404" t="n"/>
      <c r="N174" s="404" t="n"/>
      <c r="R174" s="404" t="n"/>
      <c r="V174" s="404" t="n"/>
      <c r="Z174" s="404" t="n"/>
      <c r="AN174" s="537" t="n"/>
      <c r="AO174" s="537" t="n"/>
      <c r="AR174" s="537" t="n"/>
      <c r="AS174" s="537" t="n"/>
    </row>
    <row customHeight="1" ht="15.75" r="175" s="452" spans="1:57">
      <c r="A175" s="44" t="n"/>
      <c r="J175" s="404" t="n"/>
      <c r="N175" s="404" t="n"/>
      <c r="R175" s="404" t="n"/>
      <c r="V175" s="404" t="n"/>
      <c r="Z175" s="404" t="n"/>
      <c r="AN175" s="537" t="n"/>
      <c r="AO175" s="537" t="n"/>
      <c r="AR175" s="537" t="n"/>
      <c r="AS175" s="537" t="n"/>
    </row>
    <row customHeight="1" ht="15.75" r="176" s="452" spans="1:57">
      <c r="A176" s="44" t="n"/>
      <c r="J176" s="404" t="n"/>
      <c r="N176" s="404" t="n"/>
      <c r="R176" s="404" t="n"/>
      <c r="V176" s="404" t="n"/>
      <c r="Z176" s="404" t="n"/>
      <c r="AN176" s="537" t="n"/>
      <c r="AO176" s="537" t="n"/>
      <c r="AR176" s="537" t="n"/>
      <c r="AS176" s="537" t="n"/>
    </row>
    <row customHeight="1" ht="15.75" r="177" s="452" spans="1:57">
      <c r="A177" s="44" t="n"/>
      <c r="J177" s="404" t="n"/>
      <c r="N177" s="404" t="n"/>
      <c r="R177" s="404" t="n"/>
      <c r="V177" s="404" t="n"/>
      <c r="Z177" s="404" t="n"/>
      <c r="AN177" s="537" t="n"/>
      <c r="AO177" s="537" t="n"/>
      <c r="AR177" s="537" t="n"/>
      <c r="AS177" s="537" t="n"/>
    </row>
    <row customHeight="1" ht="15.75" r="178" s="452" spans="1:57">
      <c r="A178" s="44" t="n"/>
      <c r="J178" s="404" t="n"/>
      <c r="N178" s="404" t="n"/>
      <c r="R178" s="404" t="n"/>
      <c r="V178" s="404" t="n"/>
      <c r="Z178" s="404" t="n"/>
      <c r="AN178" s="537" t="n"/>
      <c r="AO178" s="537" t="n"/>
      <c r="AR178" s="537" t="n"/>
      <c r="AS178" s="537" t="n"/>
    </row>
    <row customHeight="1" ht="15.75" r="179" s="452" spans="1:57">
      <c r="A179" s="44" t="n"/>
      <c r="J179" s="404" t="n"/>
      <c r="N179" s="404" t="n"/>
      <c r="R179" s="404" t="n"/>
      <c r="V179" s="404" t="n"/>
      <c r="Z179" s="404" t="n"/>
      <c r="AN179" s="537" t="n"/>
      <c r="AO179" s="537" t="n"/>
      <c r="AR179" s="537" t="n"/>
      <c r="AS179" s="537" t="n"/>
    </row>
    <row customHeight="1" ht="15.75" r="180" s="452" spans="1:57">
      <c r="A180" s="44" t="n"/>
      <c r="J180" s="404" t="n"/>
      <c r="N180" s="404" t="n"/>
      <c r="R180" s="404" t="n"/>
      <c r="V180" s="404" t="n"/>
      <c r="Z180" s="404" t="n"/>
      <c r="AN180" s="537" t="n"/>
      <c r="AO180" s="537" t="n"/>
      <c r="AR180" s="537" t="n"/>
      <c r="AS180" s="537" t="n"/>
    </row>
    <row customHeight="1" ht="15.75" r="181" s="452" spans="1:57">
      <c r="A181" s="44" t="n"/>
      <c r="J181" s="404" t="n"/>
      <c r="N181" s="404" t="n"/>
      <c r="R181" s="404" t="n"/>
      <c r="V181" s="404" t="n"/>
      <c r="Z181" s="404" t="n"/>
      <c r="AN181" s="537" t="n"/>
      <c r="AO181" s="537" t="n"/>
      <c r="AR181" s="537" t="n"/>
      <c r="AS181" s="537" t="n"/>
    </row>
    <row customHeight="1" ht="15.75" r="182" s="452" spans="1:57">
      <c r="A182" s="44" t="n"/>
      <c r="J182" s="404" t="n"/>
      <c r="N182" s="404" t="n"/>
      <c r="R182" s="404" t="n"/>
      <c r="V182" s="404" t="n"/>
      <c r="Z182" s="404" t="n"/>
      <c r="AN182" s="537" t="n"/>
      <c r="AO182" s="537" t="n"/>
      <c r="AR182" s="537" t="n"/>
      <c r="AS182" s="537" t="n"/>
    </row>
    <row customHeight="1" ht="15.75" r="183" s="452" spans="1:57">
      <c r="A183" s="44" t="n"/>
      <c r="J183" s="404" t="n"/>
      <c r="N183" s="404" t="n"/>
      <c r="R183" s="404" t="n"/>
      <c r="V183" s="404" t="n"/>
      <c r="Z183" s="404" t="n"/>
      <c r="AN183" s="537" t="n"/>
      <c r="AO183" s="537" t="n"/>
      <c r="AR183" s="537" t="n"/>
      <c r="AS183" s="537" t="n"/>
    </row>
    <row customHeight="1" ht="15.75" r="184" s="452" spans="1:57">
      <c r="A184" s="44" t="n"/>
      <c r="J184" s="404" t="n"/>
      <c r="N184" s="404" t="n"/>
      <c r="R184" s="404" t="n"/>
      <c r="V184" s="404" t="n"/>
      <c r="Z184" s="404" t="n"/>
      <c r="AN184" s="537" t="n"/>
      <c r="AO184" s="537" t="n"/>
      <c r="AR184" s="537" t="n"/>
      <c r="AS184" s="537" t="n"/>
    </row>
    <row customHeight="1" ht="15.75" r="185" s="452" spans="1:57">
      <c r="A185" s="44" t="n"/>
      <c r="J185" s="404" t="n"/>
      <c r="N185" s="404" t="n"/>
      <c r="R185" s="404" t="n"/>
      <c r="V185" s="404" t="n"/>
      <c r="Z185" s="404" t="n"/>
      <c r="AN185" s="537" t="n"/>
      <c r="AO185" s="537" t="n"/>
      <c r="AR185" s="537" t="n"/>
      <c r="AS185" s="537" t="n"/>
    </row>
    <row customHeight="1" ht="15.75" r="186" s="452" spans="1:57">
      <c r="A186" s="44" t="n"/>
      <c r="J186" s="404" t="n"/>
      <c r="N186" s="404" t="n"/>
      <c r="R186" s="404" t="n"/>
      <c r="V186" s="404" t="n"/>
      <c r="Z186" s="404" t="n"/>
      <c r="AN186" s="537" t="n"/>
      <c r="AO186" s="537" t="n"/>
      <c r="AR186" s="537" t="n"/>
      <c r="AS186" s="537" t="n"/>
    </row>
    <row customHeight="1" ht="15.75" r="187" s="452" spans="1:57">
      <c r="A187" s="44" t="n"/>
      <c r="J187" s="404" t="n"/>
      <c r="N187" s="404" t="n"/>
      <c r="R187" s="404" t="n"/>
      <c r="V187" s="404" t="n"/>
      <c r="Z187" s="404" t="n"/>
      <c r="AN187" s="537" t="n"/>
      <c r="AO187" s="537" t="n"/>
      <c r="AR187" s="537" t="n"/>
      <c r="AS187" s="537" t="n"/>
    </row>
    <row customHeight="1" ht="15.75" r="188" s="452" spans="1:57">
      <c r="A188" s="44" t="n"/>
      <c r="J188" s="404" t="n"/>
      <c r="N188" s="404" t="n"/>
      <c r="R188" s="404" t="n"/>
      <c r="V188" s="404" t="n"/>
      <c r="Z188" s="404" t="n"/>
      <c r="AN188" s="537" t="n"/>
      <c r="AO188" s="537" t="n"/>
      <c r="AR188" s="537" t="n"/>
      <c r="AS188" s="537" t="n"/>
    </row>
    <row customHeight="1" ht="15.75" r="189" s="452" spans="1:57">
      <c r="A189" s="44" t="n"/>
      <c r="J189" s="404" t="n"/>
      <c r="N189" s="404" t="n"/>
      <c r="R189" s="404" t="n"/>
      <c r="V189" s="404" t="n"/>
      <c r="Z189" s="404" t="n"/>
      <c r="AN189" s="537" t="n"/>
      <c r="AO189" s="537" t="n"/>
      <c r="AR189" s="537" t="n"/>
      <c r="AS189" s="537" t="n"/>
    </row>
    <row customHeight="1" ht="15.75" r="190" s="452" spans="1:57">
      <c r="A190" s="44" t="n"/>
      <c r="J190" s="404" t="n"/>
      <c r="N190" s="404" t="n"/>
      <c r="R190" s="404" t="n"/>
      <c r="V190" s="404" t="n"/>
      <c r="Z190" s="404" t="n"/>
      <c r="AN190" s="537" t="n"/>
      <c r="AO190" s="537" t="n"/>
      <c r="AR190" s="537" t="n"/>
      <c r="AS190" s="537" t="n"/>
    </row>
    <row customHeight="1" ht="15.75" r="191" s="452" spans="1:57">
      <c r="A191" s="44" t="n"/>
      <c r="J191" s="404" t="n"/>
      <c r="N191" s="404" t="n"/>
      <c r="R191" s="404" t="n"/>
      <c r="V191" s="404" t="n"/>
      <c r="Z191" s="404" t="n"/>
      <c r="AN191" s="537" t="n"/>
      <c r="AO191" s="537" t="n"/>
      <c r="AR191" s="537" t="n"/>
      <c r="AS191" s="537" t="n"/>
    </row>
    <row customHeight="1" ht="15.75" r="192" s="452" spans="1:57">
      <c r="A192" s="44" t="n"/>
      <c r="J192" s="404" t="n"/>
      <c r="N192" s="404" t="n"/>
      <c r="R192" s="404" t="n"/>
      <c r="V192" s="404" t="n"/>
      <c r="Z192" s="404" t="n"/>
      <c r="AN192" s="537" t="n"/>
      <c r="AO192" s="537" t="n"/>
      <c r="AR192" s="537" t="n"/>
      <c r="AS192" s="537" t="n"/>
    </row>
    <row customHeight="1" ht="15.75" r="193" s="452" spans="1:57">
      <c r="A193" s="44" t="n"/>
      <c r="J193" s="404" t="n"/>
      <c r="N193" s="404" t="n"/>
      <c r="R193" s="404" t="n"/>
      <c r="V193" s="404" t="n"/>
      <c r="Z193" s="404" t="n"/>
      <c r="AN193" s="537" t="n"/>
      <c r="AO193" s="537" t="n"/>
      <c r="AR193" s="537" t="n"/>
      <c r="AS193" s="537" t="n"/>
    </row>
    <row customHeight="1" ht="15.75" r="194" s="452" spans="1:57">
      <c r="A194" s="44" t="n"/>
      <c r="J194" s="404" t="n"/>
      <c r="N194" s="404" t="n"/>
      <c r="R194" s="404" t="n"/>
      <c r="V194" s="404" t="n"/>
      <c r="Z194" s="404" t="n"/>
      <c r="AN194" s="537" t="n"/>
      <c r="AO194" s="537" t="n"/>
      <c r="AR194" s="537" t="n"/>
      <c r="AS194" s="537" t="n"/>
    </row>
    <row customHeight="1" ht="15.75" r="195" s="452" spans="1:57">
      <c r="A195" s="44" t="n"/>
      <c r="J195" s="404" t="n"/>
      <c r="N195" s="404" t="n"/>
      <c r="R195" s="404" t="n"/>
      <c r="V195" s="404" t="n"/>
      <c r="Z195" s="404" t="n"/>
      <c r="AN195" s="537" t="n"/>
      <c r="AO195" s="537" t="n"/>
      <c r="AR195" s="537" t="n"/>
      <c r="AS195" s="537" t="n"/>
    </row>
    <row customHeight="1" ht="15.75" r="196" s="452" spans="1:57">
      <c r="A196" s="44" t="n"/>
      <c r="J196" s="404" t="n"/>
      <c r="N196" s="404" t="n"/>
      <c r="R196" s="404" t="n"/>
      <c r="V196" s="404" t="n"/>
      <c r="Z196" s="404" t="n"/>
      <c r="AN196" s="537" t="n"/>
      <c r="AO196" s="537" t="n"/>
      <c r="AR196" s="537" t="n"/>
      <c r="AS196" s="537" t="n"/>
    </row>
    <row customHeight="1" ht="15.75" r="197" s="452" spans="1:57">
      <c r="A197" s="44" t="n"/>
      <c r="J197" s="404" t="n"/>
      <c r="N197" s="404" t="n"/>
      <c r="R197" s="404" t="n"/>
      <c r="V197" s="404" t="n"/>
      <c r="Z197" s="404" t="n"/>
      <c r="AN197" s="537" t="n"/>
      <c r="AO197" s="537" t="n"/>
      <c r="AR197" s="537" t="n"/>
      <c r="AS197" s="537" t="n"/>
    </row>
    <row customHeight="1" ht="15.75" r="198" s="452" spans="1:57">
      <c r="A198" s="44" t="n"/>
      <c r="J198" s="404" t="n"/>
      <c r="N198" s="404" t="n"/>
      <c r="R198" s="404" t="n"/>
      <c r="V198" s="404" t="n"/>
      <c r="Z198" s="404" t="n"/>
      <c r="AN198" s="537" t="n"/>
      <c r="AO198" s="537" t="n"/>
      <c r="AR198" s="537" t="n"/>
      <c r="AS198" s="537" t="n"/>
    </row>
    <row customHeight="1" ht="15.75" r="199" s="452" spans="1:57">
      <c r="A199" s="44" t="n"/>
      <c r="J199" s="404" t="n"/>
      <c r="N199" s="404" t="n"/>
      <c r="R199" s="404" t="n"/>
      <c r="V199" s="404" t="n"/>
      <c r="Z199" s="404" t="n"/>
      <c r="AN199" s="537" t="n"/>
      <c r="AO199" s="537" t="n"/>
      <c r="AR199" s="537" t="n"/>
      <c r="AS199" s="537" t="n"/>
    </row>
    <row customHeight="1" ht="15.75" r="200" s="452" spans="1:57">
      <c r="A200" s="44" t="n"/>
      <c r="J200" s="404" t="n"/>
      <c r="N200" s="404" t="n"/>
      <c r="R200" s="404" t="n"/>
      <c r="V200" s="404" t="n"/>
      <c r="Z200" s="404" t="n"/>
      <c r="AN200" s="537" t="n"/>
      <c r="AO200" s="537" t="n"/>
      <c r="AR200" s="537" t="n"/>
      <c r="AS200" s="537" t="n"/>
    </row>
    <row customHeight="1" ht="15.75" r="201" s="452" spans="1:57">
      <c r="A201" s="44" t="n"/>
      <c r="J201" s="404" t="n"/>
      <c r="N201" s="404" t="n"/>
      <c r="R201" s="404" t="n"/>
      <c r="V201" s="404" t="n"/>
      <c r="Z201" s="404" t="n"/>
      <c r="AN201" s="537" t="n"/>
      <c r="AO201" s="537" t="n"/>
      <c r="AR201" s="537" t="n"/>
      <c r="AS201" s="537" t="n"/>
    </row>
    <row customHeight="1" ht="15.75" r="202" s="452" spans="1:57">
      <c r="A202" s="44" t="n"/>
      <c r="J202" s="404" t="n"/>
      <c r="N202" s="404" t="n"/>
      <c r="R202" s="404" t="n"/>
      <c r="V202" s="404" t="n"/>
      <c r="Z202" s="404" t="n"/>
      <c r="AN202" s="537" t="n"/>
      <c r="AO202" s="537" t="n"/>
      <c r="AR202" s="537" t="n"/>
      <c r="AS202" s="537" t="n"/>
    </row>
    <row customHeight="1" ht="15.75" r="203" s="452" spans="1:57">
      <c r="A203" s="44" t="n"/>
      <c r="J203" s="404" t="n"/>
      <c r="N203" s="404" t="n"/>
      <c r="R203" s="404" t="n"/>
      <c r="V203" s="404" t="n"/>
      <c r="Z203" s="404" t="n"/>
      <c r="AN203" s="537" t="n"/>
      <c r="AO203" s="537" t="n"/>
      <c r="AR203" s="537" t="n"/>
      <c r="AS203" s="537" t="n"/>
    </row>
    <row customHeight="1" ht="15.75" r="204" s="452" spans="1:57">
      <c r="A204" s="44" t="n"/>
      <c r="J204" s="404" t="n"/>
      <c r="N204" s="404" t="n"/>
      <c r="R204" s="404" t="n"/>
      <c r="V204" s="404" t="n"/>
      <c r="Z204" s="404" t="n"/>
      <c r="AN204" s="537" t="n"/>
      <c r="AO204" s="537" t="n"/>
      <c r="AR204" s="537" t="n"/>
      <c r="AS204" s="537" t="n"/>
    </row>
    <row customHeight="1" ht="15.75" r="205" s="452" spans="1:57">
      <c r="A205" s="44" t="n"/>
      <c r="J205" s="404" t="n"/>
      <c r="N205" s="404" t="n"/>
      <c r="R205" s="404" t="n"/>
      <c r="V205" s="404" t="n"/>
      <c r="Z205" s="404" t="n"/>
      <c r="AN205" s="537" t="n"/>
      <c r="AO205" s="537" t="n"/>
      <c r="AR205" s="537" t="n"/>
      <c r="AS205" s="537" t="n"/>
    </row>
    <row customHeight="1" ht="15.75" r="206" s="452" spans="1:57">
      <c r="A206" s="44" t="n"/>
      <c r="J206" s="404" t="n"/>
      <c r="N206" s="404" t="n"/>
      <c r="R206" s="404" t="n"/>
      <c r="V206" s="404" t="n"/>
      <c r="Z206" s="404" t="n"/>
      <c r="AN206" s="537" t="n"/>
      <c r="AO206" s="537" t="n"/>
      <c r="AR206" s="537" t="n"/>
      <c r="AS206" s="537" t="n"/>
    </row>
    <row customHeight="1" ht="15.75" r="207" s="452" spans="1:57">
      <c r="A207" s="44" t="n"/>
      <c r="J207" s="404" t="n"/>
      <c r="N207" s="404" t="n"/>
      <c r="R207" s="404" t="n"/>
      <c r="V207" s="404" t="n"/>
      <c r="Z207" s="404" t="n"/>
      <c r="AN207" s="537" t="n"/>
      <c r="AO207" s="537" t="n"/>
      <c r="AR207" s="537" t="n"/>
      <c r="AS207" s="537" t="n"/>
    </row>
    <row customHeight="1" ht="15.75" r="208" s="452" spans="1:57">
      <c r="A208" s="44" t="n"/>
      <c r="J208" s="404" t="n"/>
      <c r="N208" s="404" t="n"/>
      <c r="R208" s="404" t="n"/>
      <c r="V208" s="404" t="n"/>
      <c r="Z208" s="404" t="n"/>
      <c r="AN208" s="537" t="n"/>
      <c r="AO208" s="537" t="n"/>
      <c r="AR208" s="537" t="n"/>
      <c r="AS208" s="537" t="n"/>
    </row>
    <row customHeight="1" ht="15.75" r="209" s="452" spans="1:57">
      <c r="A209" s="44" t="n"/>
      <c r="J209" s="404" t="n"/>
      <c r="N209" s="404" t="n"/>
      <c r="R209" s="404" t="n"/>
      <c r="V209" s="404" t="n"/>
      <c r="Z209" s="404" t="n"/>
      <c r="AN209" s="537" t="n"/>
      <c r="AO209" s="537" t="n"/>
      <c r="AR209" s="537" t="n"/>
      <c r="AS209" s="537" t="n"/>
    </row>
    <row customHeight="1" ht="15.75" r="210" s="452" spans="1:57">
      <c r="A210" s="44" t="n"/>
      <c r="J210" s="404" t="n"/>
      <c r="N210" s="404" t="n"/>
      <c r="R210" s="404" t="n"/>
      <c r="V210" s="404" t="n"/>
      <c r="Z210" s="404" t="n"/>
      <c r="AN210" s="537" t="n"/>
      <c r="AO210" s="537" t="n"/>
      <c r="AR210" s="537" t="n"/>
      <c r="AS210" s="537" t="n"/>
    </row>
    <row customHeight="1" ht="15.75" r="211" s="452" spans="1:57">
      <c r="A211" s="44" t="n"/>
      <c r="J211" s="404" t="n"/>
      <c r="N211" s="404" t="n"/>
      <c r="R211" s="404" t="n"/>
      <c r="V211" s="404" t="n"/>
      <c r="Z211" s="404" t="n"/>
      <c r="AN211" s="537" t="n"/>
      <c r="AO211" s="537" t="n"/>
      <c r="AR211" s="537" t="n"/>
      <c r="AS211" s="537" t="n"/>
    </row>
    <row customHeight="1" ht="15.75" r="212" s="452" spans="1:57">
      <c r="A212" s="44" t="n"/>
      <c r="J212" s="404" t="n"/>
      <c r="N212" s="404" t="n"/>
      <c r="R212" s="404" t="n"/>
      <c r="V212" s="404" t="n"/>
      <c r="Z212" s="404" t="n"/>
      <c r="AN212" s="537" t="n"/>
      <c r="AO212" s="537" t="n"/>
      <c r="AR212" s="537" t="n"/>
      <c r="AS212" s="537" t="n"/>
    </row>
    <row customHeight="1" ht="15.75" r="213" s="452" spans="1:57">
      <c r="A213" s="44" t="n"/>
      <c r="J213" s="404" t="n"/>
      <c r="N213" s="404" t="n"/>
      <c r="R213" s="404" t="n"/>
      <c r="V213" s="404" t="n"/>
      <c r="Z213" s="404" t="n"/>
      <c r="AN213" s="537" t="n"/>
      <c r="AO213" s="537" t="n"/>
      <c r="AR213" s="537" t="n"/>
      <c r="AS213" s="537" t="n"/>
    </row>
    <row customHeight="1" ht="15.75" r="214" s="452" spans="1:57">
      <c r="A214" s="44" t="n"/>
      <c r="J214" s="404" t="n"/>
      <c r="N214" s="404" t="n"/>
      <c r="R214" s="404" t="n"/>
      <c r="V214" s="404" t="n"/>
      <c r="Z214" s="404" t="n"/>
      <c r="AN214" s="537" t="n"/>
      <c r="AO214" s="537" t="n"/>
      <c r="AR214" s="537" t="n"/>
      <c r="AS214" s="537" t="n"/>
    </row>
    <row customHeight="1" ht="15.75" r="215" s="452" spans="1:57">
      <c r="A215" s="44" t="n"/>
      <c r="J215" s="404" t="n"/>
      <c r="N215" s="404" t="n"/>
      <c r="R215" s="404" t="n"/>
      <c r="V215" s="404" t="n"/>
      <c r="Z215" s="404" t="n"/>
      <c r="AN215" s="537" t="n"/>
      <c r="AO215" s="537" t="n"/>
      <c r="AR215" s="537" t="n"/>
      <c r="AS215" s="537" t="n"/>
    </row>
    <row customHeight="1" ht="15.75" r="216" s="452" spans="1:57">
      <c r="A216" s="44" t="n"/>
      <c r="J216" s="404" t="n"/>
      <c r="N216" s="404" t="n"/>
      <c r="R216" s="404" t="n"/>
      <c r="V216" s="404" t="n"/>
      <c r="Z216" s="404" t="n"/>
      <c r="AN216" s="537" t="n"/>
      <c r="AO216" s="537" t="n"/>
      <c r="AR216" s="537" t="n"/>
      <c r="AS216" s="537" t="n"/>
    </row>
    <row customHeight="1" ht="15.75" r="217" s="452" spans="1:57">
      <c r="A217" s="44" t="n"/>
      <c r="J217" s="404" t="n"/>
      <c r="N217" s="404" t="n"/>
      <c r="R217" s="404" t="n"/>
      <c r="V217" s="404" t="n"/>
      <c r="Z217" s="404" t="n"/>
      <c r="AN217" s="537" t="n"/>
      <c r="AO217" s="537" t="n"/>
      <c r="AR217" s="537" t="n"/>
      <c r="AS217" s="537" t="n"/>
    </row>
    <row customHeight="1" ht="15.75" r="218" s="452" spans="1:57">
      <c r="A218" s="44" t="n"/>
      <c r="J218" s="404" t="n"/>
      <c r="N218" s="404" t="n"/>
      <c r="R218" s="404" t="n"/>
      <c r="V218" s="404" t="n"/>
      <c r="Z218" s="404" t="n"/>
      <c r="AN218" s="537" t="n"/>
      <c r="AO218" s="537" t="n"/>
      <c r="AR218" s="537" t="n"/>
      <c r="AS218" s="537" t="n"/>
    </row>
    <row customHeight="1" ht="15.75" r="219" s="452" spans="1:57">
      <c r="A219" s="44" t="n"/>
      <c r="J219" s="404" t="n"/>
      <c r="N219" s="404" t="n"/>
      <c r="R219" s="404" t="n"/>
      <c r="V219" s="404" t="n"/>
      <c r="Z219" s="404" t="n"/>
      <c r="AN219" s="537" t="n"/>
      <c r="AO219" s="537" t="n"/>
      <c r="AR219" s="537" t="n"/>
      <c r="AS219" s="537" t="n"/>
    </row>
    <row customHeight="1" ht="15.75" r="220" s="452" spans="1:57">
      <c r="A220" s="44" t="n"/>
      <c r="J220" s="404" t="n"/>
      <c r="N220" s="404" t="n"/>
      <c r="R220" s="404" t="n"/>
      <c r="V220" s="404" t="n"/>
      <c r="Z220" s="404" t="n"/>
      <c r="AN220" s="537" t="n"/>
      <c r="AO220" s="537" t="n"/>
      <c r="AR220" s="537" t="n"/>
      <c r="AS220" s="537" t="n"/>
    </row>
    <row customHeight="1" ht="15.75" r="221" s="452" spans="1:57">
      <c r="A221" s="44" t="n"/>
      <c r="J221" s="404" t="n"/>
      <c r="N221" s="404" t="n"/>
      <c r="R221" s="404" t="n"/>
      <c r="V221" s="404" t="n"/>
      <c r="Z221" s="404" t="n"/>
      <c r="AN221" s="537" t="n"/>
      <c r="AO221" s="537" t="n"/>
      <c r="AR221" s="537" t="n"/>
      <c r="AS221" s="537" t="n"/>
    </row>
    <row customHeight="1" ht="15.75" r="222" s="452" spans="1:57">
      <c r="A222" s="44" t="n"/>
      <c r="J222" s="404" t="n"/>
      <c r="N222" s="404" t="n"/>
      <c r="R222" s="404" t="n"/>
      <c r="V222" s="404" t="n"/>
      <c r="Z222" s="404" t="n"/>
      <c r="AN222" s="537" t="n"/>
      <c r="AO222" s="537" t="n"/>
      <c r="AR222" s="537" t="n"/>
      <c r="AS222" s="537" t="n"/>
    </row>
    <row customHeight="1" ht="15.75" r="223" s="452" spans="1:57">
      <c r="A223" s="44" t="n"/>
      <c r="J223" s="404" t="n"/>
      <c r="N223" s="404" t="n"/>
      <c r="R223" s="404" t="n"/>
      <c r="V223" s="404" t="n"/>
      <c r="Z223" s="404" t="n"/>
      <c r="AN223" s="537" t="n"/>
      <c r="AO223" s="537" t="n"/>
      <c r="AR223" s="537" t="n"/>
      <c r="AS223" s="537" t="n"/>
    </row>
    <row customHeight="1" ht="15.75" r="224" s="452" spans="1:57">
      <c r="A224" s="44" t="n"/>
      <c r="J224" s="404" t="n"/>
      <c r="N224" s="404" t="n"/>
      <c r="R224" s="404" t="n"/>
      <c r="V224" s="404" t="n"/>
      <c r="Z224" s="404" t="n"/>
      <c r="AN224" s="537" t="n"/>
      <c r="AO224" s="537" t="n"/>
      <c r="AR224" s="537" t="n"/>
      <c r="AS224" s="537" t="n"/>
    </row>
    <row customHeight="1" ht="15.75" r="225" s="452" spans="1:57">
      <c r="A225" s="44" t="n"/>
      <c r="J225" s="404" t="n"/>
      <c r="N225" s="404" t="n"/>
      <c r="R225" s="404" t="n"/>
      <c r="V225" s="404" t="n"/>
      <c r="Z225" s="404" t="n"/>
      <c r="AN225" s="537" t="n"/>
      <c r="AO225" s="537" t="n"/>
      <c r="AR225" s="537" t="n"/>
      <c r="AS225" s="537" t="n"/>
    </row>
    <row customHeight="1" ht="15.75" r="226" s="452" spans="1:57">
      <c r="A226" s="44" t="n"/>
      <c r="J226" s="404" t="n"/>
      <c r="N226" s="404" t="n"/>
      <c r="R226" s="404" t="n"/>
      <c r="V226" s="404" t="n"/>
      <c r="Z226" s="404" t="n"/>
      <c r="AN226" s="537" t="n"/>
      <c r="AO226" s="537" t="n"/>
      <c r="AR226" s="537" t="n"/>
      <c r="AS226" s="537" t="n"/>
    </row>
    <row customHeight="1" ht="15.75" r="227" s="452" spans="1:57">
      <c r="A227" s="44" t="n"/>
      <c r="J227" s="404" t="n"/>
      <c r="N227" s="404" t="n"/>
      <c r="R227" s="404" t="n"/>
      <c r="V227" s="404" t="n"/>
      <c r="Z227" s="404" t="n"/>
      <c r="AN227" s="537" t="n"/>
      <c r="AO227" s="537" t="n"/>
      <c r="AR227" s="537" t="n"/>
      <c r="AS227" s="537" t="n"/>
    </row>
    <row customHeight="1" ht="15.75" r="228" s="452" spans="1:57">
      <c r="A228" s="44" t="n"/>
      <c r="J228" s="404" t="n"/>
      <c r="N228" s="404" t="n"/>
      <c r="R228" s="404" t="n"/>
      <c r="V228" s="404" t="n"/>
      <c r="Z228" s="404" t="n"/>
      <c r="AN228" s="537" t="n"/>
      <c r="AO228" s="537" t="n"/>
      <c r="AR228" s="537" t="n"/>
      <c r="AS228" s="537" t="n"/>
    </row>
    <row customHeight="1" ht="15.75" r="229" s="452" spans="1:57">
      <c r="A229" s="44" t="n"/>
      <c r="J229" s="404" t="n"/>
      <c r="N229" s="404" t="n"/>
      <c r="R229" s="404" t="n"/>
      <c r="V229" s="404" t="n"/>
      <c r="Z229" s="404" t="n"/>
      <c r="AN229" s="537" t="n"/>
      <c r="AO229" s="537" t="n"/>
      <c r="AR229" s="537" t="n"/>
      <c r="AS229" s="537" t="n"/>
    </row>
    <row customHeight="1" ht="15.75" r="230" s="452" spans="1:57">
      <c r="A230" s="44" t="n"/>
      <c r="J230" s="404" t="n"/>
      <c r="N230" s="404" t="n"/>
      <c r="R230" s="404" t="n"/>
      <c r="V230" s="404" t="n"/>
      <c r="Z230" s="404" t="n"/>
      <c r="AN230" s="537" t="n"/>
      <c r="AO230" s="537" t="n"/>
      <c r="AR230" s="537" t="n"/>
      <c r="AS230" s="537" t="n"/>
    </row>
    <row customHeight="1" ht="15.75" r="231" s="452" spans="1:57">
      <c r="A231" s="44" t="n"/>
      <c r="J231" s="404" t="n"/>
      <c r="N231" s="404" t="n"/>
      <c r="R231" s="404" t="n"/>
      <c r="V231" s="404" t="n"/>
      <c r="Z231" s="404" t="n"/>
      <c r="AN231" s="537" t="n"/>
      <c r="AO231" s="537" t="n"/>
      <c r="AR231" s="537" t="n"/>
      <c r="AS231" s="537" t="n"/>
    </row>
    <row customHeight="1" ht="15.75" r="232" s="452" spans="1:57">
      <c r="A232" s="44" t="n"/>
      <c r="J232" s="404" t="n"/>
      <c r="N232" s="404" t="n"/>
      <c r="R232" s="404" t="n"/>
      <c r="V232" s="404" t="n"/>
      <c r="Z232" s="404" t="n"/>
      <c r="AN232" s="537" t="n"/>
      <c r="AO232" s="537" t="n"/>
      <c r="AR232" s="537" t="n"/>
      <c r="AS232" s="537" t="n"/>
    </row>
    <row customHeight="1" ht="15.75" r="233" s="452" spans="1:57">
      <c r="A233" s="44" t="n"/>
      <c r="J233" s="404" t="n"/>
      <c r="N233" s="404" t="n"/>
      <c r="R233" s="404" t="n"/>
      <c r="V233" s="404" t="n"/>
      <c r="Z233" s="404" t="n"/>
      <c r="AN233" s="537" t="n"/>
      <c r="AO233" s="537" t="n"/>
      <c r="AR233" s="537" t="n"/>
      <c r="AS233" s="537" t="n"/>
    </row>
    <row customHeight="1" ht="15.75" r="234" s="452" spans="1:57">
      <c r="A234" s="44" t="n"/>
      <c r="J234" s="404" t="n"/>
      <c r="N234" s="404" t="n"/>
      <c r="R234" s="404" t="n"/>
      <c r="V234" s="404" t="n"/>
      <c r="Z234" s="404" t="n"/>
      <c r="AN234" s="537" t="n"/>
      <c r="AO234" s="537" t="n"/>
      <c r="AR234" s="537" t="n"/>
      <c r="AS234" s="537" t="n"/>
    </row>
    <row customHeight="1" ht="15.75" r="235" s="452" spans="1:57">
      <c r="A235" s="44" t="n"/>
      <c r="J235" s="404" t="n"/>
      <c r="N235" s="404" t="n"/>
      <c r="R235" s="404" t="n"/>
      <c r="V235" s="404" t="n"/>
      <c r="Z235" s="404" t="n"/>
      <c r="AN235" s="537" t="n"/>
      <c r="AO235" s="537" t="n"/>
      <c r="AR235" s="537" t="n"/>
      <c r="AS235" s="537" t="n"/>
    </row>
    <row customHeight="1" ht="15.75" r="236" s="452" spans="1:57">
      <c r="A236" s="44" t="n"/>
      <c r="J236" s="404" t="n"/>
      <c r="N236" s="404" t="n"/>
      <c r="R236" s="404" t="n"/>
      <c r="V236" s="404" t="n"/>
      <c r="Z236" s="404" t="n"/>
      <c r="AN236" s="537" t="n"/>
      <c r="AO236" s="537" t="n"/>
      <c r="AR236" s="537" t="n"/>
      <c r="AS236" s="537" t="n"/>
    </row>
    <row customHeight="1" ht="15.75" r="237" s="452" spans="1:57">
      <c r="A237" s="44" t="n"/>
      <c r="J237" s="404" t="n"/>
      <c r="N237" s="404" t="n"/>
      <c r="R237" s="404" t="n"/>
      <c r="V237" s="404" t="n"/>
      <c r="Z237" s="404" t="n"/>
      <c r="AN237" s="537" t="n"/>
      <c r="AO237" s="537" t="n"/>
      <c r="AR237" s="537" t="n"/>
      <c r="AS237" s="537" t="n"/>
    </row>
    <row customHeight="1" ht="15.75" r="238" s="452" spans="1:57">
      <c r="A238" s="44" t="n"/>
      <c r="J238" s="404" t="n"/>
      <c r="N238" s="404" t="n"/>
      <c r="R238" s="404" t="n"/>
      <c r="V238" s="404" t="n"/>
      <c r="Z238" s="404" t="n"/>
      <c r="AN238" s="537" t="n"/>
      <c r="AO238" s="537" t="n"/>
      <c r="AR238" s="537" t="n"/>
      <c r="AS238" s="537" t="n"/>
    </row>
    <row customHeight="1" ht="15.75" r="239" s="452" spans="1:57">
      <c r="A239" s="44" t="n"/>
      <c r="J239" s="404" t="n"/>
      <c r="N239" s="404" t="n"/>
      <c r="R239" s="404" t="n"/>
      <c r="V239" s="404" t="n"/>
      <c r="Z239" s="404" t="n"/>
      <c r="AN239" s="537" t="n"/>
      <c r="AO239" s="537" t="n"/>
      <c r="AR239" s="537" t="n"/>
      <c r="AS239" s="537" t="n"/>
    </row>
    <row customHeight="1" ht="15.75" r="240" s="452" spans="1:57">
      <c r="A240" s="44" t="n"/>
      <c r="J240" s="404" t="n"/>
      <c r="N240" s="404" t="n"/>
      <c r="R240" s="404" t="n"/>
      <c r="V240" s="404" t="n"/>
      <c r="Z240" s="404" t="n"/>
      <c r="AN240" s="537" t="n"/>
      <c r="AO240" s="537" t="n"/>
      <c r="AR240" s="537" t="n"/>
      <c r="AS240" s="537" t="n"/>
    </row>
    <row customHeight="1" ht="15.75" r="241" s="452" spans="1:57">
      <c r="A241" s="44" t="n"/>
      <c r="J241" s="404" t="n"/>
      <c r="N241" s="404" t="n"/>
      <c r="R241" s="404" t="n"/>
      <c r="V241" s="404" t="n"/>
      <c r="Z241" s="404" t="n"/>
      <c r="AN241" s="537" t="n"/>
      <c r="AO241" s="537" t="n"/>
      <c r="AR241" s="537" t="n"/>
      <c r="AS241" s="537" t="n"/>
    </row>
    <row customHeight="1" ht="15.75" r="242" s="452" spans="1:57">
      <c r="A242" s="44" t="n"/>
      <c r="J242" s="404" t="n"/>
      <c r="N242" s="404" t="n"/>
      <c r="R242" s="404" t="n"/>
      <c r="V242" s="404" t="n"/>
      <c r="Z242" s="404" t="n"/>
      <c r="AN242" s="537" t="n"/>
      <c r="AO242" s="537" t="n"/>
      <c r="AR242" s="537" t="n"/>
      <c r="AS242" s="537" t="n"/>
    </row>
    <row customHeight="1" ht="15.75" r="243" s="452" spans="1:57">
      <c r="A243" s="44" t="n"/>
      <c r="J243" s="404" t="n"/>
      <c r="N243" s="404" t="n"/>
      <c r="R243" s="404" t="n"/>
      <c r="V243" s="404" t="n"/>
      <c r="Z243" s="404" t="n"/>
      <c r="AN243" s="537" t="n"/>
      <c r="AO243" s="537" t="n"/>
      <c r="AR243" s="537" t="n"/>
      <c r="AS243" s="537" t="n"/>
    </row>
    <row customHeight="1" ht="15.75" r="244" s="452" spans="1:57">
      <c r="A244" s="44" t="n"/>
      <c r="J244" s="404" t="n"/>
      <c r="N244" s="404" t="n"/>
      <c r="R244" s="404" t="n"/>
      <c r="V244" s="404" t="n"/>
      <c r="Z244" s="404" t="n"/>
      <c r="AN244" s="537" t="n"/>
      <c r="AO244" s="537" t="n"/>
      <c r="AR244" s="537" t="n"/>
      <c r="AS244" s="537" t="n"/>
    </row>
    <row customHeight="1" ht="15.75" r="245" s="452" spans="1:57">
      <c r="A245" s="44" t="n"/>
      <c r="J245" s="404" t="n"/>
      <c r="N245" s="404" t="n"/>
      <c r="R245" s="404" t="n"/>
      <c r="V245" s="404" t="n"/>
      <c r="Z245" s="404" t="n"/>
      <c r="AN245" s="537" t="n"/>
      <c r="AO245" s="537" t="n"/>
      <c r="AR245" s="537" t="n"/>
      <c r="AS245" s="537" t="n"/>
    </row>
    <row customHeight="1" ht="15.75" r="246" s="452" spans="1:57">
      <c r="A246" s="44" t="n"/>
      <c r="J246" s="404" t="n"/>
      <c r="N246" s="404" t="n"/>
      <c r="R246" s="404" t="n"/>
      <c r="V246" s="404" t="n"/>
      <c r="Z246" s="404" t="n"/>
      <c r="AN246" s="537" t="n"/>
      <c r="AO246" s="537" t="n"/>
      <c r="AR246" s="537" t="n"/>
      <c r="AS246" s="537" t="n"/>
    </row>
    <row customHeight="1" ht="15.75" r="247" s="452" spans="1:57">
      <c r="A247" s="44" t="n"/>
      <c r="J247" s="404" t="n"/>
      <c r="N247" s="404" t="n"/>
      <c r="R247" s="404" t="n"/>
      <c r="V247" s="404" t="n"/>
      <c r="Z247" s="404" t="n"/>
      <c r="AN247" s="537" t="n"/>
      <c r="AO247" s="537" t="n"/>
      <c r="AR247" s="537" t="n"/>
      <c r="AS247" s="537" t="n"/>
    </row>
    <row customHeight="1" ht="15.75" r="248" s="452" spans="1:57">
      <c r="A248" s="44" t="n"/>
      <c r="J248" s="404" t="n"/>
      <c r="N248" s="404" t="n"/>
      <c r="R248" s="404" t="n"/>
      <c r="V248" s="404" t="n"/>
      <c r="Z248" s="404" t="n"/>
      <c r="AN248" s="537" t="n"/>
      <c r="AO248" s="537" t="n"/>
      <c r="AR248" s="537" t="n"/>
      <c r="AS248" s="537" t="n"/>
    </row>
    <row customHeight="1" ht="15.75" r="249" s="452" spans="1:57">
      <c r="A249" s="44" t="n"/>
      <c r="J249" s="404" t="n"/>
      <c r="N249" s="404" t="n"/>
      <c r="R249" s="404" t="n"/>
      <c r="V249" s="404" t="n"/>
      <c r="Z249" s="404" t="n"/>
      <c r="AN249" s="537" t="n"/>
      <c r="AO249" s="537" t="n"/>
      <c r="AR249" s="537" t="n"/>
      <c r="AS249" s="537" t="n"/>
    </row>
    <row customHeight="1" ht="15.75" r="250" s="452" spans="1:57">
      <c r="A250" s="44" t="n"/>
      <c r="J250" s="404" t="n"/>
      <c r="N250" s="404" t="n"/>
      <c r="R250" s="404" t="n"/>
      <c r="V250" s="404" t="n"/>
      <c r="Z250" s="404" t="n"/>
      <c r="AN250" s="537" t="n"/>
      <c r="AO250" s="537" t="n"/>
      <c r="AR250" s="537" t="n"/>
      <c r="AS250" s="537" t="n"/>
    </row>
    <row customHeight="1" ht="15.75" r="251" s="452" spans="1:57">
      <c r="A251" s="44" t="n"/>
      <c r="J251" s="404" t="n"/>
      <c r="N251" s="404" t="n"/>
      <c r="R251" s="404" t="n"/>
      <c r="V251" s="404" t="n"/>
      <c r="Z251" s="404" t="n"/>
      <c r="AN251" s="537" t="n"/>
      <c r="AO251" s="537" t="n"/>
      <c r="AR251" s="537" t="n"/>
      <c r="AS251" s="537" t="n"/>
    </row>
    <row customHeight="1" ht="15.75" r="252" s="452" spans="1:57">
      <c r="A252" s="44" t="n"/>
      <c r="J252" s="404" t="n"/>
      <c r="N252" s="404" t="n"/>
      <c r="R252" s="404" t="n"/>
      <c r="V252" s="404" t="n"/>
      <c r="Z252" s="404" t="n"/>
      <c r="AN252" s="537" t="n"/>
      <c r="AO252" s="537" t="n"/>
      <c r="AR252" s="537" t="n"/>
      <c r="AS252" s="537" t="n"/>
    </row>
    <row customHeight="1" ht="15.75" r="253" s="452" spans="1:57">
      <c r="A253" s="44" t="n"/>
      <c r="J253" s="404" t="n"/>
      <c r="N253" s="404" t="n"/>
      <c r="R253" s="404" t="n"/>
      <c r="V253" s="404" t="n"/>
      <c r="Z253" s="404" t="n"/>
      <c r="AN253" s="537" t="n"/>
      <c r="AO253" s="537" t="n"/>
      <c r="AR253" s="537" t="n"/>
      <c r="AS253" s="537" t="n"/>
    </row>
    <row customHeight="1" ht="15.75" r="254" s="452" spans="1:57">
      <c r="A254" s="44" t="n"/>
      <c r="J254" s="404" t="n"/>
      <c r="N254" s="404" t="n"/>
      <c r="R254" s="404" t="n"/>
      <c r="V254" s="404" t="n"/>
      <c r="Z254" s="404" t="n"/>
      <c r="AN254" s="537" t="n"/>
      <c r="AO254" s="537" t="n"/>
      <c r="AR254" s="537" t="n"/>
      <c r="AS254" s="537" t="n"/>
    </row>
    <row customHeight="1" ht="15.75" r="255" s="452" spans="1:57">
      <c r="A255" s="44" t="n"/>
      <c r="J255" s="404" t="n"/>
      <c r="N255" s="404" t="n"/>
      <c r="R255" s="404" t="n"/>
      <c r="V255" s="404" t="n"/>
      <c r="Z255" s="404" t="n"/>
      <c r="AN255" s="537" t="n"/>
      <c r="AO255" s="537" t="n"/>
      <c r="AR255" s="537" t="n"/>
      <c r="AS255" s="537" t="n"/>
    </row>
    <row customHeight="1" ht="15.75" r="256" s="452" spans="1:57">
      <c r="A256" s="44" t="n"/>
      <c r="J256" s="404" t="n"/>
      <c r="N256" s="404" t="n"/>
      <c r="R256" s="404" t="n"/>
      <c r="V256" s="404" t="n"/>
      <c r="Z256" s="404" t="n"/>
      <c r="AN256" s="537" t="n"/>
      <c r="AO256" s="537" t="n"/>
      <c r="AR256" s="537" t="n"/>
      <c r="AS256" s="537" t="n"/>
    </row>
    <row customHeight="1" ht="15.75" r="257" s="452" spans="1:57">
      <c r="A257" s="44" t="n"/>
      <c r="J257" s="404" t="n"/>
      <c r="N257" s="404" t="n"/>
      <c r="R257" s="404" t="n"/>
      <c r="V257" s="404" t="n"/>
      <c r="Z257" s="404" t="n"/>
      <c r="AN257" s="537" t="n"/>
      <c r="AO257" s="537" t="n"/>
      <c r="AR257" s="537" t="n"/>
      <c r="AS257" s="537" t="n"/>
    </row>
    <row customHeight="1" ht="15.75" r="258" s="452" spans="1:57">
      <c r="A258" s="44" t="n"/>
      <c r="J258" s="404" t="n"/>
      <c r="N258" s="404" t="n"/>
      <c r="R258" s="404" t="n"/>
      <c r="V258" s="404" t="n"/>
      <c r="Z258" s="404" t="n"/>
      <c r="AN258" s="537" t="n"/>
      <c r="AO258" s="537" t="n"/>
      <c r="AR258" s="537" t="n"/>
      <c r="AS258" s="537" t="n"/>
    </row>
    <row customHeight="1" ht="15.75" r="259" s="452" spans="1:57">
      <c r="A259" s="44" t="n"/>
      <c r="J259" s="404" t="n"/>
      <c r="N259" s="404" t="n"/>
      <c r="R259" s="404" t="n"/>
      <c r="V259" s="404" t="n"/>
      <c r="Z259" s="404" t="n"/>
      <c r="AN259" s="537" t="n"/>
      <c r="AO259" s="537" t="n"/>
      <c r="AR259" s="537" t="n"/>
      <c r="AS259" s="537" t="n"/>
    </row>
    <row customHeight="1" ht="15.75" r="260" s="452" spans="1:57">
      <c r="A260" s="44" t="n"/>
      <c r="J260" s="404" t="n"/>
      <c r="N260" s="404" t="n"/>
      <c r="R260" s="404" t="n"/>
      <c r="V260" s="404" t="n"/>
      <c r="Z260" s="404" t="n"/>
      <c r="AN260" s="537" t="n"/>
      <c r="AO260" s="537" t="n"/>
      <c r="AR260" s="537" t="n"/>
      <c r="AS260" s="537" t="n"/>
    </row>
    <row customHeight="1" ht="15.75" r="261" s="452" spans="1:57">
      <c r="A261" s="44" t="n"/>
      <c r="J261" s="404" t="n"/>
      <c r="N261" s="404" t="n"/>
      <c r="R261" s="404" t="n"/>
      <c r="V261" s="404" t="n"/>
      <c r="Z261" s="404" t="n"/>
      <c r="AN261" s="537" t="n"/>
      <c r="AO261" s="537" t="n"/>
      <c r="AR261" s="537" t="n"/>
      <c r="AS261" s="537" t="n"/>
    </row>
    <row customHeight="1" ht="15.75" r="262" s="452" spans="1:57">
      <c r="A262" s="44" t="n"/>
      <c r="J262" s="404" t="n"/>
      <c r="N262" s="404" t="n"/>
      <c r="R262" s="404" t="n"/>
      <c r="V262" s="404" t="n"/>
      <c r="Z262" s="404" t="n"/>
      <c r="AN262" s="537" t="n"/>
      <c r="AO262" s="537" t="n"/>
      <c r="AR262" s="537" t="n"/>
      <c r="AS262" s="537" t="n"/>
    </row>
    <row customHeight="1" ht="15.75" r="263" s="452" spans="1:57">
      <c r="A263" s="44" t="n"/>
      <c r="J263" s="404" t="n"/>
      <c r="N263" s="404" t="n"/>
      <c r="R263" s="404" t="n"/>
      <c r="V263" s="404" t="n"/>
      <c r="Z263" s="404" t="n"/>
      <c r="AN263" s="537" t="n"/>
      <c r="AO263" s="537" t="n"/>
      <c r="AR263" s="537" t="n"/>
      <c r="AS263" s="537" t="n"/>
    </row>
    <row customHeight="1" ht="15.75" r="264" s="452" spans="1:57">
      <c r="A264" s="44" t="n"/>
      <c r="J264" s="404" t="n"/>
      <c r="N264" s="404" t="n"/>
      <c r="R264" s="404" t="n"/>
      <c r="V264" s="404" t="n"/>
      <c r="Z264" s="404" t="n"/>
      <c r="AN264" s="537" t="n"/>
      <c r="AO264" s="537" t="n"/>
      <c r="AR264" s="537" t="n"/>
      <c r="AS264" s="537" t="n"/>
    </row>
    <row customHeight="1" ht="15.75" r="265" s="452" spans="1:57">
      <c r="A265" s="44" t="n"/>
      <c r="J265" s="404" t="n"/>
      <c r="N265" s="404" t="n"/>
      <c r="R265" s="404" t="n"/>
      <c r="V265" s="404" t="n"/>
      <c r="Z265" s="404" t="n"/>
      <c r="AN265" s="537" t="n"/>
      <c r="AO265" s="537" t="n"/>
      <c r="AR265" s="537" t="n"/>
      <c r="AS265" s="537" t="n"/>
    </row>
    <row customHeight="1" ht="15.75" r="266" s="452" spans="1:57">
      <c r="A266" s="44" t="n"/>
      <c r="J266" s="404" t="n"/>
      <c r="N266" s="404" t="n"/>
      <c r="R266" s="404" t="n"/>
      <c r="V266" s="404" t="n"/>
      <c r="Z266" s="404" t="n"/>
      <c r="AN266" s="537" t="n"/>
      <c r="AO266" s="537" t="n"/>
      <c r="AR266" s="537" t="n"/>
      <c r="AS266" s="537" t="n"/>
    </row>
    <row customHeight="1" ht="15.75" r="267" s="452" spans="1:57">
      <c r="A267" s="44" t="n"/>
      <c r="J267" s="404" t="n"/>
      <c r="N267" s="404" t="n"/>
      <c r="R267" s="404" t="n"/>
      <c r="V267" s="404" t="n"/>
      <c r="Z267" s="404" t="n"/>
      <c r="AN267" s="537" t="n"/>
      <c r="AO267" s="537" t="n"/>
      <c r="AR267" s="537" t="n"/>
      <c r="AS267" s="537" t="n"/>
    </row>
    <row customHeight="1" ht="15.75" r="268" s="452" spans="1:57">
      <c r="A268" s="44" t="n"/>
      <c r="J268" s="404" t="n"/>
      <c r="N268" s="404" t="n"/>
      <c r="R268" s="404" t="n"/>
      <c r="V268" s="404" t="n"/>
      <c r="Z268" s="404" t="n"/>
      <c r="AN268" s="537" t="n"/>
      <c r="AO268" s="537" t="n"/>
      <c r="AR268" s="537" t="n"/>
      <c r="AS268" s="537" t="n"/>
    </row>
    <row customHeight="1" ht="15.75" r="269" s="452" spans="1:57">
      <c r="A269" s="44" t="n"/>
      <c r="J269" s="404" t="n"/>
      <c r="N269" s="404" t="n"/>
      <c r="R269" s="404" t="n"/>
      <c r="V269" s="404" t="n"/>
      <c r="Z269" s="404" t="n"/>
      <c r="AN269" s="537" t="n"/>
      <c r="AO269" s="537" t="n"/>
      <c r="AR269" s="537" t="n"/>
      <c r="AS269" s="537" t="n"/>
    </row>
    <row customHeight="1" ht="15.75" r="270" s="452" spans="1:57">
      <c r="A270" s="44" t="n"/>
      <c r="J270" s="404" t="n"/>
      <c r="N270" s="404" t="n"/>
      <c r="R270" s="404" t="n"/>
      <c r="V270" s="404" t="n"/>
      <c r="Z270" s="404" t="n"/>
      <c r="AN270" s="537" t="n"/>
      <c r="AO270" s="537" t="n"/>
      <c r="AR270" s="537" t="n"/>
      <c r="AS270" s="537" t="n"/>
    </row>
    <row customHeight="1" ht="15.75" r="271" s="452" spans="1:57">
      <c r="A271" s="44" t="n"/>
      <c r="J271" s="404" t="n"/>
      <c r="N271" s="404" t="n"/>
      <c r="R271" s="404" t="n"/>
      <c r="V271" s="404" t="n"/>
      <c r="Z271" s="404" t="n"/>
      <c r="AN271" s="537" t="n"/>
      <c r="AO271" s="537" t="n"/>
      <c r="AR271" s="537" t="n"/>
      <c r="AS271" s="537" t="n"/>
    </row>
    <row customHeight="1" ht="15.75" r="272" s="452" spans="1:57">
      <c r="A272" s="44" t="n"/>
      <c r="J272" s="404" t="n"/>
      <c r="N272" s="404" t="n"/>
      <c r="R272" s="404" t="n"/>
      <c r="V272" s="404" t="n"/>
      <c r="Z272" s="404" t="n"/>
      <c r="AN272" s="537" t="n"/>
      <c r="AO272" s="537" t="n"/>
      <c r="AR272" s="537" t="n"/>
      <c r="AS272" s="537" t="n"/>
    </row>
    <row customHeight="1" ht="15.75" r="273" s="452" spans="1:57">
      <c r="A273" s="44" t="n"/>
      <c r="J273" s="404" t="n"/>
      <c r="N273" s="404" t="n"/>
      <c r="R273" s="404" t="n"/>
      <c r="V273" s="404" t="n"/>
      <c r="Z273" s="404" t="n"/>
      <c r="AN273" s="537" t="n"/>
      <c r="AO273" s="537" t="n"/>
      <c r="AR273" s="537" t="n"/>
      <c r="AS273" s="537" t="n"/>
    </row>
    <row customHeight="1" ht="15.75" r="274" s="452" spans="1:57">
      <c r="A274" s="44" t="n"/>
      <c r="J274" s="404" t="n"/>
      <c r="N274" s="404" t="n"/>
      <c r="R274" s="404" t="n"/>
      <c r="V274" s="404" t="n"/>
      <c r="Z274" s="404" t="n"/>
      <c r="AN274" s="537" t="n"/>
      <c r="AO274" s="537" t="n"/>
      <c r="AR274" s="537" t="n"/>
      <c r="AS274" s="537" t="n"/>
    </row>
    <row customHeight="1" ht="15.75" r="275" s="452" spans="1:57">
      <c r="A275" s="44" t="n"/>
      <c r="J275" s="404" t="n"/>
      <c r="N275" s="404" t="n"/>
      <c r="R275" s="404" t="n"/>
      <c r="V275" s="404" t="n"/>
      <c r="Z275" s="404" t="n"/>
      <c r="AN275" s="537" t="n"/>
      <c r="AO275" s="537" t="n"/>
      <c r="AR275" s="537" t="n"/>
      <c r="AS275" s="537" t="n"/>
    </row>
    <row customHeight="1" ht="15.75" r="276" s="452" spans="1:57">
      <c r="A276" s="44" t="n"/>
      <c r="J276" s="404" t="n"/>
      <c r="N276" s="404" t="n"/>
      <c r="R276" s="404" t="n"/>
      <c r="V276" s="404" t="n"/>
      <c r="Z276" s="404" t="n"/>
      <c r="AN276" s="537" t="n"/>
      <c r="AO276" s="537" t="n"/>
      <c r="AR276" s="537" t="n"/>
      <c r="AS276" s="537" t="n"/>
    </row>
    <row customHeight="1" ht="15.75" r="277" s="452" spans="1:57">
      <c r="A277" s="44" t="n"/>
      <c r="J277" s="404" t="n"/>
      <c r="N277" s="404" t="n"/>
      <c r="R277" s="404" t="n"/>
      <c r="V277" s="404" t="n"/>
      <c r="Z277" s="404" t="n"/>
      <c r="AN277" s="537" t="n"/>
      <c r="AO277" s="537" t="n"/>
      <c r="AR277" s="537" t="n"/>
      <c r="AS277" s="537" t="n"/>
    </row>
    <row customHeight="1" ht="15.75" r="278" s="452" spans="1:57">
      <c r="A278" s="44" t="n"/>
      <c r="J278" s="404" t="n"/>
      <c r="N278" s="404" t="n"/>
      <c r="R278" s="404" t="n"/>
      <c r="V278" s="404" t="n"/>
      <c r="Z278" s="404" t="n"/>
      <c r="AN278" s="537" t="n"/>
      <c r="AO278" s="537" t="n"/>
      <c r="AR278" s="537" t="n"/>
      <c r="AS278" s="537" t="n"/>
    </row>
    <row customHeight="1" ht="15.75" r="279" s="452" spans="1:57">
      <c r="A279" s="44" t="n"/>
      <c r="J279" s="404" t="n"/>
      <c r="N279" s="404" t="n"/>
      <c r="R279" s="404" t="n"/>
      <c r="V279" s="404" t="n"/>
      <c r="Z279" s="404" t="n"/>
      <c r="AN279" s="537" t="n"/>
      <c r="AO279" s="537" t="n"/>
      <c r="AR279" s="537" t="n"/>
      <c r="AS279" s="537" t="n"/>
    </row>
    <row customHeight="1" ht="15.75" r="280" s="452" spans="1:57">
      <c r="A280" s="44" t="n"/>
      <c r="J280" s="404" t="n"/>
      <c r="N280" s="404" t="n"/>
      <c r="R280" s="404" t="n"/>
      <c r="V280" s="404" t="n"/>
      <c r="Z280" s="404" t="n"/>
      <c r="AN280" s="537" t="n"/>
      <c r="AO280" s="537" t="n"/>
      <c r="AR280" s="537" t="n"/>
      <c r="AS280" s="537" t="n"/>
    </row>
    <row customHeight="1" ht="15.75" r="281" s="452" spans="1:57">
      <c r="A281" s="44" t="n"/>
      <c r="J281" s="404" t="n"/>
      <c r="N281" s="404" t="n"/>
      <c r="R281" s="404" t="n"/>
      <c r="V281" s="404" t="n"/>
      <c r="Z281" s="404" t="n"/>
      <c r="AN281" s="537" t="n"/>
      <c r="AO281" s="537" t="n"/>
      <c r="AR281" s="537" t="n"/>
      <c r="AS281" s="537" t="n"/>
    </row>
    <row customHeight="1" ht="15.75" r="282" s="452" spans="1:57">
      <c r="A282" s="44" t="n"/>
      <c r="J282" s="404" t="n"/>
      <c r="N282" s="404" t="n"/>
      <c r="R282" s="404" t="n"/>
      <c r="V282" s="404" t="n"/>
      <c r="Z282" s="404" t="n"/>
      <c r="AN282" s="537" t="n"/>
      <c r="AO282" s="537" t="n"/>
      <c r="AR282" s="537" t="n"/>
      <c r="AS282" s="537" t="n"/>
    </row>
    <row customHeight="1" ht="15.75" r="283" s="452" spans="1:57">
      <c r="A283" s="44" t="n"/>
      <c r="J283" s="404" t="n"/>
      <c r="N283" s="404" t="n"/>
      <c r="R283" s="404" t="n"/>
      <c r="V283" s="404" t="n"/>
      <c r="Z283" s="404" t="n"/>
      <c r="AN283" s="537" t="n"/>
      <c r="AO283" s="537" t="n"/>
      <c r="AR283" s="537" t="n"/>
      <c r="AS283" s="537" t="n"/>
    </row>
    <row customHeight="1" ht="15.75" r="284" s="452" spans="1:57">
      <c r="A284" s="44" t="n"/>
      <c r="J284" s="404" t="n"/>
      <c r="N284" s="404" t="n"/>
      <c r="R284" s="404" t="n"/>
      <c r="V284" s="404" t="n"/>
      <c r="Z284" s="404" t="n"/>
      <c r="AN284" s="537" t="n"/>
      <c r="AO284" s="537" t="n"/>
      <c r="AR284" s="537" t="n"/>
      <c r="AS284" s="537" t="n"/>
    </row>
    <row customHeight="1" ht="15.75" r="285" s="452" spans="1:57">
      <c r="A285" s="44" t="n"/>
      <c r="J285" s="404" t="n"/>
      <c r="N285" s="404" t="n"/>
      <c r="R285" s="404" t="n"/>
      <c r="V285" s="404" t="n"/>
      <c r="Z285" s="404" t="n"/>
      <c r="AN285" s="537" t="n"/>
      <c r="AO285" s="537" t="n"/>
      <c r="AR285" s="537" t="n"/>
      <c r="AS285" s="537" t="n"/>
    </row>
    <row customHeight="1" ht="15.75" r="286" s="452" spans="1:57">
      <c r="A286" s="44" t="n"/>
      <c r="J286" s="404" t="n"/>
      <c r="N286" s="404" t="n"/>
      <c r="R286" s="404" t="n"/>
      <c r="V286" s="404" t="n"/>
      <c r="Z286" s="404" t="n"/>
      <c r="AN286" s="537" t="n"/>
      <c r="AO286" s="537" t="n"/>
      <c r="AR286" s="537" t="n"/>
      <c r="AS286" s="537" t="n"/>
    </row>
    <row customHeight="1" ht="15.75" r="287" s="452" spans="1:57">
      <c r="A287" s="44" t="n"/>
      <c r="J287" s="404" t="n"/>
      <c r="N287" s="404" t="n"/>
      <c r="R287" s="404" t="n"/>
      <c r="V287" s="404" t="n"/>
      <c r="Z287" s="404" t="n"/>
      <c r="AN287" s="537" t="n"/>
      <c r="AO287" s="537" t="n"/>
      <c r="AR287" s="537" t="n"/>
      <c r="AS287" s="537" t="n"/>
    </row>
    <row customHeight="1" ht="15.75" r="288" s="452" spans="1:57">
      <c r="A288" s="44" t="n"/>
      <c r="J288" s="404" t="n"/>
      <c r="N288" s="404" t="n"/>
      <c r="R288" s="404" t="n"/>
      <c r="V288" s="404" t="n"/>
      <c r="Z288" s="404" t="n"/>
      <c r="AN288" s="537" t="n"/>
      <c r="AO288" s="537" t="n"/>
      <c r="AR288" s="537" t="n"/>
      <c r="AS288" s="537" t="n"/>
    </row>
    <row customHeight="1" ht="15.75" r="289" s="452" spans="1:57">
      <c r="A289" s="44" t="n"/>
      <c r="J289" s="404" t="n"/>
      <c r="N289" s="404" t="n"/>
      <c r="R289" s="404" t="n"/>
      <c r="V289" s="404" t="n"/>
      <c r="Z289" s="404" t="n"/>
      <c r="AN289" s="537" t="n"/>
      <c r="AO289" s="537" t="n"/>
      <c r="AR289" s="537" t="n"/>
      <c r="AS289" s="537" t="n"/>
    </row>
    <row customHeight="1" ht="15.75" r="290" s="452" spans="1:57">
      <c r="A290" s="44" t="n"/>
      <c r="J290" s="404" t="n"/>
      <c r="N290" s="404" t="n"/>
      <c r="R290" s="404" t="n"/>
      <c r="V290" s="404" t="n"/>
      <c r="Z290" s="404" t="n"/>
      <c r="AN290" s="537" t="n"/>
      <c r="AO290" s="537" t="n"/>
      <c r="AR290" s="537" t="n"/>
      <c r="AS290" s="537" t="n"/>
    </row>
    <row customHeight="1" ht="15.75" r="291" s="452" spans="1:57">
      <c r="A291" s="44" t="n"/>
      <c r="J291" s="404" t="n"/>
      <c r="N291" s="404" t="n"/>
      <c r="R291" s="404" t="n"/>
      <c r="V291" s="404" t="n"/>
      <c r="Z291" s="404" t="n"/>
      <c r="AN291" s="537" t="n"/>
      <c r="AO291" s="537" t="n"/>
      <c r="AR291" s="537" t="n"/>
      <c r="AS291" s="537" t="n"/>
    </row>
    <row customHeight="1" ht="15.75" r="292" s="452" spans="1:57">
      <c r="A292" s="44" t="n"/>
      <c r="J292" s="404" t="n"/>
      <c r="N292" s="404" t="n"/>
      <c r="R292" s="404" t="n"/>
      <c r="V292" s="404" t="n"/>
      <c r="Z292" s="404" t="n"/>
      <c r="AN292" s="537" t="n"/>
      <c r="AO292" s="537" t="n"/>
      <c r="AR292" s="537" t="n"/>
      <c r="AS292" s="537" t="n"/>
    </row>
    <row customHeight="1" ht="15.75" r="293" s="452" spans="1:57">
      <c r="A293" s="44" t="n"/>
      <c r="J293" s="404" t="n"/>
      <c r="N293" s="404" t="n"/>
      <c r="R293" s="404" t="n"/>
      <c r="V293" s="404" t="n"/>
      <c r="Z293" s="404" t="n"/>
      <c r="AN293" s="537" t="n"/>
      <c r="AO293" s="537" t="n"/>
      <c r="AR293" s="537" t="n"/>
      <c r="AS293" s="537" t="n"/>
    </row>
    <row customHeight="1" ht="15.75" r="294" s="452" spans="1:57">
      <c r="A294" s="44" t="n"/>
      <c r="J294" s="404" t="n"/>
      <c r="N294" s="404" t="n"/>
      <c r="R294" s="404" t="n"/>
      <c r="V294" s="404" t="n"/>
      <c r="Z294" s="404" t="n"/>
      <c r="AN294" s="537" t="n"/>
      <c r="AO294" s="537" t="n"/>
      <c r="AR294" s="537" t="n"/>
      <c r="AS294" s="537" t="n"/>
    </row>
    <row customHeight="1" ht="15.75" r="295" s="452" spans="1:57">
      <c r="A295" s="44" t="n"/>
      <c r="J295" s="404" t="n"/>
      <c r="N295" s="404" t="n"/>
      <c r="R295" s="404" t="n"/>
      <c r="V295" s="404" t="n"/>
      <c r="Z295" s="404" t="n"/>
      <c r="AN295" s="537" t="n"/>
      <c r="AO295" s="537" t="n"/>
      <c r="AR295" s="537" t="n"/>
      <c r="AS295" s="537" t="n"/>
    </row>
    <row customHeight="1" ht="15.75" r="296" s="452" spans="1:57">
      <c r="A296" s="44" t="n"/>
      <c r="J296" s="404" t="n"/>
      <c r="N296" s="404" t="n"/>
      <c r="R296" s="404" t="n"/>
      <c r="V296" s="404" t="n"/>
      <c r="Z296" s="404" t="n"/>
      <c r="AN296" s="537" t="n"/>
      <c r="AO296" s="537" t="n"/>
      <c r="AR296" s="537" t="n"/>
      <c r="AS296" s="537" t="n"/>
    </row>
    <row customHeight="1" ht="15.75" r="297" s="452" spans="1:57">
      <c r="A297" s="44" t="n"/>
      <c r="J297" s="404" t="n"/>
      <c r="N297" s="404" t="n"/>
      <c r="R297" s="404" t="n"/>
      <c r="V297" s="404" t="n"/>
      <c r="Z297" s="404" t="n"/>
      <c r="AN297" s="537" t="n"/>
      <c r="AO297" s="537" t="n"/>
      <c r="AR297" s="537" t="n"/>
      <c r="AS297" s="537" t="n"/>
    </row>
    <row customHeight="1" ht="15.75" r="298" s="452" spans="1:57">
      <c r="A298" s="44" t="n"/>
      <c r="J298" s="404" t="n"/>
      <c r="N298" s="404" t="n"/>
      <c r="R298" s="404" t="n"/>
      <c r="V298" s="404" t="n"/>
      <c r="Z298" s="404" t="n"/>
      <c r="AN298" s="537" t="n"/>
      <c r="AO298" s="537" t="n"/>
      <c r="AR298" s="537" t="n"/>
      <c r="AS298" s="537" t="n"/>
    </row>
    <row customHeight="1" ht="15.75" r="299" s="452" spans="1:57">
      <c r="A299" s="44" t="n"/>
      <c r="J299" s="404" t="n"/>
      <c r="N299" s="404" t="n"/>
      <c r="R299" s="404" t="n"/>
      <c r="V299" s="404" t="n"/>
      <c r="Z299" s="404" t="n"/>
      <c r="AN299" s="537" t="n"/>
      <c r="AO299" s="537" t="n"/>
      <c r="AR299" s="537" t="n"/>
      <c r="AS299" s="537" t="n"/>
    </row>
    <row customHeight="1" ht="15.75" r="300" s="452" spans="1:57">
      <c r="A300" s="44" t="n"/>
      <c r="J300" s="404" t="n"/>
      <c r="N300" s="404" t="n"/>
      <c r="R300" s="404" t="n"/>
      <c r="V300" s="404" t="n"/>
      <c r="Z300" s="404" t="n"/>
      <c r="AN300" s="537" t="n"/>
      <c r="AO300" s="537" t="n"/>
      <c r="AR300" s="537" t="n"/>
      <c r="AS300" s="537" t="n"/>
    </row>
    <row customHeight="1" ht="15.75" r="301" s="452" spans="1:57">
      <c r="A301" s="44" t="n"/>
      <c r="J301" s="404" t="n"/>
      <c r="N301" s="404" t="n"/>
      <c r="R301" s="404" t="n"/>
      <c r="V301" s="404" t="n"/>
      <c r="Z301" s="404" t="n"/>
      <c r="AN301" s="537" t="n"/>
      <c r="AO301" s="537" t="n"/>
      <c r="AR301" s="537" t="n"/>
      <c r="AS301" s="537" t="n"/>
    </row>
    <row customHeight="1" ht="15.75" r="302" s="452" spans="1:57">
      <c r="A302" s="44" t="n"/>
      <c r="J302" s="404" t="n"/>
      <c r="N302" s="404" t="n"/>
      <c r="R302" s="404" t="n"/>
      <c r="V302" s="404" t="n"/>
      <c r="Z302" s="404" t="n"/>
      <c r="AN302" s="537" t="n"/>
      <c r="AO302" s="537" t="n"/>
      <c r="AR302" s="537" t="n"/>
      <c r="AS302" s="537" t="n"/>
    </row>
    <row customHeight="1" ht="15.75" r="303" s="452" spans="1:57">
      <c r="A303" s="44" t="n"/>
      <c r="J303" s="404" t="n"/>
      <c r="N303" s="404" t="n"/>
      <c r="R303" s="404" t="n"/>
      <c r="V303" s="404" t="n"/>
      <c r="Z303" s="404" t="n"/>
      <c r="AN303" s="537" t="n"/>
      <c r="AO303" s="537" t="n"/>
      <c r="AR303" s="537" t="n"/>
      <c r="AS303" s="537" t="n"/>
    </row>
    <row customHeight="1" ht="15.75" r="304" s="452" spans="1:57">
      <c r="A304" s="44" t="n"/>
      <c r="J304" s="404" t="n"/>
      <c r="N304" s="404" t="n"/>
      <c r="R304" s="404" t="n"/>
      <c r="V304" s="404" t="n"/>
      <c r="Z304" s="404" t="n"/>
      <c r="AN304" s="537" t="n"/>
      <c r="AO304" s="537" t="n"/>
      <c r="AR304" s="537" t="n"/>
      <c r="AS304" s="537" t="n"/>
    </row>
    <row customHeight="1" ht="15.75" r="305" s="452" spans="1:57">
      <c r="A305" s="44" t="n"/>
      <c r="J305" s="404" t="n"/>
      <c r="N305" s="404" t="n"/>
      <c r="R305" s="404" t="n"/>
      <c r="V305" s="404" t="n"/>
      <c r="Z305" s="404" t="n"/>
      <c r="AN305" s="537" t="n"/>
      <c r="AO305" s="537" t="n"/>
      <c r="AR305" s="537" t="n"/>
      <c r="AS305" s="537" t="n"/>
    </row>
    <row customHeight="1" ht="15.75" r="306" s="452" spans="1:57">
      <c r="A306" s="44" t="n"/>
      <c r="J306" s="404" t="n"/>
      <c r="N306" s="404" t="n"/>
      <c r="R306" s="404" t="n"/>
      <c r="V306" s="404" t="n"/>
      <c r="Z306" s="404" t="n"/>
      <c r="AN306" s="537" t="n"/>
      <c r="AO306" s="537" t="n"/>
      <c r="AR306" s="537" t="n"/>
      <c r="AS306" s="537" t="n"/>
    </row>
    <row customHeight="1" ht="15.75" r="307" s="452" spans="1:57">
      <c r="A307" s="44" t="n"/>
      <c r="J307" s="404" t="n"/>
      <c r="N307" s="404" t="n"/>
      <c r="R307" s="404" t="n"/>
      <c r="V307" s="404" t="n"/>
      <c r="Z307" s="404" t="n"/>
      <c r="AN307" s="537" t="n"/>
      <c r="AO307" s="537" t="n"/>
      <c r="AR307" s="537" t="n"/>
      <c r="AS307" s="537" t="n"/>
    </row>
    <row customHeight="1" ht="15.75" r="308" s="452" spans="1:57">
      <c r="A308" s="44" t="n"/>
      <c r="J308" s="404" t="n"/>
      <c r="N308" s="404" t="n"/>
      <c r="R308" s="404" t="n"/>
      <c r="V308" s="404" t="n"/>
      <c r="Z308" s="404" t="n"/>
      <c r="AN308" s="537" t="n"/>
      <c r="AO308" s="537" t="n"/>
      <c r="AR308" s="537" t="n"/>
      <c r="AS308" s="537" t="n"/>
    </row>
    <row customHeight="1" ht="15.75" r="309" s="452" spans="1:57">
      <c r="A309" s="44" t="n"/>
      <c r="J309" s="404" t="n"/>
      <c r="N309" s="404" t="n"/>
      <c r="R309" s="404" t="n"/>
      <c r="V309" s="404" t="n"/>
      <c r="Z309" s="404" t="n"/>
      <c r="AN309" s="537" t="n"/>
      <c r="AO309" s="537" t="n"/>
      <c r="AR309" s="537" t="n"/>
      <c r="AS309" s="537" t="n"/>
    </row>
    <row customHeight="1" ht="15.75" r="310" s="452" spans="1:57">
      <c r="A310" s="44" t="n"/>
      <c r="J310" s="404" t="n"/>
      <c r="N310" s="404" t="n"/>
      <c r="R310" s="404" t="n"/>
      <c r="V310" s="404" t="n"/>
      <c r="Z310" s="404" t="n"/>
      <c r="AN310" s="537" t="n"/>
      <c r="AO310" s="537" t="n"/>
      <c r="AR310" s="537" t="n"/>
      <c r="AS310" s="537" t="n"/>
    </row>
    <row customHeight="1" ht="15.75" r="311" s="452" spans="1:57">
      <c r="A311" s="44" t="n"/>
      <c r="J311" s="404" t="n"/>
      <c r="N311" s="404" t="n"/>
      <c r="R311" s="404" t="n"/>
      <c r="V311" s="404" t="n"/>
      <c r="Z311" s="404" t="n"/>
      <c r="AN311" s="537" t="n"/>
      <c r="AO311" s="537" t="n"/>
      <c r="AR311" s="537" t="n"/>
      <c r="AS311" s="537" t="n"/>
    </row>
    <row customHeight="1" ht="15.75" r="312" s="452" spans="1:57">
      <c r="A312" s="44" t="n"/>
      <c r="J312" s="404" t="n"/>
      <c r="N312" s="404" t="n"/>
      <c r="R312" s="404" t="n"/>
      <c r="V312" s="404" t="n"/>
      <c r="Z312" s="404" t="n"/>
      <c r="AN312" s="537" t="n"/>
      <c r="AO312" s="537" t="n"/>
      <c r="AR312" s="537" t="n"/>
      <c r="AS312" s="537" t="n"/>
    </row>
    <row customHeight="1" ht="15.75" r="313" s="452" spans="1:57">
      <c r="A313" s="44" t="n"/>
      <c r="J313" s="404" t="n"/>
      <c r="N313" s="404" t="n"/>
      <c r="R313" s="404" t="n"/>
      <c r="V313" s="404" t="n"/>
      <c r="Z313" s="404" t="n"/>
      <c r="AN313" s="537" t="n"/>
      <c r="AO313" s="537" t="n"/>
      <c r="AR313" s="537" t="n"/>
      <c r="AS313" s="537" t="n"/>
    </row>
    <row customHeight="1" ht="15.75" r="314" s="452" spans="1:57">
      <c r="A314" s="44" t="n"/>
      <c r="J314" s="404" t="n"/>
      <c r="N314" s="404" t="n"/>
      <c r="R314" s="404" t="n"/>
      <c r="V314" s="404" t="n"/>
      <c r="Z314" s="404" t="n"/>
      <c r="AN314" s="537" t="n"/>
      <c r="AO314" s="537" t="n"/>
      <c r="AR314" s="537" t="n"/>
      <c r="AS314" s="537" t="n"/>
    </row>
    <row customHeight="1" ht="15.75" r="315" s="452" spans="1:57">
      <c r="A315" s="44" t="n"/>
      <c r="J315" s="404" t="n"/>
      <c r="N315" s="404" t="n"/>
      <c r="R315" s="404" t="n"/>
      <c r="V315" s="404" t="n"/>
      <c r="Z315" s="404" t="n"/>
      <c r="AN315" s="537" t="n"/>
      <c r="AO315" s="537" t="n"/>
      <c r="AR315" s="537" t="n"/>
      <c r="AS315" s="537" t="n"/>
    </row>
    <row customHeight="1" ht="15.75" r="316" s="452" spans="1:57">
      <c r="A316" s="44" t="n"/>
      <c r="J316" s="404" t="n"/>
      <c r="N316" s="404" t="n"/>
      <c r="R316" s="404" t="n"/>
      <c r="V316" s="404" t="n"/>
      <c r="Z316" s="404" t="n"/>
      <c r="AN316" s="537" t="n"/>
      <c r="AO316" s="537" t="n"/>
      <c r="AR316" s="537" t="n"/>
      <c r="AS316" s="537" t="n"/>
    </row>
    <row customHeight="1" ht="15.75" r="317" s="452" spans="1:57">
      <c r="A317" s="44" t="n"/>
      <c r="J317" s="404" t="n"/>
      <c r="N317" s="404" t="n"/>
      <c r="R317" s="404" t="n"/>
      <c r="V317" s="404" t="n"/>
      <c r="Z317" s="404" t="n"/>
      <c r="AN317" s="537" t="n"/>
      <c r="AO317" s="537" t="n"/>
      <c r="AR317" s="537" t="n"/>
      <c r="AS317" s="537" t="n"/>
    </row>
    <row customHeight="1" ht="15.75" r="318" s="452" spans="1:57">
      <c r="A318" s="44" t="n"/>
      <c r="J318" s="404" t="n"/>
      <c r="N318" s="404" t="n"/>
      <c r="R318" s="404" t="n"/>
      <c r="V318" s="404" t="n"/>
      <c r="Z318" s="404" t="n"/>
      <c r="AN318" s="537" t="n"/>
      <c r="AO318" s="537" t="n"/>
      <c r="AR318" s="537" t="n"/>
      <c r="AS318" s="537" t="n"/>
    </row>
    <row customHeight="1" ht="15.75" r="319" s="452" spans="1:57">
      <c r="A319" s="44" t="n"/>
      <c r="J319" s="404" t="n"/>
      <c r="N319" s="404" t="n"/>
      <c r="R319" s="404" t="n"/>
      <c r="V319" s="404" t="n"/>
      <c r="Z319" s="404" t="n"/>
      <c r="AN319" s="537" t="n"/>
      <c r="AO319" s="537" t="n"/>
      <c r="AR319" s="537" t="n"/>
      <c r="AS319" s="537" t="n"/>
    </row>
    <row customHeight="1" ht="15.75" r="320" s="452" spans="1:57">
      <c r="A320" s="44" t="n"/>
      <c r="J320" s="404" t="n"/>
      <c r="N320" s="404" t="n"/>
      <c r="R320" s="404" t="n"/>
      <c r="V320" s="404" t="n"/>
      <c r="Z320" s="404" t="n"/>
      <c r="AN320" s="537" t="n"/>
      <c r="AO320" s="537" t="n"/>
      <c r="AR320" s="537" t="n"/>
      <c r="AS320" s="537" t="n"/>
    </row>
    <row customHeight="1" ht="15.75" r="321" s="452" spans="1:57">
      <c r="A321" s="44" t="n"/>
      <c r="J321" s="404" t="n"/>
      <c r="N321" s="404" t="n"/>
      <c r="R321" s="404" t="n"/>
      <c r="V321" s="404" t="n"/>
      <c r="Z321" s="404" t="n"/>
      <c r="AN321" s="537" t="n"/>
      <c r="AO321" s="537" t="n"/>
      <c r="AR321" s="537" t="n"/>
      <c r="AS321" s="537" t="n"/>
    </row>
    <row customHeight="1" ht="15.75" r="322" s="452" spans="1:57">
      <c r="A322" s="44" t="n"/>
      <c r="J322" s="404" t="n"/>
      <c r="N322" s="404" t="n"/>
      <c r="R322" s="404" t="n"/>
      <c r="V322" s="404" t="n"/>
      <c r="Z322" s="404" t="n"/>
      <c r="AN322" s="537" t="n"/>
      <c r="AO322" s="537" t="n"/>
      <c r="AR322" s="537" t="n"/>
      <c r="AS322" s="537" t="n"/>
    </row>
    <row customHeight="1" ht="15.75" r="323" s="452" spans="1:57">
      <c r="A323" s="44" t="n"/>
      <c r="J323" s="404" t="n"/>
      <c r="N323" s="404" t="n"/>
      <c r="R323" s="404" t="n"/>
      <c r="V323" s="404" t="n"/>
      <c r="Z323" s="404" t="n"/>
      <c r="AN323" s="537" t="n"/>
      <c r="AO323" s="537" t="n"/>
      <c r="AR323" s="537" t="n"/>
      <c r="AS323" s="537" t="n"/>
    </row>
    <row customHeight="1" ht="15.75" r="324" s="452" spans="1:57">
      <c r="A324" s="44" t="n"/>
      <c r="J324" s="404" t="n"/>
      <c r="N324" s="404" t="n"/>
      <c r="R324" s="404" t="n"/>
      <c r="V324" s="404" t="n"/>
      <c r="Z324" s="404" t="n"/>
      <c r="AN324" s="537" t="n"/>
      <c r="AO324" s="537" t="n"/>
      <c r="AR324" s="537" t="n"/>
      <c r="AS324" s="537" t="n"/>
    </row>
    <row customHeight="1" ht="15.75" r="325" s="452" spans="1:57">
      <c r="A325" s="44" t="n"/>
      <c r="J325" s="404" t="n"/>
      <c r="N325" s="404" t="n"/>
      <c r="R325" s="404" t="n"/>
      <c r="V325" s="404" t="n"/>
      <c r="Z325" s="404" t="n"/>
      <c r="AN325" s="537" t="n"/>
      <c r="AO325" s="537" t="n"/>
      <c r="AR325" s="537" t="n"/>
      <c r="AS325" s="537" t="n"/>
    </row>
    <row customHeight="1" ht="15.75" r="326" s="452" spans="1:57">
      <c r="A326" s="44" t="n"/>
      <c r="J326" s="404" t="n"/>
      <c r="N326" s="404" t="n"/>
      <c r="R326" s="404" t="n"/>
      <c r="V326" s="404" t="n"/>
      <c r="Z326" s="404" t="n"/>
      <c r="AN326" s="537" t="n"/>
      <c r="AO326" s="537" t="n"/>
      <c r="AR326" s="537" t="n"/>
      <c r="AS326" s="537" t="n"/>
    </row>
    <row customHeight="1" ht="15.75" r="327" s="452" spans="1:57">
      <c r="A327" s="44" t="n"/>
      <c r="J327" s="404" t="n"/>
      <c r="N327" s="404" t="n"/>
      <c r="R327" s="404" t="n"/>
      <c r="V327" s="404" t="n"/>
      <c r="Z327" s="404" t="n"/>
      <c r="AN327" s="537" t="n"/>
      <c r="AO327" s="537" t="n"/>
      <c r="AR327" s="537" t="n"/>
      <c r="AS327" s="537" t="n"/>
    </row>
    <row customHeight="1" ht="15.75" r="328" s="452" spans="1:57">
      <c r="A328" s="44" t="n"/>
      <c r="J328" s="404" t="n"/>
      <c r="N328" s="404" t="n"/>
      <c r="R328" s="404" t="n"/>
      <c r="V328" s="404" t="n"/>
      <c r="Z328" s="404" t="n"/>
      <c r="AN328" s="537" t="n"/>
      <c r="AO328" s="537" t="n"/>
      <c r="AR328" s="537" t="n"/>
      <c r="AS328" s="537" t="n"/>
    </row>
    <row customHeight="1" ht="15.75" r="329" s="452" spans="1:57">
      <c r="A329" s="44" t="n"/>
      <c r="J329" s="404" t="n"/>
      <c r="N329" s="404" t="n"/>
      <c r="R329" s="404" t="n"/>
      <c r="V329" s="404" t="n"/>
      <c r="Z329" s="404" t="n"/>
      <c r="AN329" s="537" t="n"/>
      <c r="AO329" s="537" t="n"/>
      <c r="AR329" s="537" t="n"/>
      <c r="AS329" s="537" t="n"/>
    </row>
    <row customHeight="1" ht="15.75" r="330" s="452" spans="1:57">
      <c r="A330" s="44" t="n"/>
      <c r="J330" s="404" t="n"/>
      <c r="N330" s="404" t="n"/>
      <c r="R330" s="404" t="n"/>
      <c r="V330" s="404" t="n"/>
      <c r="Z330" s="404" t="n"/>
      <c r="AN330" s="537" t="n"/>
      <c r="AO330" s="537" t="n"/>
      <c r="AR330" s="537" t="n"/>
      <c r="AS330" s="537" t="n"/>
    </row>
    <row customHeight="1" ht="15.75" r="331" s="452" spans="1:57">
      <c r="A331" s="44" t="n"/>
      <c r="J331" s="404" t="n"/>
      <c r="N331" s="404" t="n"/>
      <c r="R331" s="404" t="n"/>
      <c r="V331" s="404" t="n"/>
      <c r="Z331" s="404" t="n"/>
      <c r="AN331" s="537" t="n"/>
      <c r="AO331" s="537" t="n"/>
      <c r="AR331" s="537" t="n"/>
      <c r="AS331" s="537" t="n"/>
    </row>
    <row customHeight="1" ht="15.75" r="332" s="452" spans="1:57">
      <c r="A332" s="44" t="n"/>
      <c r="J332" s="404" t="n"/>
      <c r="N332" s="404" t="n"/>
      <c r="R332" s="404" t="n"/>
      <c r="V332" s="404" t="n"/>
      <c r="Z332" s="404" t="n"/>
      <c r="AN332" s="537" t="n"/>
      <c r="AO332" s="537" t="n"/>
      <c r="AR332" s="537" t="n"/>
      <c r="AS332" s="537" t="n"/>
    </row>
    <row customHeight="1" ht="15.75" r="333" s="452" spans="1:57">
      <c r="A333" s="44" t="n"/>
      <c r="J333" s="404" t="n"/>
      <c r="N333" s="404" t="n"/>
      <c r="R333" s="404" t="n"/>
      <c r="V333" s="404" t="n"/>
      <c r="Z333" s="404" t="n"/>
      <c r="AN333" s="537" t="n"/>
      <c r="AO333" s="537" t="n"/>
      <c r="AR333" s="537" t="n"/>
      <c r="AS333" s="537" t="n"/>
    </row>
    <row customHeight="1" ht="15.75" r="334" s="452" spans="1:57">
      <c r="A334" s="44" t="n"/>
      <c r="J334" s="404" t="n"/>
      <c r="N334" s="404" t="n"/>
      <c r="R334" s="404" t="n"/>
      <c r="V334" s="404" t="n"/>
      <c r="Z334" s="404" t="n"/>
      <c r="AN334" s="537" t="n"/>
      <c r="AO334" s="537" t="n"/>
      <c r="AR334" s="537" t="n"/>
      <c r="AS334" s="537" t="n"/>
    </row>
    <row customHeight="1" ht="15.75" r="335" s="452" spans="1:57">
      <c r="A335" s="44" t="n"/>
      <c r="J335" s="404" t="n"/>
      <c r="N335" s="404" t="n"/>
      <c r="R335" s="404" t="n"/>
      <c r="V335" s="404" t="n"/>
      <c r="Z335" s="404" t="n"/>
      <c r="AN335" s="537" t="n"/>
      <c r="AO335" s="537" t="n"/>
      <c r="AR335" s="537" t="n"/>
      <c r="AS335" s="537" t="n"/>
    </row>
    <row customHeight="1" ht="15.75" r="336" s="452" spans="1:57">
      <c r="A336" s="44" t="n"/>
      <c r="J336" s="404" t="n"/>
      <c r="N336" s="404" t="n"/>
      <c r="R336" s="404" t="n"/>
      <c r="V336" s="404" t="n"/>
      <c r="Z336" s="404" t="n"/>
      <c r="AN336" s="537" t="n"/>
      <c r="AO336" s="537" t="n"/>
      <c r="AR336" s="537" t="n"/>
      <c r="AS336" s="537" t="n"/>
    </row>
    <row customHeight="1" ht="15.75" r="337" s="452" spans="1:57">
      <c r="A337" s="44" t="n"/>
      <c r="J337" s="404" t="n"/>
      <c r="N337" s="404" t="n"/>
      <c r="R337" s="404" t="n"/>
      <c r="V337" s="404" t="n"/>
      <c r="Z337" s="404" t="n"/>
      <c r="AN337" s="537" t="n"/>
      <c r="AO337" s="537" t="n"/>
      <c r="AR337" s="537" t="n"/>
      <c r="AS337" s="537" t="n"/>
    </row>
    <row customHeight="1" ht="15.75" r="338" s="452" spans="1:57">
      <c r="A338" s="44" t="n"/>
      <c r="J338" s="404" t="n"/>
      <c r="N338" s="404" t="n"/>
      <c r="R338" s="404" t="n"/>
      <c r="V338" s="404" t="n"/>
      <c r="Z338" s="404" t="n"/>
      <c r="AN338" s="537" t="n"/>
      <c r="AO338" s="537" t="n"/>
      <c r="AR338" s="537" t="n"/>
      <c r="AS338" s="537" t="n"/>
    </row>
    <row customHeight="1" ht="15.75" r="339" s="452" spans="1:57">
      <c r="A339" s="44" t="n"/>
      <c r="J339" s="404" t="n"/>
      <c r="N339" s="404" t="n"/>
      <c r="R339" s="404" t="n"/>
      <c r="V339" s="404" t="n"/>
      <c r="Z339" s="404" t="n"/>
      <c r="AN339" s="537" t="n"/>
      <c r="AO339" s="537" t="n"/>
      <c r="AR339" s="537" t="n"/>
      <c r="AS339" s="537" t="n"/>
    </row>
    <row customHeight="1" ht="15.75" r="340" s="452" spans="1:57">
      <c r="A340" s="44" t="n"/>
      <c r="J340" s="404" t="n"/>
      <c r="N340" s="404" t="n"/>
      <c r="R340" s="404" t="n"/>
      <c r="V340" s="404" t="n"/>
      <c r="Z340" s="404" t="n"/>
      <c r="AN340" s="537" t="n"/>
      <c r="AO340" s="537" t="n"/>
      <c r="AR340" s="537" t="n"/>
      <c r="AS340" s="537" t="n"/>
    </row>
    <row customHeight="1" ht="15.75" r="341" s="452" spans="1:57">
      <c r="A341" s="44" t="n"/>
      <c r="J341" s="404" t="n"/>
      <c r="N341" s="404" t="n"/>
      <c r="R341" s="404" t="n"/>
      <c r="V341" s="404" t="n"/>
      <c r="Z341" s="404" t="n"/>
      <c r="AN341" s="537" t="n"/>
      <c r="AO341" s="537" t="n"/>
      <c r="AR341" s="537" t="n"/>
      <c r="AS341" s="537" t="n"/>
    </row>
    <row customHeight="1" ht="15.75" r="342" s="452" spans="1:57">
      <c r="A342" s="44" t="n"/>
      <c r="J342" s="404" t="n"/>
      <c r="N342" s="404" t="n"/>
      <c r="R342" s="404" t="n"/>
      <c r="V342" s="404" t="n"/>
      <c r="Z342" s="404" t="n"/>
      <c r="AN342" s="537" t="n"/>
      <c r="AO342" s="537" t="n"/>
      <c r="AR342" s="537" t="n"/>
      <c r="AS342" s="537" t="n"/>
    </row>
    <row customHeight="1" ht="15.75" r="343" s="452" spans="1:57">
      <c r="A343" s="44" t="n"/>
      <c r="J343" s="404" t="n"/>
      <c r="N343" s="404" t="n"/>
      <c r="R343" s="404" t="n"/>
      <c r="V343" s="404" t="n"/>
      <c r="Z343" s="404" t="n"/>
      <c r="AN343" s="537" t="n"/>
      <c r="AO343" s="537" t="n"/>
      <c r="AR343" s="537" t="n"/>
      <c r="AS343" s="537" t="n"/>
    </row>
    <row customHeight="1" ht="15.75" r="344" s="452" spans="1:57">
      <c r="A344" s="44" t="n"/>
      <c r="J344" s="404" t="n"/>
      <c r="N344" s="404" t="n"/>
      <c r="R344" s="404" t="n"/>
      <c r="V344" s="404" t="n"/>
      <c r="Z344" s="404" t="n"/>
      <c r="AN344" s="537" t="n"/>
      <c r="AO344" s="537" t="n"/>
      <c r="AR344" s="537" t="n"/>
      <c r="AS344" s="537" t="n"/>
    </row>
    <row customHeight="1" ht="15.75" r="345" s="452" spans="1:57">
      <c r="A345" s="44" t="n"/>
      <c r="J345" s="404" t="n"/>
      <c r="N345" s="404" t="n"/>
      <c r="R345" s="404" t="n"/>
      <c r="V345" s="404" t="n"/>
      <c r="Z345" s="404" t="n"/>
      <c r="AN345" s="537" t="n"/>
      <c r="AO345" s="537" t="n"/>
      <c r="AR345" s="537" t="n"/>
      <c r="AS345" s="537" t="n"/>
    </row>
    <row customHeight="1" ht="15.75" r="346" s="452" spans="1:57">
      <c r="A346" s="44" t="n"/>
      <c r="J346" s="404" t="n"/>
      <c r="N346" s="404" t="n"/>
      <c r="R346" s="404" t="n"/>
      <c r="V346" s="404" t="n"/>
      <c r="Z346" s="404" t="n"/>
      <c r="AN346" s="537" t="n"/>
      <c r="AO346" s="537" t="n"/>
      <c r="AR346" s="537" t="n"/>
      <c r="AS346" s="537" t="n"/>
    </row>
    <row customHeight="1" ht="15.75" r="347" s="452" spans="1:57">
      <c r="A347" s="44" t="n"/>
      <c r="J347" s="404" t="n"/>
      <c r="N347" s="404" t="n"/>
      <c r="R347" s="404" t="n"/>
      <c r="V347" s="404" t="n"/>
      <c r="Z347" s="404" t="n"/>
      <c r="AN347" s="537" t="n"/>
      <c r="AO347" s="537" t="n"/>
      <c r="AR347" s="537" t="n"/>
      <c r="AS347" s="537" t="n"/>
    </row>
    <row customHeight="1" ht="15.75" r="348" s="452" spans="1:57">
      <c r="A348" s="44" t="n"/>
      <c r="J348" s="404" t="n"/>
      <c r="N348" s="404" t="n"/>
      <c r="R348" s="404" t="n"/>
      <c r="V348" s="404" t="n"/>
      <c r="Z348" s="404" t="n"/>
      <c r="AN348" s="537" t="n"/>
      <c r="AO348" s="537" t="n"/>
      <c r="AR348" s="537" t="n"/>
      <c r="AS348" s="537" t="n"/>
    </row>
    <row customHeight="1" ht="15.75" r="349" s="452" spans="1:57">
      <c r="A349" s="44" t="n"/>
      <c r="J349" s="404" t="n"/>
      <c r="N349" s="404" t="n"/>
      <c r="R349" s="404" t="n"/>
      <c r="V349" s="404" t="n"/>
      <c r="Z349" s="404" t="n"/>
      <c r="AN349" s="537" t="n"/>
      <c r="AO349" s="537" t="n"/>
      <c r="AR349" s="537" t="n"/>
      <c r="AS349" s="537" t="n"/>
    </row>
    <row customHeight="1" ht="15.75" r="350" s="452" spans="1:57">
      <c r="A350" s="44" t="n"/>
      <c r="J350" s="404" t="n"/>
      <c r="N350" s="404" t="n"/>
      <c r="R350" s="404" t="n"/>
      <c r="V350" s="404" t="n"/>
      <c r="Z350" s="404" t="n"/>
      <c r="AN350" s="537" t="n"/>
      <c r="AO350" s="537" t="n"/>
      <c r="AR350" s="537" t="n"/>
      <c r="AS350" s="537" t="n"/>
    </row>
    <row customHeight="1" ht="15.75" r="351" s="452" spans="1:57">
      <c r="A351" s="44" t="n"/>
      <c r="J351" s="404" t="n"/>
      <c r="N351" s="404" t="n"/>
      <c r="R351" s="404" t="n"/>
      <c r="V351" s="404" t="n"/>
      <c r="Z351" s="404" t="n"/>
      <c r="AN351" s="537" t="n"/>
      <c r="AO351" s="537" t="n"/>
      <c r="AR351" s="537" t="n"/>
      <c r="AS351" s="537" t="n"/>
    </row>
    <row customHeight="1" ht="15.75" r="352" s="452" spans="1:57">
      <c r="A352" s="44" t="n"/>
      <c r="J352" s="404" t="n"/>
      <c r="N352" s="404" t="n"/>
      <c r="R352" s="404" t="n"/>
      <c r="V352" s="404" t="n"/>
      <c r="Z352" s="404" t="n"/>
      <c r="AN352" s="537" t="n"/>
      <c r="AO352" s="537" t="n"/>
      <c r="AR352" s="537" t="n"/>
      <c r="AS352" s="537" t="n"/>
    </row>
    <row customHeight="1" ht="15.75" r="353" s="452" spans="1:57">
      <c r="A353" s="44" t="n"/>
      <c r="J353" s="404" t="n"/>
      <c r="N353" s="404" t="n"/>
      <c r="R353" s="404" t="n"/>
      <c r="V353" s="404" t="n"/>
      <c r="Z353" s="404" t="n"/>
      <c r="AN353" s="537" t="n"/>
      <c r="AO353" s="537" t="n"/>
      <c r="AR353" s="537" t="n"/>
      <c r="AS353" s="537" t="n"/>
    </row>
    <row customHeight="1" ht="15.75" r="354" s="452" spans="1:57">
      <c r="A354" s="44" t="n"/>
      <c r="J354" s="404" t="n"/>
      <c r="N354" s="404" t="n"/>
      <c r="R354" s="404" t="n"/>
      <c r="V354" s="404" t="n"/>
      <c r="Z354" s="404" t="n"/>
      <c r="AN354" s="537" t="n"/>
      <c r="AO354" s="537" t="n"/>
      <c r="AR354" s="537" t="n"/>
      <c r="AS354" s="537" t="n"/>
    </row>
    <row customHeight="1" ht="15.75" r="355" s="452" spans="1:57">
      <c r="A355" s="44" t="n"/>
      <c r="J355" s="404" t="n"/>
      <c r="N355" s="404" t="n"/>
      <c r="R355" s="404" t="n"/>
      <c r="V355" s="404" t="n"/>
      <c r="Z355" s="404" t="n"/>
      <c r="AN355" s="537" t="n"/>
      <c r="AO355" s="537" t="n"/>
      <c r="AR355" s="537" t="n"/>
      <c r="AS355" s="537" t="n"/>
    </row>
    <row customHeight="1" ht="15.75" r="356" s="452" spans="1:57">
      <c r="A356" s="44" t="n"/>
      <c r="J356" s="404" t="n"/>
      <c r="N356" s="404" t="n"/>
      <c r="R356" s="404" t="n"/>
      <c r="V356" s="404" t="n"/>
      <c r="Z356" s="404" t="n"/>
      <c r="AN356" s="537" t="n"/>
      <c r="AO356" s="537" t="n"/>
      <c r="AR356" s="537" t="n"/>
      <c r="AS356" s="537" t="n"/>
    </row>
    <row customHeight="1" ht="15.75" r="357" s="452" spans="1:57">
      <c r="A357" s="44" t="n"/>
      <c r="J357" s="404" t="n"/>
      <c r="N357" s="404" t="n"/>
      <c r="R357" s="404" t="n"/>
      <c r="V357" s="404" t="n"/>
      <c r="Z357" s="404" t="n"/>
      <c r="AN357" s="537" t="n"/>
      <c r="AO357" s="537" t="n"/>
      <c r="AR357" s="537" t="n"/>
      <c r="AS357" s="537" t="n"/>
    </row>
    <row customHeight="1" ht="15.75" r="358" s="452" spans="1:57">
      <c r="A358" s="44" t="n"/>
      <c r="J358" s="404" t="n"/>
      <c r="N358" s="404" t="n"/>
      <c r="R358" s="404" t="n"/>
      <c r="V358" s="404" t="n"/>
      <c r="Z358" s="404" t="n"/>
      <c r="AN358" s="537" t="n"/>
      <c r="AO358" s="537" t="n"/>
      <c r="AR358" s="537" t="n"/>
      <c r="AS358" s="537" t="n"/>
    </row>
    <row customHeight="1" ht="15.75" r="359" s="452" spans="1:57">
      <c r="A359" s="44" t="n"/>
      <c r="J359" s="404" t="n"/>
      <c r="N359" s="404" t="n"/>
      <c r="R359" s="404" t="n"/>
      <c r="V359" s="404" t="n"/>
      <c r="Z359" s="404" t="n"/>
      <c r="AN359" s="537" t="n"/>
      <c r="AO359" s="537" t="n"/>
      <c r="AR359" s="537" t="n"/>
      <c r="AS359" s="537" t="n"/>
    </row>
    <row customHeight="1" ht="15.75" r="360" s="452" spans="1:57">
      <c r="A360" s="44" t="n"/>
      <c r="J360" s="404" t="n"/>
      <c r="N360" s="404" t="n"/>
      <c r="R360" s="404" t="n"/>
      <c r="V360" s="404" t="n"/>
      <c r="Z360" s="404" t="n"/>
      <c r="AN360" s="537" t="n"/>
      <c r="AO360" s="537" t="n"/>
      <c r="AR360" s="537" t="n"/>
      <c r="AS360" s="537" t="n"/>
    </row>
    <row customHeight="1" ht="15.75" r="361" s="452" spans="1:57">
      <c r="A361" s="44" t="n"/>
      <c r="J361" s="404" t="n"/>
      <c r="N361" s="404" t="n"/>
      <c r="R361" s="404" t="n"/>
      <c r="V361" s="404" t="n"/>
      <c r="Z361" s="404" t="n"/>
      <c r="AN361" s="537" t="n"/>
      <c r="AO361" s="537" t="n"/>
      <c r="AR361" s="537" t="n"/>
      <c r="AS361" s="537" t="n"/>
    </row>
    <row customHeight="1" ht="15.75" r="362" s="452" spans="1:57">
      <c r="A362" s="44" t="n"/>
      <c r="J362" s="404" t="n"/>
      <c r="N362" s="404" t="n"/>
      <c r="R362" s="404" t="n"/>
      <c r="V362" s="404" t="n"/>
      <c r="Z362" s="404" t="n"/>
      <c r="AN362" s="537" t="n"/>
      <c r="AO362" s="537" t="n"/>
      <c r="AR362" s="537" t="n"/>
      <c r="AS362" s="537" t="n"/>
    </row>
    <row customHeight="1" ht="15.75" r="363" s="452" spans="1:57">
      <c r="A363" s="44" t="n"/>
      <c r="J363" s="404" t="n"/>
      <c r="N363" s="404" t="n"/>
      <c r="R363" s="404" t="n"/>
      <c r="V363" s="404" t="n"/>
      <c r="Z363" s="404" t="n"/>
      <c r="AN363" s="537" t="n"/>
      <c r="AO363" s="537" t="n"/>
      <c r="AR363" s="537" t="n"/>
      <c r="AS363" s="537" t="n"/>
    </row>
    <row customHeight="1" ht="15.75" r="364" s="452" spans="1:57">
      <c r="A364" s="44" t="n"/>
      <c r="J364" s="404" t="n"/>
      <c r="N364" s="404" t="n"/>
      <c r="R364" s="404" t="n"/>
      <c r="V364" s="404" t="n"/>
      <c r="Z364" s="404" t="n"/>
      <c r="AN364" s="537" t="n"/>
      <c r="AO364" s="537" t="n"/>
      <c r="AR364" s="537" t="n"/>
      <c r="AS364" s="537" t="n"/>
    </row>
    <row customHeight="1" ht="15.75" r="365" s="452" spans="1:57">
      <c r="A365" s="44" t="n"/>
      <c r="J365" s="404" t="n"/>
      <c r="N365" s="404" t="n"/>
      <c r="R365" s="404" t="n"/>
      <c r="V365" s="404" t="n"/>
      <c r="Z365" s="404" t="n"/>
      <c r="AN365" s="537" t="n"/>
      <c r="AO365" s="537" t="n"/>
      <c r="AR365" s="537" t="n"/>
      <c r="AS365" s="537" t="n"/>
    </row>
    <row customHeight="1" ht="15.75" r="366" s="452" spans="1:57">
      <c r="A366" s="44" t="n"/>
      <c r="J366" s="404" t="n"/>
      <c r="N366" s="404" t="n"/>
      <c r="R366" s="404" t="n"/>
      <c r="V366" s="404" t="n"/>
      <c r="Z366" s="404" t="n"/>
      <c r="AN366" s="537" t="n"/>
      <c r="AO366" s="537" t="n"/>
      <c r="AR366" s="537" t="n"/>
      <c r="AS366" s="537" t="n"/>
    </row>
    <row customHeight="1" ht="15.75" r="367" s="452" spans="1:57">
      <c r="A367" s="44" t="n"/>
      <c r="J367" s="404" t="n"/>
      <c r="N367" s="404" t="n"/>
      <c r="R367" s="404" t="n"/>
      <c r="V367" s="404" t="n"/>
      <c r="Z367" s="404" t="n"/>
      <c r="AN367" s="537" t="n"/>
      <c r="AO367" s="537" t="n"/>
      <c r="AR367" s="537" t="n"/>
      <c r="AS367" s="537" t="n"/>
    </row>
    <row customHeight="1" ht="15.75" r="368" s="452" spans="1:57">
      <c r="A368" s="44" t="n"/>
      <c r="J368" s="404" t="n"/>
      <c r="N368" s="404" t="n"/>
      <c r="R368" s="404" t="n"/>
      <c r="V368" s="404" t="n"/>
      <c r="Z368" s="404" t="n"/>
      <c r="AN368" s="537" t="n"/>
      <c r="AO368" s="537" t="n"/>
      <c r="AR368" s="537" t="n"/>
      <c r="AS368" s="537" t="n"/>
    </row>
    <row customHeight="1" ht="15.75" r="369" s="452" spans="1:57">
      <c r="A369" s="44" t="n"/>
      <c r="J369" s="404" t="n"/>
      <c r="N369" s="404" t="n"/>
      <c r="R369" s="404" t="n"/>
      <c r="V369" s="404" t="n"/>
      <c r="Z369" s="404" t="n"/>
      <c r="AN369" s="537" t="n"/>
      <c r="AO369" s="537" t="n"/>
      <c r="AR369" s="537" t="n"/>
      <c r="AS369" s="537" t="n"/>
    </row>
    <row customHeight="1" ht="15.75" r="370" s="452" spans="1:57">
      <c r="A370" s="44" t="n"/>
      <c r="J370" s="404" t="n"/>
      <c r="N370" s="404" t="n"/>
      <c r="R370" s="404" t="n"/>
      <c r="V370" s="404" t="n"/>
      <c r="Z370" s="404" t="n"/>
      <c r="AN370" s="537" t="n"/>
      <c r="AO370" s="537" t="n"/>
      <c r="AR370" s="537" t="n"/>
      <c r="AS370" s="537" t="n"/>
    </row>
    <row customHeight="1" ht="15.75" r="371" s="452" spans="1:57">
      <c r="A371" s="44" t="n"/>
      <c r="J371" s="404" t="n"/>
      <c r="N371" s="404" t="n"/>
      <c r="R371" s="404" t="n"/>
      <c r="V371" s="404" t="n"/>
      <c r="Z371" s="404" t="n"/>
      <c r="AN371" s="537" t="n"/>
      <c r="AO371" s="537" t="n"/>
      <c r="AR371" s="537" t="n"/>
      <c r="AS371" s="537" t="n"/>
    </row>
    <row customHeight="1" ht="15.75" r="372" s="452" spans="1:57">
      <c r="A372" s="44" t="n"/>
      <c r="J372" s="404" t="n"/>
      <c r="N372" s="404" t="n"/>
      <c r="R372" s="404" t="n"/>
      <c r="V372" s="404" t="n"/>
      <c r="Z372" s="404" t="n"/>
      <c r="AN372" s="537" t="n"/>
      <c r="AO372" s="537" t="n"/>
      <c r="AR372" s="537" t="n"/>
      <c r="AS372" s="537" t="n"/>
    </row>
    <row customHeight="1" ht="15.75" r="373" s="452" spans="1:57">
      <c r="A373" s="44" t="n"/>
      <c r="J373" s="404" t="n"/>
      <c r="N373" s="404" t="n"/>
      <c r="R373" s="404" t="n"/>
      <c r="V373" s="404" t="n"/>
      <c r="Z373" s="404" t="n"/>
      <c r="AN373" s="537" t="n"/>
      <c r="AO373" s="537" t="n"/>
      <c r="AR373" s="537" t="n"/>
      <c r="AS373" s="537" t="n"/>
    </row>
    <row customHeight="1" ht="15.75" r="374" s="452" spans="1:57">
      <c r="A374" s="44" t="n"/>
      <c r="J374" s="404" t="n"/>
      <c r="N374" s="404" t="n"/>
      <c r="R374" s="404" t="n"/>
      <c r="V374" s="404" t="n"/>
      <c r="Z374" s="404" t="n"/>
      <c r="AN374" s="537" t="n"/>
      <c r="AO374" s="537" t="n"/>
      <c r="AR374" s="537" t="n"/>
      <c r="AS374" s="537" t="n"/>
    </row>
    <row customHeight="1" ht="15.75" r="375" s="452" spans="1:57">
      <c r="A375" s="44" t="n"/>
      <c r="J375" s="404" t="n"/>
      <c r="N375" s="404" t="n"/>
      <c r="R375" s="404" t="n"/>
      <c r="V375" s="404" t="n"/>
      <c r="Z375" s="404" t="n"/>
      <c r="AN375" s="537" t="n"/>
      <c r="AO375" s="537" t="n"/>
      <c r="AR375" s="537" t="n"/>
      <c r="AS375" s="537" t="n"/>
    </row>
    <row customHeight="1" ht="15.75" r="376" s="452" spans="1:57">
      <c r="A376" s="44" t="n"/>
      <c r="J376" s="404" t="n"/>
      <c r="N376" s="404" t="n"/>
      <c r="R376" s="404" t="n"/>
      <c r="V376" s="404" t="n"/>
      <c r="Z376" s="404" t="n"/>
      <c r="AN376" s="537" t="n"/>
      <c r="AO376" s="537" t="n"/>
      <c r="AR376" s="537" t="n"/>
      <c r="AS376" s="537" t="n"/>
    </row>
    <row customHeight="1" ht="15.75" r="377" s="452" spans="1:57">
      <c r="A377" s="44" t="n"/>
      <c r="J377" s="404" t="n"/>
      <c r="N377" s="404" t="n"/>
      <c r="R377" s="404" t="n"/>
      <c r="V377" s="404" t="n"/>
      <c r="Z377" s="404" t="n"/>
      <c r="AN377" s="537" t="n"/>
      <c r="AO377" s="537" t="n"/>
      <c r="AR377" s="537" t="n"/>
      <c r="AS377" s="537" t="n"/>
    </row>
    <row customHeight="1" ht="15.75" r="378" s="452" spans="1:57">
      <c r="A378" s="44" t="n"/>
      <c r="J378" s="404" t="n"/>
      <c r="N378" s="404" t="n"/>
      <c r="R378" s="404" t="n"/>
      <c r="V378" s="404" t="n"/>
      <c r="Z378" s="404" t="n"/>
      <c r="AN378" s="537" t="n"/>
      <c r="AO378" s="537" t="n"/>
      <c r="AR378" s="537" t="n"/>
      <c r="AS378" s="537" t="n"/>
    </row>
    <row customHeight="1" ht="15.75" r="379" s="452" spans="1:57">
      <c r="A379" s="44" t="n"/>
      <c r="J379" s="404" t="n"/>
      <c r="N379" s="404" t="n"/>
      <c r="R379" s="404" t="n"/>
      <c r="V379" s="404" t="n"/>
      <c r="Z379" s="404" t="n"/>
      <c r="AN379" s="537" t="n"/>
      <c r="AO379" s="537" t="n"/>
      <c r="AR379" s="537" t="n"/>
      <c r="AS379" s="537" t="n"/>
    </row>
    <row customHeight="1" ht="15.75" r="380" s="452" spans="1:57">
      <c r="A380" s="44" t="n"/>
      <c r="J380" s="404" t="n"/>
      <c r="N380" s="404" t="n"/>
      <c r="R380" s="404" t="n"/>
      <c r="V380" s="404" t="n"/>
      <c r="Z380" s="404" t="n"/>
      <c r="AN380" s="537" t="n"/>
      <c r="AO380" s="537" t="n"/>
      <c r="AR380" s="537" t="n"/>
      <c r="AS380" s="537" t="n"/>
    </row>
    <row customHeight="1" ht="15.75" r="381" s="452" spans="1:57">
      <c r="A381" s="44" t="n"/>
      <c r="J381" s="404" t="n"/>
      <c r="N381" s="404" t="n"/>
      <c r="R381" s="404" t="n"/>
      <c r="V381" s="404" t="n"/>
      <c r="Z381" s="404" t="n"/>
      <c r="AN381" s="537" t="n"/>
      <c r="AO381" s="537" t="n"/>
      <c r="AR381" s="537" t="n"/>
      <c r="AS381" s="537" t="n"/>
    </row>
    <row customHeight="1" ht="15.75" r="382" s="452" spans="1:57">
      <c r="A382" s="44" t="n"/>
      <c r="J382" s="404" t="n"/>
      <c r="N382" s="404" t="n"/>
      <c r="R382" s="404" t="n"/>
      <c r="V382" s="404" t="n"/>
      <c r="Z382" s="404" t="n"/>
      <c r="AN382" s="537" t="n"/>
      <c r="AO382" s="537" t="n"/>
      <c r="AR382" s="537" t="n"/>
      <c r="AS382" s="537" t="n"/>
    </row>
    <row customHeight="1" ht="15.75" r="383" s="452" spans="1:57">
      <c r="A383" s="44" t="n"/>
      <c r="J383" s="404" t="n"/>
      <c r="N383" s="404" t="n"/>
      <c r="R383" s="404" t="n"/>
      <c r="V383" s="404" t="n"/>
      <c r="Z383" s="404" t="n"/>
      <c r="AN383" s="537" t="n"/>
      <c r="AO383" s="537" t="n"/>
      <c r="AR383" s="537" t="n"/>
      <c r="AS383" s="537" t="n"/>
    </row>
    <row customHeight="1" ht="15.75" r="384" s="452" spans="1:57">
      <c r="A384" s="44" t="n"/>
      <c r="J384" s="404" t="n"/>
      <c r="N384" s="404" t="n"/>
      <c r="R384" s="404" t="n"/>
      <c r="V384" s="404" t="n"/>
      <c r="Z384" s="404" t="n"/>
      <c r="AN384" s="537" t="n"/>
      <c r="AO384" s="537" t="n"/>
      <c r="AR384" s="537" t="n"/>
      <c r="AS384" s="537" t="n"/>
    </row>
    <row customHeight="1" ht="15.75" r="385" s="452" spans="1:57">
      <c r="A385" s="44" t="n"/>
      <c r="J385" s="404" t="n"/>
      <c r="N385" s="404" t="n"/>
      <c r="R385" s="404" t="n"/>
      <c r="V385" s="404" t="n"/>
      <c r="Z385" s="404" t="n"/>
      <c r="AN385" s="537" t="n"/>
      <c r="AO385" s="537" t="n"/>
      <c r="AR385" s="537" t="n"/>
      <c r="AS385" s="537" t="n"/>
    </row>
    <row customHeight="1" ht="15.75" r="386" s="452" spans="1:57">
      <c r="A386" s="44" t="n"/>
      <c r="J386" s="404" t="n"/>
      <c r="N386" s="404" t="n"/>
      <c r="R386" s="404" t="n"/>
      <c r="V386" s="404" t="n"/>
      <c r="Z386" s="404" t="n"/>
      <c r="AN386" s="537" t="n"/>
      <c r="AO386" s="537" t="n"/>
      <c r="AR386" s="537" t="n"/>
      <c r="AS386" s="537" t="n"/>
    </row>
    <row customHeight="1" ht="15.75" r="387" s="452" spans="1:57">
      <c r="A387" s="44" t="n"/>
      <c r="J387" s="404" t="n"/>
      <c r="N387" s="404" t="n"/>
      <c r="R387" s="404" t="n"/>
      <c r="V387" s="404" t="n"/>
      <c r="Z387" s="404" t="n"/>
      <c r="AN387" s="537" t="n"/>
      <c r="AO387" s="537" t="n"/>
      <c r="AR387" s="537" t="n"/>
      <c r="AS387" s="537" t="n"/>
    </row>
    <row customHeight="1" ht="15.75" r="388" s="452" spans="1:57">
      <c r="A388" s="44" t="n"/>
      <c r="J388" s="404" t="n"/>
      <c r="N388" s="404" t="n"/>
      <c r="R388" s="404" t="n"/>
      <c r="V388" s="404" t="n"/>
      <c r="Z388" s="404" t="n"/>
      <c r="AN388" s="537" t="n"/>
      <c r="AO388" s="537" t="n"/>
      <c r="AR388" s="537" t="n"/>
      <c r="AS388" s="537" t="n"/>
    </row>
    <row customHeight="1" ht="15.75" r="389" s="452" spans="1:57">
      <c r="A389" s="44" t="n"/>
      <c r="J389" s="404" t="n"/>
      <c r="N389" s="404" t="n"/>
      <c r="R389" s="404" t="n"/>
      <c r="V389" s="404" t="n"/>
      <c r="Z389" s="404" t="n"/>
      <c r="AN389" s="537" t="n"/>
      <c r="AO389" s="537" t="n"/>
      <c r="AR389" s="537" t="n"/>
      <c r="AS389" s="537" t="n"/>
    </row>
    <row customHeight="1" ht="15.75" r="390" s="452" spans="1:57">
      <c r="A390" s="44" t="n"/>
      <c r="J390" s="404" t="n"/>
      <c r="N390" s="404" t="n"/>
      <c r="R390" s="404" t="n"/>
      <c r="V390" s="404" t="n"/>
      <c r="Z390" s="404" t="n"/>
      <c r="AN390" s="537" t="n"/>
      <c r="AO390" s="537" t="n"/>
      <c r="AR390" s="537" t="n"/>
      <c r="AS390" s="537" t="n"/>
    </row>
    <row customHeight="1" ht="15.75" r="391" s="452" spans="1:57">
      <c r="A391" s="44" t="n"/>
      <c r="J391" s="404" t="n"/>
      <c r="N391" s="404" t="n"/>
      <c r="R391" s="404" t="n"/>
      <c r="V391" s="404" t="n"/>
      <c r="Z391" s="404" t="n"/>
      <c r="AN391" s="537" t="n"/>
      <c r="AO391" s="537" t="n"/>
      <c r="AR391" s="537" t="n"/>
      <c r="AS391" s="537" t="n"/>
    </row>
    <row customHeight="1" ht="15.75" r="392" s="452" spans="1:57">
      <c r="A392" s="44" t="n"/>
      <c r="J392" s="404" t="n"/>
      <c r="N392" s="404" t="n"/>
      <c r="R392" s="404" t="n"/>
      <c r="V392" s="404" t="n"/>
      <c r="Z392" s="404" t="n"/>
      <c r="AN392" s="537" t="n"/>
      <c r="AO392" s="537" t="n"/>
      <c r="AR392" s="537" t="n"/>
      <c r="AS392" s="537" t="n"/>
    </row>
    <row customHeight="1" ht="15.75" r="393" s="452" spans="1:57">
      <c r="A393" s="44" t="n"/>
      <c r="J393" s="404" t="n"/>
      <c r="N393" s="404" t="n"/>
      <c r="R393" s="404" t="n"/>
      <c r="V393" s="404" t="n"/>
      <c r="Z393" s="404" t="n"/>
      <c r="AN393" s="537" t="n"/>
      <c r="AO393" s="537" t="n"/>
      <c r="AR393" s="537" t="n"/>
      <c r="AS393" s="537" t="n"/>
    </row>
    <row customHeight="1" ht="15.75" r="394" s="452" spans="1:57">
      <c r="A394" s="44" t="n"/>
      <c r="J394" s="404" t="n"/>
      <c r="N394" s="404" t="n"/>
      <c r="R394" s="404" t="n"/>
      <c r="V394" s="404" t="n"/>
      <c r="Z394" s="404" t="n"/>
      <c r="AN394" s="537" t="n"/>
      <c r="AO394" s="537" t="n"/>
      <c r="AR394" s="537" t="n"/>
      <c r="AS394" s="537" t="n"/>
    </row>
    <row customHeight="1" ht="15.75" r="395" s="452" spans="1:57">
      <c r="A395" s="44" t="n"/>
      <c r="J395" s="404" t="n"/>
      <c r="N395" s="404" t="n"/>
      <c r="R395" s="404" t="n"/>
      <c r="V395" s="404" t="n"/>
      <c r="Z395" s="404" t="n"/>
      <c r="AN395" s="537" t="n"/>
      <c r="AO395" s="537" t="n"/>
      <c r="AR395" s="537" t="n"/>
      <c r="AS395" s="537" t="n"/>
    </row>
    <row customHeight="1" ht="15.75" r="396" s="452" spans="1:57">
      <c r="A396" s="44" t="n"/>
      <c r="J396" s="404" t="n"/>
      <c r="N396" s="404" t="n"/>
      <c r="R396" s="404" t="n"/>
      <c r="V396" s="404" t="n"/>
      <c r="Z396" s="404" t="n"/>
      <c r="AN396" s="537" t="n"/>
      <c r="AO396" s="537" t="n"/>
      <c r="AR396" s="537" t="n"/>
      <c r="AS396" s="537" t="n"/>
    </row>
    <row customHeight="1" ht="15.75" r="397" s="452" spans="1:57">
      <c r="A397" s="44" t="n"/>
      <c r="J397" s="404" t="n"/>
      <c r="N397" s="404" t="n"/>
      <c r="R397" s="404" t="n"/>
      <c r="V397" s="404" t="n"/>
      <c r="Z397" s="404" t="n"/>
      <c r="AN397" s="537" t="n"/>
      <c r="AO397" s="537" t="n"/>
      <c r="AR397" s="537" t="n"/>
      <c r="AS397" s="537" t="n"/>
    </row>
    <row customHeight="1" ht="15.75" r="398" s="452" spans="1:57">
      <c r="A398" s="44" t="n"/>
      <c r="J398" s="404" t="n"/>
      <c r="N398" s="404" t="n"/>
      <c r="R398" s="404" t="n"/>
      <c r="V398" s="404" t="n"/>
      <c r="Z398" s="404" t="n"/>
      <c r="AN398" s="537" t="n"/>
      <c r="AO398" s="537" t="n"/>
      <c r="AR398" s="537" t="n"/>
      <c r="AS398" s="537" t="n"/>
    </row>
    <row customHeight="1" ht="15.75" r="399" s="452" spans="1:57">
      <c r="A399" s="44" t="n"/>
      <c r="J399" s="404" t="n"/>
      <c r="N399" s="404" t="n"/>
      <c r="R399" s="404" t="n"/>
      <c r="V399" s="404" t="n"/>
      <c r="Z399" s="404" t="n"/>
      <c r="AN399" s="537" t="n"/>
      <c r="AO399" s="537" t="n"/>
      <c r="AR399" s="537" t="n"/>
      <c r="AS399" s="537" t="n"/>
    </row>
    <row customHeight="1" ht="15.75" r="400" s="452" spans="1:57">
      <c r="A400" s="44" t="n"/>
      <c r="J400" s="404" t="n"/>
      <c r="N400" s="404" t="n"/>
      <c r="R400" s="404" t="n"/>
      <c r="V400" s="404" t="n"/>
      <c r="Z400" s="404" t="n"/>
      <c r="AN400" s="537" t="n"/>
      <c r="AO400" s="537" t="n"/>
      <c r="AR400" s="537" t="n"/>
      <c r="AS400" s="537" t="n"/>
    </row>
    <row customHeight="1" ht="15.75" r="401" s="452" spans="1:57">
      <c r="A401" s="44" t="n"/>
      <c r="J401" s="404" t="n"/>
      <c r="N401" s="404" t="n"/>
      <c r="R401" s="404" t="n"/>
      <c r="V401" s="404" t="n"/>
      <c r="Z401" s="404" t="n"/>
      <c r="AN401" s="537" t="n"/>
      <c r="AO401" s="537" t="n"/>
      <c r="AR401" s="537" t="n"/>
      <c r="AS401" s="537" t="n"/>
    </row>
    <row customHeight="1" ht="15.75" r="402" s="452" spans="1:57">
      <c r="A402" s="44" t="n"/>
      <c r="J402" s="404" t="n"/>
      <c r="N402" s="404" t="n"/>
      <c r="R402" s="404" t="n"/>
      <c r="V402" s="404" t="n"/>
      <c r="Z402" s="404" t="n"/>
      <c r="AN402" s="537" t="n"/>
      <c r="AO402" s="537" t="n"/>
      <c r="AR402" s="537" t="n"/>
      <c r="AS402" s="537" t="n"/>
    </row>
    <row customHeight="1" ht="15.75" r="403" s="452" spans="1:57">
      <c r="A403" s="44" t="n"/>
      <c r="J403" s="404" t="n"/>
      <c r="N403" s="404" t="n"/>
      <c r="R403" s="404" t="n"/>
      <c r="V403" s="404" t="n"/>
      <c r="Z403" s="404" t="n"/>
      <c r="AN403" s="537" t="n"/>
      <c r="AO403" s="537" t="n"/>
      <c r="AR403" s="537" t="n"/>
      <c r="AS403" s="537" t="n"/>
    </row>
    <row customHeight="1" ht="15.75" r="404" s="452" spans="1:57">
      <c r="A404" s="44" t="n"/>
      <c r="J404" s="404" t="n"/>
      <c r="N404" s="404" t="n"/>
      <c r="R404" s="404" t="n"/>
      <c r="V404" s="404" t="n"/>
      <c r="Z404" s="404" t="n"/>
      <c r="AN404" s="537" t="n"/>
      <c r="AO404" s="537" t="n"/>
      <c r="AR404" s="537" t="n"/>
      <c r="AS404" s="537" t="n"/>
    </row>
    <row customHeight="1" ht="15.75" r="405" s="452" spans="1:57">
      <c r="A405" s="44" t="n"/>
      <c r="J405" s="404" t="n"/>
      <c r="N405" s="404" t="n"/>
      <c r="R405" s="404" t="n"/>
      <c r="V405" s="404" t="n"/>
      <c r="Z405" s="404" t="n"/>
      <c r="AN405" s="537" t="n"/>
      <c r="AO405" s="537" t="n"/>
      <c r="AR405" s="537" t="n"/>
      <c r="AS405" s="537" t="n"/>
    </row>
    <row customHeight="1" ht="15.75" r="406" s="452" spans="1:57">
      <c r="A406" s="44" t="n"/>
      <c r="J406" s="404" t="n"/>
      <c r="N406" s="404" t="n"/>
      <c r="R406" s="404" t="n"/>
      <c r="V406" s="404" t="n"/>
      <c r="Z406" s="404" t="n"/>
      <c r="AN406" s="537" t="n"/>
      <c r="AO406" s="537" t="n"/>
      <c r="AR406" s="537" t="n"/>
      <c r="AS406" s="537" t="n"/>
    </row>
    <row customHeight="1" ht="15.75" r="407" s="452" spans="1:57">
      <c r="A407" s="44" t="n"/>
      <c r="J407" s="404" t="n"/>
      <c r="N407" s="404" t="n"/>
      <c r="R407" s="404" t="n"/>
      <c r="V407" s="404" t="n"/>
      <c r="Z407" s="404" t="n"/>
      <c r="AN407" s="537" t="n"/>
      <c r="AO407" s="537" t="n"/>
      <c r="AR407" s="537" t="n"/>
      <c r="AS407" s="537" t="n"/>
    </row>
    <row customHeight="1" ht="15.75" r="408" s="452" spans="1:57">
      <c r="A408" s="44" t="n"/>
      <c r="J408" s="404" t="n"/>
      <c r="N408" s="404" t="n"/>
      <c r="R408" s="404" t="n"/>
      <c r="V408" s="404" t="n"/>
      <c r="Z408" s="404" t="n"/>
      <c r="AN408" s="537" t="n"/>
      <c r="AO408" s="537" t="n"/>
      <c r="AR408" s="537" t="n"/>
      <c r="AS408" s="537" t="n"/>
    </row>
    <row customHeight="1" ht="15.75" r="409" s="452" spans="1:57">
      <c r="A409" s="44" t="n"/>
      <c r="J409" s="404" t="n"/>
      <c r="N409" s="404" t="n"/>
      <c r="R409" s="404" t="n"/>
      <c r="V409" s="404" t="n"/>
      <c r="Z409" s="404" t="n"/>
      <c r="AN409" s="537" t="n"/>
      <c r="AO409" s="537" t="n"/>
      <c r="AR409" s="537" t="n"/>
      <c r="AS409" s="537" t="n"/>
    </row>
    <row customHeight="1" ht="15.75" r="410" s="452" spans="1:57">
      <c r="A410" s="44" t="n"/>
      <c r="J410" s="404" t="n"/>
      <c r="N410" s="404" t="n"/>
      <c r="R410" s="404" t="n"/>
      <c r="V410" s="404" t="n"/>
      <c r="Z410" s="404" t="n"/>
      <c r="AN410" s="537" t="n"/>
      <c r="AO410" s="537" t="n"/>
      <c r="AR410" s="537" t="n"/>
      <c r="AS410" s="537" t="n"/>
    </row>
    <row customHeight="1" ht="15.75" r="411" s="452" spans="1:57">
      <c r="A411" s="44" t="n"/>
      <c r="J411" s="404" t="n"/>
      <c r="N411" s="404" t="n"/>
      <c r="R411" s="404" t="n"/>
      <c r="V411" s="404" t="n"/>
      <c r="Z411" s="404" t="n"/>
      <c r="AN411" s="537" t="n"/>
      <c r="AO411" s="537" t="n"/>
      <c r="AR411" s="537" t="n"/>
      <c r="AS411" s="537" t="n"/>
    </row>
    <row customHeight="1" ht="15.75" r="412" s="452" spans="1:57">
      <c r="A412" s="44" t="n"/>
      <c r="J412" s="404" t="n"/>
      <c r="N412" s="404" t="n"/>
      <c r="R412" s="404" t="n"/>
      <c r="V412" s="404" t="n"/>
      <c r="Z412" s="404" t="n"/>
      <c r="AN412" s="537" t="n"/>
      <c r="AO412" s="537" t="n"/>
      <c r="AR412" s="537" t="n"/>
      <c r="AS412" s="537" t="n"/>
    </row>
    <row customHeight="1" ht="15.75" r="413" s="452" spans="1:57">
      <c r="A413" s="44" t="n"/>
      <c r="J413" s="404" t="n"/>
      <c r="N413" s="404" t="n"/>
      <c r="R413" s="404" t="n"/>
      <c r="V413" s="404" t="n"/>
      <c r="Z413" s="404" t="n"/>
      <c r="AN413" s="537" t="n"/>
      <c r="AO413" s="537" t="n"/>
      <c r="AR413" s="537" t="n"/>
      <c r="AS413" s="537" t="n"/>
    </row>
    <row customHeight="1" ht="15.75" r="414" s="452" spans="1:57">
      <c r="A414" s="44" t="n"/>
      <c r="J414" s="404" t="n"/>
      <c r="N414" s="404" t="n"/>
      <c r="R414" s="404" t="n"/>
      <c r="V414" s="404" t="n"/>
      <c r="Z414" s="404" t="n"/>
      <c r="AN414" s="537" t="n"/>
      <c r="AO414" s="537" t="n"/>
      <c r="AR414" s="537" t="n"/>
      <c r="AS414" s="537" t="n"/>
    </row>
    <row customHeight="1" ht="15.75" r="415" s="452" spans="1:57">
      <c r="A415" s="44" t="n"/>
      <c r="J415" s="404" t="n"/>
      <c r="N415" s="404" t="n"/>
      <c r="R415" s="404" t="n"/>
      <c r="V415" s="404" t="n"/>
      <c r="Z415" s="404" t="n"/>
      <c r="AN415" s="537" t="n"/>
      <c r="AO415" s="537" t="n"/>
      <c r="AR415" s="537" t="n"/>
      <c r="AS415" s="537" t="n"/>
    </row>
    <row customHeight="1" ht="15.75" r="416" s="452" spans="1:57">
      <c r="A416" s="44" t="n"/>
      <c r="J416" s="404" t="n"/>
      <c r="N416" s="404" t="n"/>
      <c r="R416" s="404" t="n"/>
      <c r="V416" s="404" t="n"/>
      <c r="Z416" s="404" t="n"/>
      <c r="AN416" s="537" t="n"/>
      <c r="AO416" s="537" t="n"/>
      <c r="AR416" s="537" t="n"/>
      <c r="AS416" s="537" t="n"/>
    </row>
    <row customHeight="1" ht="15.75" r="417" s="452" spans="1:57">
      <c r="A417" s="44" t="n"/>
      <c r="J417" s="404" t="n"/>
      <c r="N417" s="404" t="n"/>
      <c r="R417" s="404" t="n"/>
      <c r="V417" s="404" t="n"/>
      <c r="Z417" s="404" t="n"/>
      <c r="AN417" s="537" t="n"/>
      <c r="AO417" s="537" t="n"/>
      <c r="AR417" s="537" t="n"/>
      <c r="AS417" s="537" t="n"/>
    </row>
    <row customHeight="1" ht="15.75" r="418" s="452" spans="1:57">
      <c r="A418" s="44" t="n"/>
      <c r="J418" s="404" t="n"/>
      <c r="N418" s="404" t="n"/>
      <c r="R418" s="404" t="n"/>
      <c r="V418" s="404" t="n"/>
      <c r="Z418" s="404" t="n"/>
      <c r="AN418" s="537" t="n"/>
      <c r="AO418" s="537" t="n"/>
      <c r="AR418" s="537" t="n"/>
      <c r="AS418" s="537" t="n"/>
    </row>
    <row customHeight="1" ht="15.75" r="419" s="452" spans="1:57">
      <c r="A419" s="44" t="n"/>
      <c r="J419" s="404" t="n"/>
      <c r="N419" s="404" t="n"/>
      <c r="R419" s="404" t="n"/>
      <c r="V419" s="404" t="n"/>
      <c r="Z419" s="404" t="n"/>
      <c r="AN419" s="537" t="n"/>
      <c r="AO419" s="537" t="n"/>
      <c r="AR419" s="537" t="n"/>
      <c r="AS419" s="537" t="n"/>
    </row>
    <row customHeight="1" ht="15.75" r="420" s="452" spans="1:57">
      <c r="A420" s="44" t="n"/>
      <c r="J420" s="404" t="n"/>
      <c r="N420" s="404" t="n"/>
      <c r="R420" s="404" t="n"/>
      <c r="V420" s="404" t="n"/>
      <c r="Z420" s="404" t="n"/>
      <c r="AN420" s="537" t="n"/>
      <c r="AO420" s="537" t="n"/>
      <c r="AR420" s="537" t="n"/>
      <c r="AS420" s="537" t="n"/>
    </row>
    <row customHeight="1" ht="15.75" r="421" s="452" spans="1:57">
      <c r="A421" s="44" t="n"/>
      <c r="J421" s="404" t="n"/>
      <c r="N421" s="404" t="n"/>
      <c r="R421" s="404" t="n"/>
      <c r="V421" s="404" t="n"/>
      <c r="Z421" s="404" t="n"/>
      <c r="AN421" s="537" t="n"/>
      <c r="AO421" s="537" t="n"/>
      <c r="AR421" s="537" t="n"/>
      <c r="AS421" s="537" t="n"/>
    </row>
    <row customHeight="1" ht="15.75" r="422" s="452" spans="1:57">
      <c r="A422" s="44" t="n"/>
      <c r="J422" s="404" t="n"/>
      <c r="N422" s="404" t="n"/>
      <c r="R422" s="404" t="n"/>
      <c r="V422" s="404" t="n"/>
      <c r="Z422" s="404" t="n"/>
      <c r="AN422" s="537" t="n"/>
      <c r="AO422" s="537" t="n"/>
      <c r="AR422" s="537" t="n"/>
      <c r="AS422" s="537" t="n"/>
    </row>
    <row customHeight="1" ht="15.75" r="423" s="452" spans="1:57">
      <c r="A423" s="44" t="n"/>
      <c r="J423" s="404" t="n"/>
      <c r="N423" s="404" t="n"/>
      <c r="R423" s="404" t="n"/>
      <c r="V423" s="404" t="n"/>
      <c r="Z423" s="404" t="n"/>
      <c r="AN423" s="537" t="n"/>
      <c r="AO423" s="537" t="n"/>
      <c r="AR423" s="537" t="n"/>
      <c r="AS423" s="537" t="n"/>
    </row>
    <row customHeight="1" ht="15.75" r="424" s="452" spans="1:57">
      <c r="A424" s="44" t="n"/>
      <c r="J424" s="404" t="n"/>
      <c r="N424" s="404" t="n"/>
      <c r="R424" s="404" t="n"/>
      <c r="V424" s="404" t="n"/>
      <c r="Z424" s="404" t="n"/>
      <c r="AN424" s="537" t="n"/>
      <c r="AO424" s="537" t="n"/>
      <c r="AR424" s="537" t="n"/>
      <c r="AS424" s="537" t="n"/>
    </row>
    <row customHeight="1" ht="15.75" r="425" s="452" spans="1:57">
      <c r="A425" s="44" t="n"/>
      <c r="J425" s="404" t="n"/>
      <c r="N425" s="404" t="n"/>
      <c r="R425" s="404" t="n"/>
      <c r="V425" s="404" t="n"/>
      <c r="Z425" s="404" t="n"/>
      <c r="AN425" s="537" t="n"/>
      <c r="AO425" s="537" t="n"/>
      <c r="AR425" s="537" t="n"/>
      <c r="AS425" s="537" t="n"/>
    </row>
    <row customHeight="1" ht="15.75" r="426" s="452" spans="1:57">
      <c r="A426" s="44" t="n"/>
      <c r="J426" s="404" t="n"/>
      <c r="N426" s="404" t="n"/>
      <c r="R426" s="404" t="n"/>
      <c r="V426" s="404" t="n"/>
      <c r="Z426" s="404" t="n"/>
      <c r="AN426" s="537" t="n"/>
      <c r="AO426" s="537" t="n"/>
      <c r="AR426" s="537" t="n"/>
      <c r="AS426" s="537" t="n"/>
    </row>
    <row customHeight="1" ht="15.75" r="427" s="452" spans="1:57">
      <c r="A427" s="44" t="n"/>
      <c r="J427" s="404" t="n"/>
      <c r="N427" s="404" t="n"/>
      <c r="R427" s="404" t="n"/>
      <c r="V427" s="404" t="n"/>
      <c r="Z427" s="404" t="n"/>
      <c r="AN427" s="537" t="n"/>
      <c r="AO427" s="537" t="n"/>
      <c r="AR427" s="537" t="n"/>
      <c r="AS427" s="537" t="n"/>
    </row>
    <row customHeight="1" ht="15.75" r="428" s="452" spans="1:57">
      <c r="A428" s="44" t="n"/>
      <c r="J428" s="404" t="n"/>
      <c r="N428" s="404" t="n"/>
      <c r="R428" s="404" t="n"/>
      <c r="V428" s="404" t="n"/>
      <c r="Z428" s="404" t="n"/>
      <c r="AN428" s="537" t="n"/>
      <c r="AO428" s="537" t="n"/>
      <c r="AR428" s="537" t="n"/>
      <c r="AS428" s="537" t="n"/>
    </row>
    <row customHeight="1" ht="15.75" r="429" s="452" spans="1:57">
      <c r="A429" s="44" t="n"/>
      <c r="J429" s="404" t="n"/>
      <c r="N429" s="404" t="n"/>
      <c r="R429" s="404" t="n"/>
      <c r="V429" s="404" t="n"/>
      <c r="Z429" s="404" t="n"/>
      <c r="AN429" s="537" t="n"/>
      <c r="AO429" s="537" t="n"/>
      <c r="AR429" s="537" t="n"/>
      <c r="AS429" s="537" t="n"/>
    </row>
    <row customHeight="1" ht="15.75" r="430" s="452" spans="1:57">
      <c r="A430" s="44" t="n"/>
      <c r="J430" s="404" t="n"/>
      <c r="N430" s="404" t="n"/>
      <c r="R430" s="404" t="n"/>
      <c r="V430" s="404" t="n"/>
      <c r="Z430" s="404" t="n"/>
      <c r="AN430" s="537" t="n"/>
      <c r="AO430" s="537" t="n"/>
      <c r="AR430" s="537" t="n"/>
      <c r="AS430" s="537" t="n"/>
    </row>
    <row customHeight="1" ht="15.75" r="431" s="452" spans="1:57">
      <c r="A431" s="44" t="n"/>
      <c r="J431" s="404" t="n"/>
      <c r="N431" s="404" t="n"/>
      <c r="R431" s="404" t="n"/>
      <c r="V431" s="404" t="n"/>
      <c r="Z431" s="404" t="n"/>
      <c r="AN431" s="537" t="n"/>
      <c r="AO431" s="537" t="n"/>
      <c r="AR431" s="537" t="n"/>
      <c r="AS431" s="537" t="n"/>
    </row>
    <row customHeight="1" ht="15.75" r="432" s="452" spans="1:57">
      <c r="A432" s="44" t="n"/>
      <c r="J432" s="404" t="n"/>
      <c r="N432" s="404" t="n"/>
      <c r="R432" s="404" t="n"/>
      <c r="V432" s="404" t="n"/>
      <c r="Z432" s="404" t="n"/>
      <c r="AN432" s="537" t="n"/>
      <c r="AO432" s="537" t="n"/>
      <c r="AR432" s="537" t="n"/>
      <c r="AS432" s="537" t="n"/>
    </row>
    <row customHeight="1" ht="15.75" r="433" s="452" spans="1:57">
      <c r="A433" s="44" t="n"/>
      <c r="J433" s="404" t="n"/>
      <c r="N433" s="404" t="n"/>
      <c r="R433" s="404" t="n"/>
      <c r="V433" s="404" t="n"/>
      <c r="Z433" s="404" t="n"/>
      <c r="AN433" s="537" t="n"/>
      <c r="AO433" s="537" t="n"/>
      <c r="AR433" s="537" t="n"/>
      <c r="AS433" s="537" t="n"/>
    </row>
    <row customHeight="1" ht="15.75" r="434" s="452" spans="1:57">
      <c r="A434" s="44" t="n"/>
      <c r="J434" s="404" t="n"/>
      <c r="N434" s="404" t="n"/>
      <c r="R434" s="404" t="n"/>
      <c r="V434" s="404" t="n"/>
      <c r="Z434" s="404" t="n"/>
      <c r="AN434" s="537" t="n"/>
      <c r="AO434" s="537" t="n"/>
      <c r="AR434" s="537" t="n"/>
      <c r="AS434" s="537" t="n"/>
    </row>
    <row customHeight="1" ht="15.75" r="435" s="452" spans="1:57">
      <c r="A435" s="44" t="n"/>
      <c r="J435" s="404" t="n"/>
      <c r="N435" s="404" t="n"/>
      <c r="R435" s="404" t="n"/>
      <c r="V435" s="404" t="n"/>
      <c r="Z435" s="404" t="n"/>
      <c r="AN435" s="537" t="n"/>
      <c r="AO435" s="537" t="n"/>
      <c r="AR435" s="537" t="n"/>
      <c r="AS435" s="537" t="n"/>
    </row>
    <row customHeight="1" ht="15.75" r="436" s="452" spans="1:57">
      <c r="A436" s="44" t="n"/>
      <c r="J436" s="404" t="n"/>
      <c r="N436" s="404" t="n"/>
      <c r="R436" s="404" t="n"/>
      <c r="V436" s="404" t="n"/>
      <c r="Z436" s="404" t="n"/>
      <c r="AN436" s="537" t="n"/>
      <c r="AO436" s="537" t="n"/>
      <c r="AR436" s="537" t="n"/>
      <c r="AS436" s="537" t="n"/>
    </row>
    <row customHeight="1" ht="15.75" r="437" s="452" spans="1:57">
      <c r="A437" s="44" t="n"/>
      <c r="J437" s="404" t="n"/>
      <c r="N437" s="404" t="n"/>
      <c r="R437" s="404" t="n"/>
      <c r="V437" s="404" t="n"/>
      <c r="Z437" s="404" t="n"/>
      <c r="AN437" s="537" t="n"/>
      <c r="AO437" s="537" t="n"/>
      <c r="AR437" s="537" t="n"/>
      <c r="AS437" s="537" t="n"/>
    </row>
    <row customHeight="1" ht="15.75" r="438" s="452" spans="1:57">
      <c r="A438" s="44" t="n"/>
      <c r="J438" s="404" t="n"/>
      <c r="N438" s="404" t="n"/>
      <c r="R438" s="404" t="n"/>
      <c r="V438" s="404" t="n"/>
      <c r="Z438" s="404" t="n"/>
      <c r="AN438" s="537" t="n"/>
      <c r="AO438" s="537" t="n"/>
      <c r="AR438" s="537" t="n"/>
      <c r="AS438" s="537" t="n"/>
    </row>
    <row customHeight="1" ht="15.75" r="439" s="452" spans="1:57">
      <c r="A439" s="44" t="n"/>
      <c r="J439" s="404" t="n"/>
      <c r="N439" s="404" t="n"/>
      <c r="R439" s="404" t="n"/>
      <c r="V439" s="404" t="n"/>
      <c r="Z439" s="404" t="n"/>
      <c r="AN439" s="537" t="n"/>
      <c r="AO439" s="537" t="n"/>
      <c r="AR439" s="537" t="n"/>
      <c r="AS439" s="537" t="n"/>
    </row>
    <row customHeight="1" ht="15.75" r="440" s="452" spans="1:57">
      <c r="A440" s="44" t="n"/>
      <c r="J440" s="404" t="n"/>
      <c r="N440" s="404" t="n"/>
      <c r="R440" s="404" t="n"/>
      <c r="V440" s="404" t="n"/>
      <c r="Z440" s="404" t="n"/>
      <c r="AN440" s="537" t="n"/>
      <c r="AO440" s="537" t="n"/>
      <c r="AR440" s="537" t="n"/>
      <c r="AS440" s="537" t="n"/>
    </row>
    <row customHeight="1" ht="15.75" r="441" s="452" spans="1:57">
      <c r="A441" s="44" t="n"/>
      <c r="J441" s="404" t="n"/>
      <c r="N441" s="404" t="n"/>
      <c r="R441" s="404" t="n"/>
      <c r="V441" s="404" t="n"/>
      <c r="Z441" s="404" t="n"/>
      <c r="AN441" s="537" t="n"/>
      <c r="AO441" s="537" t="n"/>
      <c r="AR441" s="537" t="n"/>
      <c r="AS441" s="537" t="n"/>
    </row>
    <row customHeight="1" ht="15.75" r="442" s="452" spans="1:57">
      <c r="A442" s="44" t="n"/>
      <c r="J442" s="404" t="n"/>
      <c r="N442" s="404" t="n"/>
      <c r="R442" s="404" t="n"/>
      <c r="V442" s="404" t="n"/>
      <c r="Z442" s="404" t="n"/>
      <c r="AN442" s="537" t="n"/>
      <c r="AO442" s="537" t="n"/>
      <c r="AR442" s="537" t="n"/>
      <c r="AS442" s="537" t="n"/>
    </row>
    <row customHeight="1" ht="15.75" r="443" s="452" spans="1:57">
      <c r="A443" s="44" t="n"/>
      <c r="J443" s="404" t="n"/>
      <c r="N443" s="404" t="n"/>
      <c r="R443" s="404" t="n"/>
      <c r="V443" s="404" t="n"/>
      <c r="Z443" s="404" t="n"/>
      <c r="AN443" s="537" t="n"/>
      <c r="AO443" s="537" t="n"/>
      <c r="AR443" s="537" t="n"/>
      <c r="AS443" s="537" t="n"/>
    </row>
    <row customHeight="1" ht="15.75" r="444" s="452" spans="1:57">
      <c r="A444" s="44" t="n"/>
      <c r="J444" s="404" t="n"/>
      <c r="N444" s="404" t="n"/>
      <c r="R444" s="404" t="n"/>
      <c r="V444" s="404" t="n"/>
      <c r="Z444" s="404" t="n"/>
      <c r="AN444" s="537" t="n"/>
      <c r="AO444" s="537" t="n"/>
      <c r="AR444" s="537" t="n"/>
      <c r="AS444" s="537" t="n"/>
    </row>
    <row customHeight="1" ht="15.75" r="445" s="452" spans="1:57">
      <c r="A445" s="44" t="n"/>
      <c r="J445" s="404" t="n"/>
      <c r="N445" s="404" t="n"/>
      <c r="R445" s="404" t="n"/>
      <c r="V445" s="404" t="n"/>
      <c r="Z445" s="404" t="n"/>
      <c r="AN445" s="537" t="n"/>
      <c r="AO445" s="537" t="n"/>
      <c r="AR445" s="537" t="n"/>
      <c r="AS445" s="537" t="n"/>
    </row>
    <row customHeight="1" ht="15.75" r="446" s="452" spans="1:57">
      <c r="A446" s="44" t="n"/>
      <c r="J446" s="404" t="n"/>
      <c r="N446" s="404" t="n"/>
      <c r="R446" s="404" t="n"/>
      <c r="V446" s="404" t="n"/>
      <c r="Z446" s="404" t="n"/>
      <c r="AN446" s="537" t="n"/>
      <c r="AO446" s="537" t="n"/>
      <c r="AR446" s="537" t="n"/>
      <c r="AS446" s="537" t="n"/>
    </row>
    <row customHeight="1" ht="15.75" r="447" s="452" spans="1:57">
      <c r="A447" s="44" t="n"/>
      <c r="J447" s="404" t="n"/>
      <c r="N447" s="404" t="n"/>
      <c r="R447" s="404" t="n"/>
      <c r="V447" s="404" t="n"/>
      <c r="Z447" s="404" t="n"/>
      <c r="AN447" s="537" t="n"/>
      <c r="AO447" s="537" t="n"/>
      <c r="AR447" s="537" t="n"/>
      <c r="AS447" s="537" t="n"/>
    </row>
    <row customHeight="1" ht="15.75" r="448" s="452" spans="1:57">
      <c r="A448" s="44" t="n"/>
      <c r="J448" s="404" t="n"/>
      <c r="N448" s="404" t="n"/>
      <c r="R448" s="404" t="n"/>
      <c r="V448" s="404" t="n"/>
      <c r="Z448" s="404" t="n"/>
      <c r="AN448" s="537" t="n"/>
      <c r="AO448" s="537" t="n"/>
      <c r="AR448" s="537" t="n"/>
      <c r="AS448" s="537" t="n"/>
    </row>
    <row customHeight="1" ht="15.75" r="449" s="452" spans="1:57">
      <c r="A449" s="44" t="n"/>
      <c r="J449" s="404" t="n"/>
      <c r="N449" s="404" t="n"/>
      <c r="R449" s="404" t="n"/>
      <c r="V449" s="404" t="n"/>
      <c r="Z449" s="404" t="n"/>
      <c r="AN449" s="537" t="n"/>
      <c r="AO449" s="537" t="n"/>
      <c r="AR449" s="537" t="n"/>
      <c r="AS449" s="537" t="n"/>
    </row>
    <row customHeight="1" ht="15.75" r="450" s="452" spans="1:57">
      <c r="A450" s="44" t="n"/>
      <c r="J450" s="404" t="n"/>
      <c r="N450" s="404" t="n"/>
      <c r="R450" s="404" t="n"/>
      <c r="V450" s="404" t="n"/>
      <c r="Z450" s="404" t="n"/>
      <c r="AN450" s="537" t="n"/>
      <c r="AO450" s="537" t="n"/>
      <c r="AR450" s="537" t="n"/>
      <c r="AS450" s="537" t="n"/>
    </row>
    <row customHeight="1" ht="15.75" r="451" s="452" spans="1:57">
      <c r="A451" s="44" t="n"/>
      <c r="J451" s="404" t="n"/>
      <c r="N451" s="404" t="n"/>
      <c r="R451" s="404" t="n"/>
      <c r="V451" s="404" t="n"/>
      <c r="Z451" s="404" t="n"/>
      <c r="AN451" s="537" t="n"/>
      <c r="AO451" s="537" t="n"/>
      <c r="AR451" s="537" t="n"/>
      <c r="AS451" s="537" t="n"/>
    </row>
    <row customHeight="1" ht="15.75" r="452" s="452" spans="1:57">
      <c r="A452" s="44" t="n"/>
      <c r="J452" s="404" t="n"/>
      <c r="N452" s="404" t="n"/>
      <c r="R452" s="404" t="n"/>
      <c r="V452" s="404" t="n"/>
      <c r="Z452" s="404" t="n"/>
      <c r="AN452" s="537" t="n"/>
      <c r="AO452" s="537" t="n"/>
      <c r="AR452" s="537" t="n"/>
      <c r="AS452" s="537" t="n"/>
    </row>
    <row customHeight="1" ht="15.75" r="453" s="452" spans="1:57">
      <c r="A453" s="44" t="n"/>
      <c r="J453" s="404" t="n"/>
      <c r="N453" s="404" t="n"/>
      <c r="R453" s="404" t="n"/>
      <c r="V453" s="404" t="n"/>
      <c r="Z453" s="404" t="n"/>
      <c r="AN453" s="537" t="n"/>
      <c r="AO453" s="537" t="n"/>
      <c r="AR453" s="537" t="n"/>
      <c r="AS453" s="537" t="n"/>
    </row>
    <row customHeight="1" ht="15.75" r="454" s="452" spans="1:57">
      <c r="A454" s="44" t="n"/>
      <c r="J454" s="404" t="n"/>
      <c r="N454" s="404" t="n"/>
      <c r="R454" s="404" t="n"/>
      <c r="V454" s="404" t="n"/>
      <c r="Z454" s="404" t="n"/>
      <c r="AN454" s="537" t="n"/>
      <c r="AO454" s="537" t="n"/>
      <c r="AR454" s="537" t="n"/>
      <c r="AS454" s="537" t="n"/>
    </row>
    <row customHeight="1" ht="15.75" r="455" s="452" spans="1:57">
      <c r="A455" s="44" t="n"/>
      <c r="J455" s="404" t="n"/>
      <c r="N455" s="404" t="n"/>
      <c r="R455" s="404" t="n"/>
      <c r="V455" s="404" t="n"/>
      <c r="Z455" s="404" t="n"/>
      <c r="AN455" s="537" t="n"/>
      <c r="AO455" s="537" t="n"/>
      <c r="AR455" s="537" t="n"/>
      <c r="AS455" s="537" t="n"/>
    </row>
    <row customHeight="1" ht="15.75" r="456" s="452" spans="1:57">
      <c r="A456" s="44" t="n"/>
      <c r="J456" s="404" t="n"/>
      <c r="N456" s="404" t="n"/>
      <c r="R456" s="404" t="n"/>
      <c r="V456" s="404" t="n"/>
      <c r="Z456" s="404" t="n"/>
      <c r="AN456" s="537" t="n"/>
      <c r="AO456" s="537" t="n"/>
      <c r="AR456" s="537" t="n"/>
      <c r="AS456" s="537" t="n"/>
    </row>
    <row customHeight="1" ht="15.75" r="457" s="452" spans="1:57">
      <c r="A457" s="44" t="n"/>
      <c r="J457" s="404" t="n"/>
      <c r="N457" s="404" t="n"/>
      <c r="R457" s="404" t="n"/>
      <c r="V457" s="404" t="n"/>
      <c r="Z457" s="404" t="n"/>
      <c r="AN457" s="537" t="n"/>
      <c r="AO457" s="537" t="n"/>
      <c r="AR457" s="537" t="n"/>
      <c r="AS457" s="537" t="n"/>
    </row>
    <row customHeight="1" ht="15.75" r="458" s="452" spans="1:57">
      <c r="A458" s="44" t="n"/>
      <c r="J458" s="404" t="n"/>
      <c r="N458" s="404" t="n"/>
      <c r="R458" s="404" t="n"/>
      <c r="V458" s="404" t="n"/>
      <c r="Z458" s="404" t="n"/>
      <c r="AN458" s="537" t="n"/>
      <c r="AO458" s="537" t="n"/>
      <c r="AR458" s="537" t="n"/>
      <c r="AS458" s="537" t="n"/>
    </row>
    <row customHeight="1" ht="15.75" r="459" s="452" spans="1:57">
      <c r="A459" s="44" t="n"/>
      <c r="J459" s="404" t="n"/>
      <c r="N459" s="404" t="n"/>
      <c r="R459" s="404" t="n"/>
      <c r="V459" s="404" t="n"/>
      <c r="Z459" s="404" t="n"/>
      <c r="AN459" s="537" t="n"/>
      <c r="AO459" s="537" t="n"/>
      <c r="AR459" s="537" t="n"/>
      <c r="AS459" s="537" t="n"/>
    </row>
    <row customHeight="1" ht="15.75" r="460" s="452" spans="1:57">
      <c r="A460" s="44" t="n"/>
      <c r="J460" s="404" t="n"/>
      <c r="N460" s="404" t="n"/>
      <c r="R460" s="404" t="n"/>
      <c r="V460" s="404" t="n"/>
      <c r="Z460" s="404" t="n"/>
      <c r="AN460" s="537" t="n"/>
      <c r="AO460" s="537" t="n"/>
      <c r="AR460" s="537" t="n"/>
      <c r="AS460" s="537" t="n"/>
    </row>
    <row customHeight="1" ht="15.75" r="461" s="452" spans="1:57">
      <c r="A461" s="44" t="n"/>
      <c r="J461" s="404" t="n"/>
      <c r="N461" s="404" t="n"/>
      <c r="R461" s="404" t="n"/>
      <c r="V461" s="404" t="n"/>
      <c r="Z461" s="404" t="n"/>
      <c r="AN461" s="537" t="n"/>
      <c r="AO461" s="537" t="n"/>
      <c r="AR461" s="537" t="n"/>
      <c r="AS461" s="537" t="n"/>
    </row>
    <row customHeight="1" ht="15.75" r="462" s="452" spans="1:57">
      <c r="A462" s="44" t="n"/>
      <c r="J462" s="404" t="n"/>
      <c r="N462" s="404" t="n"/>
      <c r="R462" s="404" t="n"/>
      <c r="V462" s="404" t="n"/>
      <c r="Z462" s="404" t="n"/>
      <c r="AN462" s="537" t="n"/>
      <c r="AO462" s="537" t="n"/>
      <c r="AR462" s="537" t="n"/>
      <c r="AS462" s="537" t="n"/>
    </row>
    <row customHeight="1" ht="15.75" r="463" s="452" spans="1:57">
      <c r="A463" s="44" t="n"/>
      <c r="J463" s="404" t="n"/>
      <c r="N463" s="404" t="n"/>
      <c r="R463" s="404" t="n"/>
      <c r="V463" s="404" t="n"/>
      <c r="Z463" s="404" t="n"/>
      <c r="AN463" s="537" t="n"/>
      <c r="AO463" s="537" t="n"/>
      <c r="AR463" s="537" t="n"/>
      <c r="AS463" s="537" t="n"/>
    </row>
    <row customHeight="1" ht="15.75" r="464" s="452" spans="1:57">
      <c r="A464" s="44" t="n"/>
      <c r="J464" s="404" t="n"/>
      <c r="N464" s="404" t="n"/>
      <c r="R464" s="404" t="n"/>
      <c r="V464" s="404" t="n"/>
      <c r="Z464" s="404" t="n"/>
      <c r="AN464" s="537" t="n"/>
      <c r="AO464" s="537" t="n"/>
      <c r="AR464" s="537" t="n"/>
      <c r="AS464" s="537" t="n"/>
    </row>
    <row customHeight="1" ht="15.75" r="465" s="452" spans="1:57">
      <c r="A465" s="44" t="n"/>
      <c r="J465" s="404" t="n"/>
      <c r="N465" s="404" t="n"/>
      <c r="R465" s="404" t="n"/>
      <c r="V465" s="404" t="n"/>
      <c r="Z465" s="404" t="n"/>
      <c r="AN465" s="537" t="n"/>
      <c r="AO465" s="537" t="n"/>
      <c r="AR465" s="537" t="n"/>
      <c r="AS465" s="537" t="n"/>
    </row>
    <row customHeight="1" ht="15.75" r="466" s="452" spans="1:57">
      <c r="A466" s="44" t="n"/>
      <c r="J466" s="404" t="n"/>
      <c r="N466" s="404" t="n"/>
      <c r="R466" s="404" t="n"/>
      <c r="V466" s="404" t="n"/>
      <c r="Z466" s="404" t="n"/>
      <c r="AN466" s="537" t="n"/>
      <c r="AO466" s="537" t="n"/>
      <c r="AR466" s="537" t="n"/>
      <c r="AS466" s="537" t="n"/>
    </row>
    <row customHeight="1" ht="15.75" r="467" s="452" spans="1:57">
      <c r="A467" s="44" t="n"/>
      <c r="J467" s="404" t="n"/>
      <c r="N467" s="404" t="n"/>
      <c r="R467" s="404" t="n"/>
      <c r="V467" s="404" t="n"/>
      <c r="Z467" s="404" t="n"/>
      <c r="AN467" s="537" t="n"/>
      <c r="AO467" s="537" t="n"/>
      <c r="AR467" s="537" t="n"/>
      <c r="AS467" s="537" t="n"/>
    </row>
    <row customHeight="1" ht="15.75" r="468" s="452" spans="1:57">
      <c r="A468" s="44" t="n"/>
      <c r="J468" s="404" t="n"/>
      <c r="N468" s="404" t="n"/>
      <c r="R468" s="404" t="n"/>
      <c r="V468" s="404" t="n"/>
      <c r="Z468" s="404" t="n"/>
      <c r="AN468" s="537" t="n"/>
      <c r="AO468" s="537" t="n"/>
      <c r="AR468" s="537" t="n"/>
      <c r="AS468" s="537" t="n"/>
    </row>
    <row customHeight="1" ht="15.75" r="469" s="452" spans="1:57">
      <c r="A469" s="44" t="n"/>
      <c r="J469" s="404" t="n"/>
      <c r="N469" s="404" t="n"/>
      <c r="R469" s="404" t="n"/>
      <c r="V469" s="404" t="n"/>
      <c r="Z469" s="404" t="n"/>
      <c r="AN469" s="537" t="n"/>
      <c r="AO469" s="537" t="n"/>
      <c r="AR469" s="537" t="n"/>
      <c r="AS469" s="537" t="n"/>
    </row>
    <row customHeight="1" ht="15.75" r="470" s="452" spans="1:57">
      <c r="A470" s="44" t="n"/>
      <c r="J470" s="404" t="n"/>
      <c r="N470" s="404" t="n"/>
      <c r="R470" s="404" t="n"/>
      <c r="V470" s="404" t="n"/>
      <c r="Z470" s="404" t="n"/>
      <c r="AN470" s="537" t="n"/>
      <c r="AO470" s="537" t="n"/>
      <c r="AR470" s="537" t="n"/>
      <c r="AS470" s="537" t="n"/>
    </row>
    <row customHeight="1" ht="15.75" r="471" s="452" spans="1:57">
      <c r="A471" s="44" t="n"/>
      <c r="J471" s="404" t="n"/>
      <c r="N471" s="404" t="n"/>
      <c r="R471" s="404" t="n"/>
      <c r="V471" s="404" t="n"/>
      <c r="Z471" s="404" t="n"/>
      <c r="AN471" s="537" t="n"/>
      <c r="AO471" s="537" t="n"/>
      <c r="AR471" s="537" t="n"/>
      <c r="AS471" s="537" t="n"/>
    </row>
    <row customHeight="1" ht="15.75" r="472" s="452" spans="1:57">
      <c r="A472" s="44" t="n"/>
      <c r="J472" s="404" t="n"/>
      <c r="N472" s="404" t="n"/>
      <c r="R472" s="404" t="n"/>
      <c r="V472" s="404" t="n"/>
      <c r="Z472" s="404" t="n"/>
      <c r="AN472" s="537" t="n"/>
      <c r="AO472" s="537" t="n"/>
      <c r="AR472" s="537" t="n"/>
      <c r="AS472" s="537" t="n"/>
    </row>
    <row customHeight="1" ht="15.75" r="473" s="452" spans="1:57">
      <c r="A473" s="44" t="n"/>
      <c r="J473" s="404" t="n"/>
      <c r="N473" s="404" t="n"/>
      <c r="R473" s="404" t="n"/>
      <c r="V473" s="404" t="n"/>
      <c r="Z473" s="404" t="n"/>
      <c r="AN473" s="537" t="n"/>
      <c r="AO473" s="537" t="n"/>
      <c r="AR473" s="537" t="n"/>
      <c r="AS473" s="537" t="n"/>
    </row>
    <row customHeight="1" ht="15.75" r="474" s="452" spans="1:57">
      <c r="A474" s="44" t="n"/>
      <c r="J474" s="404" t="n"/>
      <c r="N474" s="404" t="n"/>
      <c r="R474" s="404" t="n"/>
      <c r="V474" s="404" t="n"/>
      <c r="Z474" s="404" t="n"/>
      <c r="AN474" s="537" t="n"/>
      <c r="AO474" s="537" t="n"/>
      <c r="AR474" s="537" t="n"/>
      <c r="AS474" s="537" t="n"/>
    </row>
    <row customHeight="1" ht="15.75" r="475" s="452" spans="1:57">
      <c r="A475" s="44" t="n"/>
      <c r="J475" s="404" t="n"/>
      <c r="N475" s="404" t="n"/>
      <c r="R475" s="404" t="n"/>
      <c r="V475" s="404" t="n"/>
      <c r="Z475" s="404" t="n"/>
      <c r="AN475" s="537" t="n"/>
      <c r="AO475" s="537" t="n"/>
      <c r="AR475" s="537" t="n"/>
      <c r="AS475" s="537" t="n"/>
    </row>
    <row customHeight="1" ht="15.75" r="476" s="452" spans="1:57">
      <c r="A476" s="44" t="n"/>
      <c r="J476" s="404" t="n"/>
      <c r="N476" s="404" t="n"/>
      <c r="R476" s="404" t="n"/>
      <c r="V476" s="404" t="n"/>
      <c r="Z476" s="404" t="n"/>
      <c r="AN476" s="537" t="n"/>
      <c r="AO476" s="537" t="n"/>
      <c r="AR476" s="537" t="n"/>
      <c r="AS476" s="537" t="n"/>
    </row>
    <row customHeight="1" ht="15.75" r="477" s="452" spans="1:57">
      <c r="A477" s="44" t="n"/>
      <c r="J477" s="404" t="n"/>
      <c r="N477" s="404" t="n"/>
      <c r="R477" s="404" t="n"/>
      <c r="V477" s="404" t="n"/>
      <c r="Z477" s="404" t="n"/>
      <c r="AN477" s="537" t="n"/>
      <c r="AO477" s="537" t="n"/>
      <c r="AR477" s="537" t="n"/>
      <c r="AS477" s="537" t="n"/>
    </row>
    <row customHeight="1" ht="15.75" r="478" s="452" spans="1:57">
      <c r="A478" s="44" t="n"/>
      <c r="J478" s="404" t="n"/>
      <c r="N478" s="404" t="n"/>
      <c r="R478" s="404" t="n"/>
      <c r="V478" s="404" t="n"/>
      <c r="Z478" s="404" t="n"/>
      <c r="AN478" s="537" t="n"/>
      <c r="AO478" s="537" t="n"/>
      <c r="AR478" s="537" t="n"/>
      <c r="AS478" s="537" t="n"/>
    </row>
    <row customHeight="1" ht="15.75" r="479" s="452" spans="1:57">
      <c r="A479" s="44" t="n"/>
      <c r="J479" s="404" t="n"/>
      <c r="N479" s="404" t="n"/>
      <c r="R479" s="404" t="n"/>
      <c r="V479" s="404" t="n"/>
      <c r="Z479" s="404" t="n"/>
      <c r="AN479" s="537" t="n"/>
      <c r="AO479" s="537" t="n"/>
      <c r="AR479" s="537" t="n"/>
      <c r="AS479" s="537" t="n"/>
    </row>
    <row customHeight="1" ht="15.75" r="480" s="452" spans="1:57">
      <c r="A480" s="44" t="n"/>
      <c r="J480" s="404" t="n"/>
      <c r="N480" s="404" t="n"/>
      <c r="R480" s="404" t="n"/>
      <c r="V480" s="404" t="n"/>
      <c r="Z480" s="404" t="n"/>
      <c r="AN480" s="537" t="n"/>
      <c r="AO480" s="537" t="n"/>
      <c r="AR480" s="537" t="n"/>
      <c r="AS480" s="537" t="n"/>
    </row>
    <row customHeight="1" ht="15.75" r="481" s="452" spans="1:57">
      <c r="A481" s="44" t="n"/>
      <c r="J481" s="404" t="n"/>
      <c r="N481" s="404" t="n"/>
      <c r="R481" s="404" t="n"/>
      <c r="V481" s="404" t="n"/>
      <c r="Z481" s="404" t="n"/>
      <c r="AN481" s="537" t="n"/>
      <c r="AO481" s="537" t="n"/>
      <c r="AR481" s="537" t="n"/>
      <c r="AS481" s="537" t="n"/>
    </row>
    <row customHeight="1" ht="15.75" r="482" s="452" spans="1:57">
      <c r="A482" s="44" t="n"/>
      <c r="J482" s="404" t="n"/>
      <c r="N482" s="404" t="n"/>
      <c r="R482" s="404" t="n"/>
      <c r="V482" s="404" t="n"/>
      <c r="Z482" s="404" t="n"/>
      <c r="AN482" s="537" t="n"/>
      <c r="AO482" s="537" t="n"/>
      <c r="AR482" s="537" t="n"/>
      <c r="AS482" s="537" t="n"/>
    </row>
    <row customHeight="1" ht="15.75" r="483" s="452" spans="1:57">
      <c r="A483" s="44" t="n"/>
      <c r="J483" s="404" t="n"/>
      <c r="N483" s="404" t="n"/>
      <c r="R483" s="404" t="n"/>
      <c r="V483" s="404" t="n"/>
      <c r="Z483" s="404" t="n"/>
      <c r="AN483" s="537" t="n"/>
      <c r="AO483" s="537" t="n"/>
      <c r="AR483" s="537" t="n"/>
      <c r="AS483" s="537" t="n"/>
    </row>
    <row customHeight="1" ht="15.75" r="484" s="452" spans="1:57">
      <c r="A484" s="44" t="n"/>
      <c r="J484" s="404" t="n"/>
      <c r="N484" s="404" t="n"/>
      <c r="R484" s="404" t="n"/>
      <c r="V484" s="404" t="n"/>
      <c r="Z484" s="404" t="n"/>
      <c r="AN484" s="537" t="n"/>
      <c r="AO484" s="537" t="n"/>
      <c r="AR484" s="537" t="n"/>
      <c r="AS484" s="537" t="n"/>
    </row>
    <row customHeight="1" ht="15.75" r="485" s="452" spans="1:57">
      <c r="A485" s="44" t="n"/>
      <c r="J485" s="404" t="n"/>
      <c r="N485" s="404" t="n"/>
      <c r="R485" s="404" t="n"/>
      <c r="V485" s="404" t="n"/>
      <c r="Z485" s="404" t="n"/>
      <c r="AN485" s="537" t="n"/>
      <c r="AO485" s="537" t="n"/>
      <c r="AR485" s="537" t="n"/>
      <c r="AS485" s="537" t="n"/>
    </row>
    <row customHeight="1" ht="15.75" r="486" s="452" spans="1:57">
      <c r="A486" s="44" t="n"/>
      <c r="J486" s="404" t="n"/>
      <c r="N486" s="404" t="n"/>
      <c r="R486" s="404" t="n"/>
      <c r="V486" s="404" t="n"/>
      <c r="Z486" s="404" t="n"/>
      <c r="AN486" s="537" t="n"/>
      <c r="AO486" s="537" t="n"/>
      <c r="AR486" s="537" t="n"/>
      <c r="AS486" s="537" t="n"/>
    </row>
    <row customHeight="1" ht="15.75" r="487" s="452" spans="1:57">
      <c r="A487" s="44" t="n"/>
      <c r="J487" s="404" t="n"/>
      <c r="N487" s="404" t="n"/>
      <c r="R487" s="404" t="n"/>
      <c r="V487" s="404" t="n"/>
      <c r="Z487" s="404" t="n"/>
      <c r="AN487" s="537" t="n"/>
      <c r="AO487" s="537" t="n"/>
      <c r="AR487" s="537" t="n"/>
      <c r="AS487" s="537" t="n"/>
    </row>
    <row customHeight="1" ht="15.75" r="488" s="452" spans="1:57">
      <c r="A488" s="44" t="n"/>
      <c r="J488" s="404" t="n"/>
      <c r="N488" s="404" t="n"/>
      <c r="R488" s="404" t="n"/>
      <c r="V488" s="404" t="n"/>
      <c r="Z488" s="404" t="n"/>
      <c r="AN488" s="537" t="n"/>
      <c r="AO488" s="537" t="n"/>
      <c r="AR488" s="537" t="n"/>
      <c r="AS488" s="537" t="n"/>
    </row>
    <row customHeight="1" ht="15.75" r="489" s="452" spans="1:57">
      <c r="A489" s="44" t="n"/>
      <c r="J489" s="404" t="n"/>
      <c r="N489" s="404" t="n"/>
      <c r="R489" s="404" t="n"/>
      <c r="V489" s="404" t="n"/>
      <c r="Z489" s="404" t="n"/>
      <c r="AN489" s="537" t="n"/>
      <c r="AO489" s="537" t="n"/>
      <c r="AR489" s="537" t="n"/>
      <c r="AS489" s="537" t="n"/>
    </row>
    <row customHeight="1" ht="15.75" r="490" s="452" spans="1:57">
      <c r="A490" s="44" t="n"/>
      <c r="J490" s="404" t="n"/>
      <c r="N490" s="404" t="n"/>
      <c r="R490" s="404" t="n"/>
      <c r="V490" s="404" t="n"/>
      <c r="Z490" s="404" t="n"/>
      <c r="AN490" s="537" t="n"/>
      <c r="AO490" s="537" t="n"/>
      <c r="AR490" s="537" t="n"/>
      <c r="AS490" s="537" t="n"/>
    </row>
    <row customHeight="1" ht="15.75" r="491" s="452" spans="1:57">
      <c r="A491" s="44" t="n"/>
      <c r="J491" s="404" t="n"/>
      <c r="N491" s="404" t="n"/>
      <c r="R491" s="404" t="n"/>
      <c r="V491" s="404" t="n"/>
      <c r="Z491" s="404" t="n"/>
      <c r="AN491" s="537" t="n"/>
      <c r="AO491" s="537" t="n"/>
      <c r="AR491" s="537" t="n"/>
      <c r="AS491" s="537" t="n"/>
    </row>
    <row customHeight="1" ht="15.75" r="492" s="452" spans="1:57">
      <c r="A492" s="44" t="n"/>
      <c r="J492" s="404" t="n"/>
      <c r="N492" s="404" t="n"/>
      <c r="R492" s="404" t="n"/>
      <c r="V492" s="404" t="n"/>
      <c r="Z492" s="404" t="n"/>
      <c r="AN492" s="537" t="n"/>
      <c r="AO492" s="537" t="n"/>
      <c r="AR492" s="537" t="n"/>
      <c r="AS492" s="537" t="n"/>
    </row>
    <row customHeight="1" ht="15.75" r="493" s="452" spans="1:57">
      <c r="A493" s="44" t="n"/>
      <c r="J493" s="404" t="n"/>
      <c r="N493" s="404" t="n"/>
      <c r="R493" s="404" t="n"/>
      <c r="V493" s="404" t="n"/>
      <c r="Z493" s="404" t="n"/>
      <c r="AN493" s="537" t="n"/>
      <c r="AO493" s="537" t="n"/>
      <c r="AR493" s="537" t="n"/>
      <c r="AS493" s="537" t="n"/>
    </row>
    <row customHeight="1" ht="15.75" r="494" s="452" spans="1:57">
      <c r="A494" s="44" t="n"/>
      <c r="J494" s="404" t="n"/>
      <c r="N494" s="404" t="n"/>
      <c r="R494" s="404" t="n"/>
      <c r="V494" s="404" t="n"/>
      <c r="Z494" s="404" t="n"/>
      <c r="AN494" s="537" t="n"/>
      <c r="AO494" s="537" t="n"/>
      <c r="AR494" s="537" t="n"/>
      <c r="AS494" s="537" t="n"/>
    </row>
    <row customHeight="1" ht="15.75" r="495" s="452" spans="1:57">
      <c r="A495" s="44" t="n"/>
      <c r="J495" s="404" t="n"/>
      <c r="N495" s="404" t="n"/>
      <c r="R495" s="404" t="n"/>
      <c r="V495" s="404" t="n"/>
      <c r="Z495" s="404" t="n"/>
      <c r="AN495" s="537" t="n"/>
      <c r="AO495" s="537" t="n"/>
      <c r="AR495" s="537" t="n"/>
      <c r="AS495" s="537" t="n"/>
    </row>
    <row customHeight="1" ht="15.75" r="496" s="452" spans="1:57">
      <c r="A496" s="44" t="n"/>
      <c r="J496" s="404" t="n"/>
      <c r="N496" s="404" t="n"/>
      <c r="R496" s="404" t="n"/>
      <c r="V496" s="404" t="n"/>
      <c r="Z496" s="404" t="n"/>
      <c r="AN496" s="537" t="n"/>
      <c r="AO496" s="537" t="n"/>
      <c r="AR496" s="537" t="n"/>
      <c r="AS496" s="537" t="n"/>
    </row>
    <row customHeight="1" ht="15.75" r="497" s="452" spans="1:57">
      <c r="A497" s="44" t="n"/>
      <c r="J497" s="404" t="n"/>
      <c r="N497" s="404" t="n"/>
      <c r="R497" s="404" t="n"/>
      <c r="V497" s="404" t="n"/>
      <c r="Z497" s="404" t="n"/>
      <c r="AN497" s="537" t="n"/>
      <c r="AO497" s="537" t="n"/>
      <c r="AR497" s="537" t="n"/>
      <c r="AS497" s="537" t="n"/>
    </row>
    <row customHeight="1" ht="15.75" r="498" s="452" spans="1:57">
      <c r="A498" s="44" t="n"/>
      <c r="J498" s="404" t="n"/>
      <c r="N498" s="404" t="n"/>
      <c r="R498" s="404" t="n"/>
      <c r="V498" s="404" t="n"/>
      <c r="Z498" s="404" t="n"/>
      <c r="AN498" s="537" t="n"/>
      <c r="AO498" s="537" t="n"/>
      <c r="AR498" s="537" t="n"/>
      <c r="AS498" s="537" t="n"/>
    </row>
    <row customHeight="1" ht="15.75" r="499" s="452" spans="1:57">
      <c r="A499" s="44" t="n"/>
      <c r="J499" s="404" t="n"/>
      <c r="N499" s="404" t="n"/>
      <c r="R499" s="404" t="n"/>
      <c r="V499" s="404" t="n"/>
      <c r="Z499" s="404" t="n"/>
      <c r="AN499" s="537" t="n"/>
      <c r="AO499" s="537" t="n"/>
      <c r="AR499" s="537" t="n"/>
      <c r="AS499" s="537" t="n"/>
    </row>
    <row customHeight="1" ht="15.75" r="500" s="452" spans="1:57">
      <c r="A500" s="44" t="n"/>
      <c r="J500" s="404" t="n"/>
      <c r="N500" s="404" t="n"/>
      <c r="R500" s="404" t="n"/>
      <c r="V500" s="404" t="n"/>
      <c r="Z500" s="404" t="n"/>
      <c r="AN500" s="537" t="n"/>
      <c r="AO500" s="537" t="n"/>
      <c r="AR500" s="537" t="n"/>
      <c r="AS500" s="537" t="n"/>
    </row>
    <row customHeight="1" ht="15.75" r="501" s="452" spans="1:57">
      <c r="A501" s="44" t="n"/>
      <c r="J501" s="404" t="n"/>
      <c r="N501" s="404" t="n"/>
      <c r="R501" s="404" t="n"/>
      <c r="V501" s="404" t="n"/>
      <c r="Z501" s="404" t="n"/>
      <c r="AN501" s="537" t="n"/>
      <c r="AO501" s="537" t="n"/>
      <c r="AR501" s="537" t="n"/>
      <c r="AS501" s="537" t="n"/>
    </row>
    <row customHeight="1" ht="15.75" r="502" s="452" spans="1:57">
      <c r="A502" s="44" t="n"/>
      <c r="J502" s="404" t="n"/>
      <c r="N502" s="404" t="n"/>
      <c r="R502" s="404" t="n"/>
      <c r="V502" s="404" t="n"/>
      <c r="Z502" s="404" t="n"/>
      <c r="AN502" s="537" t="n"/>
      <c r="AO502" s="537" t="n"/>
      <c r="AR502" s="537" t="n"/>
      <c r="AS502" s="537" t="n"/>
    </row>
    <row customHeight="1" ht="15.75" r="503" s="452" spans="1:57">
      <c r="A503" s="44" t="n"/>
      <c r="J503" s="404" t="n"/>
      <c r="N503" s="404" t="n"/>
      <c r="R503" s="404" t="n"/>
      <c r="V503" s="404" t="n"/>
      <c r="Z503" s="404" t="n"/>
      <c r="AN503" s="537" t="n"/>
      <c r="AO503" s="537" t="n"/>
      <c r="AR503" s="537" t="n"/>
      <c r="AS503" s="537" t="n"/>
    </row>
    <row customHeight="1" ht="15.75" r="504" s="452" spans="1:57">
      <c r="A504" s="44" t="n"/>
      <c r="J504" s="404" t="n"/>
      <c r="N504" s="404" t="n"/>
      <c r="R504" s="404" t="n"/>
      <c r="V504" s="404" t="n"/>
      <c r="Z504" s="404" t="n"/>
      <c r="AN504" s="537" t="n"/>
      <c r="AO504" s="537" t="n"/>
      <c r="AR504" s="537" t="n"/>
      <c r="AS504" s="537" t="n"/>
    </row>
    <row customHeight="1" ht="15.75" r="505" s="452" spans="1:57">
      <c r="A505" s="44" t="n"/>
      <c r="J505" s="404" t="n"/>
      <c r="N505" s="404" t="n"/>
      <c r="R505" s="404" t="n"/>
      <c r="V505" s="404" t="n"/>
      <c r="Z505" s="404" t="n"/>
      <c r="AN505" s="537" t="n"/>
      <c r="AO505" s="537" t="n"/>
      <c r="AR505" s="537" t="n"/>
      <c r="AS505" s="537" t="n"/>
    </row>
    <row customHeight="1" ht="15.75" r="506" s="452" spans="1:57">
      <c r="A506" s="44" t="n"/>
      <c r="J506" s="404" t="n"/>
      <c r="N506" s="404" t="n"/>
      <c r="R506" s="404" t="n"/>
      <c r="V506" s="404" t="n"/>
      <c r="Z506" s="404" t="n"/>
      <c r="AN506" s="537" t="n"/>
      <c r="AO506" s="537" t="n"/>
      <c r="AR506" s="537" t="n"/>
      <c r="AS506" s="537" t="n"/>
    </row>
    <row customHeight="1" ht="15.75" r="507" s="452" spans="1:57">
      <c r="A507" s="44" t="n"/>
      <c r="J507" s="404" t="n"/>
      <c r="N507" s="404" t="n"/>
      <c r="R507" s="404" t="n"/>
      <c r="V507" s="404" t="n"/>
      <c r="Z507" s="404" t="n"/>
      <c r="AN507" s="537" t="n"/>
      <c r="AO507" s="537" t="n"/>
      <c r="AR507" s="537" t="n"/>
      <c r="AS507" s="537" t="n"/>
    </row>
    <row customHeight="1" ht="15.75" r="508" s="452" spans="1:57">
      <c r="A508" s="44" t="n"/>
      <c r="J508" s="404" t="n"/>
      <c r="N508" s="404" t="n"/>
      <c r="R508" s="404" t="n"/>
      <c r="V508" s="404" t="n"/>
      <c r="Z508" s="404" t="n"/>
      <c r="AN508" s="537" t="n"/>
      <c r="AO508" s="537" t="n"/>
      <c r="AR508" s="537" t="n"/>
      <c r="AS508" s="537" t="n"/>
    </row>
    <row customHeight="1" ht="15.75" r="509" s="452" spans="1:57">
      <c r="A509" s="44" t="n"/>
      <c r="J509" s="404" t="n"/>
      <c r="N509" s="404" t="n"/>
      <c r="R509" s="404" t="n"/>
      <c r="V509" s="404" t="n"/>
      <c r="Z509" s="404" t="n"/>
      <c r="AN509" s="537" t="n"/>
      <c r="AO509" s="537" t="n"/>
      <c r="AR509" s="537" t="n"/>
      <c r="AS509" s="537" t="n"/>
    </row>
    <row customHeight="1" ht="15.75" r="510" s="452" spans="1:57">
      <c r="A510" s="44" t="n"/>
      <c r="J510" s="404" t="n"/>
      <c r="N510" s="404" t="n"/>
      <c r="R510" s="404" t="n"/>
      <c r="V510" s="404" t="n"/>
      <c r="Z510" s="404" t="n"/>
      <c r="AN510" s="537" t="n"/>
      <c r="AO510" s="537" t="n"/>
      <c r="AR510" s="537" t="n"/>
      <c r="AS510" s="537" t="n"/>
    </row>
    <row customHeight="1" ht="15.75" r="511" s="452" spans="1:57">
      <c r="A511" s="44" t="n"/>
      <c r="J511" s="404" t="n"/>
      <c r="N511" s="404" t="n"/>
      <c r="R511" s="404" t="n"/>
      <c r="V511" s="404" t="n"/>
      <c r="Z511" s="404" t="n"/>
      <c r="AN511" s="537" t="n"/>
      <c r="AO511" s="537" t="n"/>
      <c r="AR511" s="537" t="n"/>
      <c r="AS511" s="537" t="n"/>
    </row>
    <row customHeight="1" ht="15.75" r="512" s="452" spans="1:57">
      <c r="A512" s="44" t="n"/>
      <c r="J512" s="404" t="n"/>
      <c r="N512" s="404" t="n"/>
      <c r="R512" s="404" t="n"/>
      <c r="V512" s="404" t="n"/>
      <c r="Z512" s="404" t="n"/>
      <c r="AN512" s="537" t="n"/>
      <c r="AO512" s="537" t="n"/>
      <c r="AR512" s="537" t="n"/>
      <c r="AS512" s="537" t="n"/>
    </row>
    <row customHeight="1" ht="15.75" r="513" s="452" spans="1:57">
      <c r="A513" s="44" t="n"/>
      <c r="J513" s="404" t="n"/>
      <c r="N513" s="404" t="n"/>
      <c r="R513" s="404" t="n"/>
      <c r="V513" s="404" t="n"/>
      <c r="Z513" s="404" t="n"/>
      <c r="AN513" s="537" t="n"/>
      <c r="AO513" s="537" t="n"/>
      <c r="AR513" s="537" t="n"/>
      <c r="AS513" s="537" t="n"/>
    </row>
    <row customHeight="1" ht="15.75" r="514" s="452" spans="1:57">
      <c r="A514" s="44" t="n"/>
      <c r="J514" s="404" t="n"/>
      <c r="N514" s="404" t="n"/>
      <c r="R514" s="404" t="n"/>
      <c r="V514" s="404" t="n"/>
      <c r="Z514" s="404" t="n"/>
      <c r="AN514" s="537" t="n"/>
      <c r="AO514" s="537" t="n"/>
      <c r="AR514" s="537" t="n"/>
      <c r="AS514" s="537" t="n"/>
    </row>
    <row customHeight="1" ht="15.75" r="515" s="452" spans="1:57">
      <c r="A515" s="44" t="n"/>
      <c r="J515" s="404" t="n"/>
      <c r="N515" s="404" t="n"/>
      <c r="R515" s="404" t="n"/>
      <c r="V515" s="404" t="n"/>
      <c r="Z515" s="404" t="n"/>
      <c r="AN515" s="537" t="n"/>
      <c r="AO515" s="537" t="n"/>
      <c r="AR515" s="537" t="n"/>
      <c r="AS515" s="537" t="n"/>
    </row>
    <row customHeight="1" ht="15.75" r="516" s="452" spans="1:57">
      <c r="A516" s="44" t="n"/>
      <c r="J516" s="404" t="n"/>
      <c r="N516" s="404" t="n"/>
      <c r="R516" s="404" t="n"/>
      <c r="V516" s="404" t="n"/>
      <c r="Z516" s="404" t="n"/>
      <c r="AN516" s="537" t="n"/>
      <c r="AO516" s="537" t="n"/>
      <c r="AR516" s="537" t="n"/>
      <c r="AS516" s="537" t="n"/>
    </row>
    <row customHeight="1" ht="15.75" r="517" s="452" spans="1:57">
      <c r="A517" s="44" t="n"/>
      <c r="J517" s="404" t="n"/>
      <c r="N517" s="404" t="n"/>
      <c r="R517" s="404" t="n"/>
      <c r="V517" s="404" t="n"/>
      <c r="Z517" s="404" t="n"/>
      <c r="AN517" s="537" t="n"/>
      <c r="AO517" s="537" t="n"/>
      <c r="AR517" s="537" t="n"/>
      <c r="AS517" s="537" t="n"/>
    </row>
    <row customHeight="1" ht="15.75" r="518" s="452" spans="1:57">
      <c r="A518" s="44" t="n"/>
      <c r="J518" s="404" t="n"/>
      <c r="N518" s="404" t="n"/>
      <c r="R518" s="404" t="n"/>
      <c r="V518" s="404" t="n"/>
      <c r="Z518" s="404" t="n"/>
      <c r="AN518" s="537" t="n"/>
      <c r="AO518" s="537" t="n"/>
      <c r="AR518" s="537" t="n"/>
      <c r="AS518" s="537" t="n"/>
    </row>
    <row customHeight="1" ht="15.75" r="519" s="452" spans="1:57">
      <c r="A519" s="44" t="n"/>
      <c r="J519" s="404" t="n"/>
      <c r="N519" s="404" t="n"/>
      <c r="R519" s="404" t="n"/>
      <c r="V519" s="404" t="n"/>
      <c r="Z519" s="404" t="n"/>
      <c r="AN519" s="537" t="n"/>
      <c r="AO519" s="537" t="n"/>
      <c r="AR519" s="537" t="n"/>
      <c r="AS519" s="537" t="n"/>
    </row>
    <row customHeight="1" ht="15.75" r="520" s="452" spans="1:57">
      <c r="A520" s="44" t="n"/>
      <c r="J520" s="404" t="n"/>
      <c r="N520" s="404" t="n"/>
      <c r="R520" s="404" t="n"/>
      <c r="V520" s="404" t="n"/>
      <c r="Z520" s="404" t="n"/>
      <c r="AN520" s="537" t="n"/>
      <c r="AO520" s="537" t="n"/>
      <c r="AR520" s="537" t="n"/>
      <c r="AS520" s="537" t="n"/>
    </row>
    <row customHeight="1" ht="15.75" r="521" s="452" spans="1:57">
      <c r="A521" s="44" t="n"/>
      <c r="J521" s="404" t="n"/>
      <c r="N521" s="404" t="n"/>
      <c r="R521" s="404" t="n"/>
      <c r="V521" s="404" t="n"/>
      <c r="Z521" s="404" t="n"/>
      <c r="AN521" s="537" t="n"/>
      <c r="AO521" s="537" t="n"/>
      <c r="AR521" s="537" t="n"/>
      <c r="AS521" s="537" t="n"/>
    </row>
    <row customHeight="1" ht="15.75" r="522" s="452" spans="1:57">
      <c r="A522" s="44" t="n"/>
      <c r="J522" s="404" t="n"/>
      <c r="N522" s="404" t="n"/>
      <c r="R522" s="404" t="n"/>
      <c r="V522" s="404" t="n"/>
      <c r="Z522" s="404" t="n"/>
      <c r="AN522" s="537" t="n"/>
      <c r="AO522" s="537" t="n"/>
      <c r="AR522" s="537" t="n"/>
      <c r="AS522" s="537" t="n"/>
    </row>
    <row customHeight="1" ht="15.75" r="523" s="452" spans="1:57">
      <c r="A523" s="44" t="n"/>
      <c r="J523" s="404" t="n"/>
      <c r="N523" s="404" t="n"/>
      <c r="R523" s="404" t="n"/>
      <c r="V523" s="404" t="n"/>
      <c r="Z523" s="404" t="n"/>
      <c r="AN523" s="537" t="n"/>
      <c r="AO523" s="537" t="n"/>
      <c r="AR523" s="537" t="n"/>
      <c r="AS523" s="537" t="n"/>
    </row>
    <row customHeight="1" ht="15.75" r="524" s="452" spans="1:57">
      <c r="A524" s="44" t="n"/>
      <c r="J524" s="404" t="n"/>
      <c r="N524" s="404" t="n"/>
      <c r="R524" s="404" t="n"/>
      <c r="V524" s="404" t="n"/>
      <c r="Z524" s="404" t="n"/>
      <c r="AN524" s="537" t="n"/>
      <c r="AO524" s="537" t="n"/>
      <c r="AR524" s="537" t="n"/>
      <c r="AS524" s="537" t="n"/>
    </row>
    <row customHeight="1" ht="15.75" r="525" s="452" spans="1:57">
      <c r="A525" s="44" t="n"/>
      <c r="J525" s="404" t="n"/>
      <c r="N525" s="404" t="n"/>
      <c r="R525" s="404" t="n"/>
      <c r="V525" s="404" t="n"/>
      <c r="Z525" s="404" t="n"/>
      <c r="AN525" s="537" t="n"/>
      <c r="AO525" s="537" t="n"/>
      <c r="AR525" s="537" t="n"/>
      <c r="AS525" s="537" t="n"/>
    </row>
    <row customHeight="1" ht="15.75" r="526" s="452" spans="1:57">
      <c r="A526" s="44" t="n"/>
      <c r="J526" s="404" t="n"/>
      <c r="N526" s="404" t="n"/>
      <c r="R526" s="404" t="n"/>
      <c r="V526" s="404" t="n"/>
      <c r="Z526" s="404" t="n"/>
      <c r="AN526" s="537" t="n"/>
      <c r="AO526" s="537" t="n"/>
      <c r="AR526" s="537" t="n"/>
      <c r="AS526" s="537" t="n"/>
    </row>
    <row customHeight="1" ht="15.75" r="527" s="452" spans="1:57">
      <c r="A527" s="44" t="n"/>
      <c r="J527" s="404" t="n"/>
      <c r="N527" s="404" t="n"/>
      <c r="R527" s="404" t="n"/>
      <c r="V527" s="404" t="n"/>
      <c r="Z527" s="404" t="n"/>
      <c r="AN527" s="537" t="n"/>
      <c r="AO527" s="537" t="n"/>
      <c r="AR527" s="537" t="n"/>
      <c r="AS527" s="537" t="n"/>
    </row>
    <row customHeight="1" ht="15.75" r="528" s="452" spans="1:57">
      <c r="A528" s="44" t="n"/>
      <c r="J528" s="404" t="n"/>
      <c r="N528" s="404" t="n"/>
      <c r="R528" s="404" t="n"/>
      <c r="V528" s="404" t="n"/>
      <c r="Z528" s="404" t="n"/>
      <c r="AN528" s="537" t="n"/>
      <c r="AO528" s="537" t="n"/>
      <c r="AR528" s="537" t="n"/>
      <c r="AS528" s="537" t="n"/>
    </row>
    <row customHeight="1" ht="15.75" r="529" s="452" spans="1:57">
      <c r="A529" s="44" t="n"/>
      <c r="J529" s="404" t="n"/>
      <c r="N529" s="404" t="n"/>
      <c r="R529" s="404" t="n"/>
      <c r="V529" s="404" t="n"/>
      <c r="Z529" s="404" t="n"/>
      <c r="AN529" s="537" t="n"/>
      <c r="AO529" s="537" t="n"/>
      <c r="AR529" s="537" t="n"/>
      <c r="AS529" s="537" t="n"/>
    </row>
    <row customHeight="1" ht="15.75" r="530" s="452" spans="1:57">
      <c r="A530" s="44" t="n"/>
      <c r="J530" s="404" t="n"/>
      <c r="N530" s="404" t="n"/>
      <c r="R530" s="404" t="n"/>
      <c r="V530" s="404" t="n"/>
      <c r="Z530" s="404" t="n"/>
      <c r="AN530" s="537" t="n"/>
      <c r="AO530" s="537" t="n"/>
      <c r="AR530" s="537" t="n"/>
      <c r="AS530" s="537" t="n"/>
    </row>
    <row customHeight="1" ht="15.75" r="531" s="452" spans="1:57">
      <c r="A531" s="44" t="n"/>
      <c r="J531" s="404" t="n"/>
      <c r="N531" s="404" t="n"/>
      <c r="R531" s="404" t="n"/>
      <c r="V531" s="404" t="n"/>
      <c r="Z531" s="404" t="n"/>
      <c r="AN531" s="537" t="n"/>
      <c r="AO531" s="537" t="n"/>
      <c r="AR531" s="537" t="n"/>
      <c r="AS531" s="537" t="n"/>
    </row>
    <row customHeight="1" ht="15.75" r="532" s="452" spans="1:57">
      <c r="A532" s="44" t="n"/>
      <c r="J532" s="404" t="n"/>
      <c r="N532" s="404" t="n"/>
      <c r="R532" s="404" t="n"/>
      <c r="V532" s="404" t="n"/>
      <c r="Z532" s="404" t="n"/>
      <c r="AN532" s="537" t="n"/>
      <c r="AO532" s="537" t="n"/>
      <c r="AR532" s="537" t="n"/>
      <c r="AS532" s="537" t="n"/>
    </row>
    <row customHeight="1" ht="15.75" r="533" s="452" spans="1:57">
      <c r="A533" s="44" t="n"/>
      <c r="J533" s="404" t="n"/>
      <c r="N533" s="404" t="n"/>
      <c r="R533" s="404" t="n"/>
      <c r="V533" s="404" t="n"/>
      <c r="Z533" s="404" t="n"/>
      <c r="AN533" s="537" t="n"/>
      <c r="AO533" s="537" t="n"/>
      <c r="AR533" s="537" t="n"/>
      <c r="AS533" s="537" t="n"/>
    </row>
    <row customHeight="1" ht="15.75" r="534" s="452" spans="1:57">
      <c r="A534" s="44" t="n"/>
      <c r="J534" s="404" t="n"/>
      <c r="N534" s="404" t="n"/>
      <c r="R534" s="404" t="n"/>
      <c r="V534" s="404" t="n"/>
      <c r="Z534" s="404" t="n"/>
      <c r="AN534" s="537" t="n"/>
      <c r="AO534" s="537" t="n"/>
      <c r="AR534" s="537" t="n"/>
      <c r="AS534" s="537" t="n"/>
    </row>
    <row customHeight="1" ht="15.75" r="535" s="452" spans="1:57">
      <c r="A535" s="44" t="n"/>
      <c r="J535" s="404" t="n"/>
      <c r="N535" s="404" t="n"/>
      <c r="R535" s="404" t="n"/>
      <c r="V535" s="404" t="n"/>
      <c r="Z535" s="404" t="n"/>
      <c r="AN535" s="537" t="n"/>
      <c r="AO535" s="537" t="n"/>
      <c r="AR535" s="537" t="n"/>
      <c r="AS535" s="537" t="n"/>
    </row>
    <row customHeight="1" ht="15.75" r="536" s="452" spans="1:57">
      <c r="A536" s="44" t="n"/>
      <c r="J536" s="404" t="n"/>
      <c r="N536" s="404" t="n"/>
      <c r="R536" s="404" t="n"/>
      <c r="V536" s="404" t="n"/>
      <c r="Z536" s="404" t="n"/>
      <c r="AN536" s="537" t="n"/>
      <c r="AO536" s="537" t="n"/>
      <c r="AR536" s="537" t="n"/>
      <c r="AS536" s="537" t="n"/>
    </row>
    <row customHeight="1" ht="15.75" r="537" s="452" spans="1:57">
      <c r="A537" s="44" t="n"/>
      <c r="J537" s="404" t="n"/>
      <c r="N537" s="404" t="n"/>
      <c r="R537" s="404" t="n"/>
      <c r="V537" s="404" t="n"/>
      <c r="Z537" s="404" t="n"/>
      <c r="AN537" s="537" t="n"/>
      <c r="AO537" s="537" t="n"/>
      <c r="AR537" s="537" t="n"/>
      <c r="AS537" s="537" t="n"/>
    </row>
    <row customHeight="1" ht="15.75" r="538" s="452" spans="1:57">
      <c r="A538" s="44" t="n"/>
      <c r="J538" s="404" t="n"/>
      <c r="N538" s="404" t="n"/>
      <c r="R538" s="404" t="n"/>
      <c r="V538" s="404" t="n"/>
      <c r="Z538" s="404" t="n"/>
      <c r="AN538" s="537" t="n"/>
      <c r="AO538" s="537" t="n"/>
      <c r="AR538" s="537" t="n"/>
      <c r="AS538" s="537" t="n"/>
    </row>
    <row customHeight="1" ht="15.75" r="539" s="452" spans="1:57">
      <c r="A539" s="44" t="n"/>
      <c r="J539" s="404" t="n"/>
      <c r="N539" s="404" t="n"/>
      <c r="R539" s="404" t="n"/>
      <c r="V539" s="404" t="n"/>
      <c r="Z539" s="404" t="n"/>
      <c r="AN539" s="537" t="n"/>
      <c r="AO539" s="537" t="n"/>
      <c r="AR539" s="537" t="n"/>
      <c r="AS539" s="537" t="n"/>
    </row>
    <row customHeight="1" ht="15.75" r="540" s="452" spans="1:57">
      <c r="A540" s="44" t="n"/>
      <c r="J540" s="404" t="n"/>
      <c r="N540" s="404" t="n"/>
      <c r="R540" s="404" t="n"/>
      <c r="V540" s="404" t="n"/>
      <c r="Z540" s="404" t="n"/>
      <c r="AN540" s="537" t="n"/>
      <c r="AO540" s="537" t="n"/>
      <c r="AR540" s="537" t="n"/>
      <c r="AS540" s="537" t="n"/>
    </row>
    <row customHeight="1" ht="15.75" r="541" s="452" spans="1:57">
      <c r="A541" s="44" t="n"/>
      <c r="J541" s="404" t="n"/>
      <c r="N541" s="404" t="n"/>
      <c r="R541" s="404" t="n"/>
      <c r="V541" s="404" t="n"/>
      <c r="Z541" s="404" t="n"/>
      <c r="AN541" s="537" t="n"/>
      <c r="AO541" s="537" t="n"/>
      <c r="AR541" s="537" t="n"/>
      <c r="AS541" s="537" t="n"/>
    </row>
    <row customHeight="1" ht="15.75" r="542" s="452" spans="1:57">
      <c r="A542" s="44" t="n"/>
      <c r="J542" s="404" t="n"/>
      <c r="N542" s="404" t="n"/>
      <c r="R542" s="404" t="n"/>
      <c r="V542" s="404" t="n"/>
      <c r="Z542" s="404" t="n"/>
      <c r="AN542" s="537" t="n"/>
      <c r="AO542" s="537" t="n"/>
      <c r="AR542" s="537" t="n"/>
      <c r="AS542" s="537" t="n"/>
    </row>
    <row customHeight="1" ht="15.75" r="543" s="452" spans="1:57">
      <c r="A543" s="44" t="n"/>
      <c r="J543" s="404" t="n"/>
      <c r="N543" s="404" t="n"/>
      <c r="R543" s="404" t="n"/>
      <c r="V543" s="404" t="n"/>
      <c r="Z543" s="404" t="n"/>
      <c r="AN543" s="537" t="n"/>
      <c r="AO543" s="537" t="n"/>
      <c r="AR543" s="537" t="n"/>
      <c r="AS543" s="537" t="n"/>
    </row>
    <row customHeight="1" ht="15.75" r="544" s="452" spans="1:57">
      <c r="A544" s="44" t="n"/>
      <c r="J544" s="404" t="n"/>
      <c r="N544" s="404" t="n"/>
      <c r="R544" s="404" t="n"/>
      <c r="V544" s="404" t="n"/>
      <c r="Z544" s="404" t="n"/>
      <c r="AN544" s="537" t="n"/>
      <c r="AO544" s="537" t="n"/>
      <c r="AR544" s="537" t="n"/>
      <c r="AS544" s="537" t="n"/>
    </row>
    <row customHeight="1" ht="15.75" r="545" s="452" spans="1:57">
      <c r="A545" s="44" t="n"/>
      <c r="J545" s="404" t="n"/>
      <c r="N545" s="404" t="n"/>
      <c r="R545" s="404" t="n"/>
      <c r="V545" s="404" t="n"/>
      <c r="Z545" s="404" t="n"/>
      <c r="AN545" s="537" t="n"/>
      <c r="AO545" s="537" t="n"/>
      <c r="AR545" s="537" t="n"/>
      <c r="AS545" s="537" t="n"/>
    </row>
    <row customHeight="1" ht="15.75" r="546" s="452" spans="1:57">
      <c r="A546" s="44" t="n"/>
      <c r="J546" s="404" t="n"/>
      <c r="N546" s="404" t="n"/>
      <c r="R546" s="404" t="n"/>
      <c r="V546" s="404" t="n"/>
      <c r="Z546" s="404" t="n"/>
      <c r="AN546" s="537" t="n"/>
      <c r="AO546" s="537" t="n"/>
      <c r="AR546" s="537" t="n"/>
      <c r="AS546" s="537" t="n"/>
    </row>
    <row customHeight="1" ht="15.75" r="547" s="452" spans="1:57">
      <c r="A547" s="44" t="n"/>
      <c r="J547" s="404" t="n"/>
      <c r="N547" s="404" t="n"/>
      <c r="R547" s="404" t="n"/>
      <c r="V547" s="404" t="n"/>
      <c r="Z547" s="404" t="n"/>
      <c r="AN547" s="537" t="n"/>
      <c r="AO547" s="537" t="n"/>
      <c r="AR547" s="537" t="n"/>
      <c r="AS547" s="537" t="n"/>
    </row>
    <row customHeight="1" ht="15.75" r="548" s="452" spans="1:57">
      <c r="A548" s="44" t="n"/>
      <c r="J548" s="404" t="n"/>
      <c r="N548" s="404" t="n"/>
      <c r="R548" s="404" t="n"/>
      <c r="V548" s="404" t="n"/>
      <c r="Z548" s="404" t="n"/>
      <c r="AN548" s="537" t="n"/>
      <c r="AO548" s="537" t="n"/>
      <c r="AR548" s="537" t="n"/>
      <c r="AS548" s="537" t="n"/>
    </row>
    <row customHeight="1" ht="15.75" r="549" s="452" spans="1:57">
      <c r="A549" s="44" t="n"/>
      <c r="J549" s="404" t="n"/>
      <c r="N549" s="404" t="n"/>
      <c r="R549" s="404" t="n"/>
      <c r="V549" s="404" t="n"/>
      <c r="Z549" s="404" t="n"/>
      <c r="AN549" s="537" t="n"/>
      <c r="AO549" s="537" t="n"/>
      <c r="AR549" s="537" t="n"/>
      <c r="AS549" s="537" t="n"/>
    </row>
    <row customHeight="1" ht="15.75" r="550" s="452" spans="1:57">
      <c r="A550" s="44" t="n"/>
      <c r="J550" s="404" t="n"/>
      <c r="N550" s="404" t="n"/>
      <c r="R550" s="404" t="n"/>
      <c r="V550" s="404" t="n"/>
      <c r="Z550" s="404" t="n"/>
      <c r="AN550" s="537" t="n"/>
      <c r="AO550" s="537" t="n"/>
      <c r="AR550" s="537" t="n"/>
      <c r="AS550" s="537" t="n"/>
    </row>
    <row customHeight="1" ht="15.75" r="551" s="452" spans="1:57">
      <c r="A551" s="44" t="n"/>
      <c r="J551" s="404" t="n"/>
      <c r="N551" s="404" t="n"/>
      <c r="R551" s="404" t="n"/>
      <c r="V551" s="404" t="n"/>
      <c r="Z551" s="404" t="n"/>
      <c r="AN551" s="537" t="n"/>
      <c r="AO551" s="537" t="n"/>
      <c r="AR551" s="537" t="n"/>
      <c r="AS551" s="537" t="n"/>
    </row>
    <row customHeight="1" ht="15.75" r="552" s="452" spans="1:57">
      <c r="A552" s="44" t="n"/>
      <c r="J552" s="404" t="n"/>
      <c r="N552" s="404" t="n"/>
      <c r="R552" s="404" t="n"/>
      <c r="V552" s="404" t="n"/>
      <c r="Z552" s="404" t="n"/>
      <c r="AN552" s="537" t="n"/>
      <c r="AO552" s="537" t="n"/>
      <c r="AR552" s="537" t="n"/>
      <c r="AS552" s="537" t="n"/>
    </row>
    <row customHeight="1" ht="15.75" r="553" s="452" spans="1:57">
      <c r="A553" s="44" t="n"/>
      <c r="J553" s="404" t="n"/>
      <c r="N553" s="404" t="n"/>
      <c r="R553" s="404" t="n"/>
      <c r="V553" s="404" t="n"/>
      <c r="Z553" s="404" t="n"/>
      <c r="AN553" s="537" t="n"/>
      <c r="AO553" s="537" t="n"/>
      <c r="AR553" s="537" t="n"/>
      <c r="AS553" s="537" t="n"/>
    </row>
    <row customHeight="1" ht="15.75" r="554" s="452" spans="1:57">
      <c r="A554" s="44" t="n"/>
      <c r="J554" s="404" t="n"/>
      <c r="N554" s="404" t="n"/>
      <c r="R554" s="404" t="n"/>
      <c r="V554" s="404" t="n"/>
      <c r="Z554" s="404" t="n"/>
      <c r="AN554" s="537" t="n"/>
      <c r="AO554" s="537" t="n"/>
      <c r="AR554" s="537" t="n"/>
      <c r="AS554" s="537" t="n"/>
    </row>
    <row customHeight="1" ht="15.75" r="555" s="452" spans="1:57">
      <c r="A555" s="44" t="n"/>
      <c r="J555" s="404" t="n"/>
      <c r="N555" s="404" t="n"/>
      <c r="R555" s="404" t="n"/>
      <c r="V555" s="404" t="n"/>
      <c r="Z555" s="404" t="n"/>
      <c r="AN555" s="537" t="n"/>
      <c r="AO555" s="537" t="n"/>
      <c r="AR555" s="537" t="n"/>
      <c r="AS555" s="537" t="n"/>
    </row>
    <row customHeight="1" ht="15.75" r="556" s="452" spans="1:57">
      <c r="A556" s="44" t="n"/>
      <c r="J556" s="404" t="n"/>
      <c r="N556" s="404" t="n"/>
      <c r="R556" s="404" t="n"/>
      <c r="V556" s="404" t="n"/>
      <c r="Z556" s="404" t="n"/>
      <c r="AN556" s="537" t="n"/>
      <c r="AO556" s="537" t="n"/>
      <c r="AR556" s="537" t="n"/>
      <c r="AS556" s="537" t="n"/>
    </row>
    <row customHeight="1" ht="15.75" r="557" s="452" spans="1:57">
      <c r="A557" s="44" t="n"/>
      <c r="J557" s="404" t="n"/>
      <c r="N557" s="404" t="n"/>
      <c r="R557" s="404" t="n"/>
      <c r="V557" s="404" t="n"/>
      <c r="Z557" s="404" t="n"/>
      <c r="AN557" s="537" t="n"/>
      <c r="AO557" s="537" t="n"/>
      <c r="AR557" s="537" t="n"/>
      <c r="AS557" s="537" t="n"/>
    </row>
    <row customHeight="1" ht="15.75" r="558" s="452" spans="1:57">
      <c r="A558" s="44" t="n"/>
      <c r="J558" s="404" t="n"/>
      <c r="N558" s="404" t="n"/>
      <c r="R558" s="404" t="n"/>
      <c r="V558" s="404" t="n"/>
      <c r="Z558" s="404" t="n"/>
      <c r="AN558" s="537" t="n"/>
      <c r="AO558" s="537" t="n"/>
      <c r="AR558" s="537" t="n"/>
      <c r="AS558" s="537" t="n"/>
    </row>
    <row customHeight="1" ht="15.75" r="559" s="452" spans="1:57">
      <c r="A559" s="44" t="n"/>
      <c r="J559" s="404" t="n"/>
      <c r="N559" s="404" t="n"/>
      <c r="R559" s="404" t="n"/>
      <c r="V559" s="404" t="n"/>
      <c r="Z559" s="404" t="n"/>
      <c r="AN559" s="537" t="n"/>
      <c r="AO559" s="537" t="n"/>
      <c r="AR559" s="537" t="n"/>
      <c r="AS559" s="537" t="n"/>
    </row>
    <row customHeight="1" ht="15.75" r="560" s="452" spans="1:57">
      <c r="A560" s="44" t="n"/>
      <c r="J560" s="404" t="n"/>
      <c r="N560" s="404" t="n"/>
      <c r="R560" s="404" t="n"/>
      <c r="V560" s="404" t="n"/>
      <c r="Z560" s="404" t="n"/>
      <c r="AN560" s="537" t="n"/>
      <c r="AO560" s="537" t="n"/>
      <c r="AR560" s="537" t="n"/>
      <c r="AS560" s="537" t="n"/>
    </row>
    <row customHeight="1" ht="15.75" r="561" s="452" spans="1:57">
      <c r="A561" s="44" t="n"/>
      <c r="J561" s="404" t="n"/>
      <c r="N561" s="404" t="n"/>
      <c r="R561" s="404" t="n"/>
      <c r="V561" s="404" t="n"/>
      <c r="Z561" s="404" t="n"/>
      <c r="AN561" s="537" t="n"/>
      <c r="AO561" s="537" t="n"/>
      <c r="AR561" s="537" t="n"/>
      <c r="AS561" s="537" t="n"/>
    </row>
    <row customHeight="1" ht="15.75" r="562" s="452" spans="1:57">
      <c r="A562" s="44" t="n"/>
      <c r="J562" s="404" t="n"/>
      <c r="N562" s="404" t="n"/>
      <c r="R562" s="404" t="n"/>
      <c r="V562" s="404" t="n"/>
      <c r="Z562" s="404" t="n"/>
      <c r="AN562" s="537" t="n"/>
      <c r="AO562" s="537" t="n"/>
      <c r="AR562" s="537" t="n"/>
      <c r="AS562" s="537" t="n"/>
    </row>
    <row customHeight="1" ht="15.75" r="563" s="452" spans="1:57">
      <c r="A563" s="44" t="n"/>
      <c r="J563" s="404" t="n"/>
      <c r="N563" s="404" t="n"/>
      <c r="R563" s="404" t="n"/>
      <c r="V563" s="404" t="n"/>
      <c r="Z563" s="404" t="n"/>
      <c r="AN563" s="537" t="n"/>
      <c r="AO563" s="537" t="n"/>
      <c r="AR563" s="537" t="n"/>
      <c r="AS563" s="537" t="n"/>
    </row>
    <row customHeight="1" ht="15.75" r="564" s="452" spans="1:57">
      <c r="A564" s="44" t="n"/>
      <c r="J564" s="404" t="n"/>
      <c r="N564" s="404" t="n"/>
      <c r="R564" s="404" t="n"/>
      <c r="V564" s="404" t="n"/>
      <c r="Z564" s="404" t="n"/>
      <c r="AN564" s="537" t="n"/>
      <c r="AO564" s="537" t="n"/>
      <c r="AR564" s="537" t="n"/>
      <c r="AS564" s="537" t="n"/>
    </row>
    <row customHeight="1" ht="15.75" r="565" s="452" spans="1:57">
      <c r="A565" s="44" t="n"/>
      <c r="J565" s="404" t="n"/>
      <c r="N565" s="404" t="n"/>
      <c r="R565" s="404" t="n"/>
      <c r="V565" s="404" t="n"/>
      <c r="Z565" s="404" t="n"/>
      <c r="AN565" s="537" t="n"/>
      <c r="AO565" s="537" t="n"/>
      <c r="AR565" s="537" t="n"/>
      <c r="AS565" s="537" t="n"/>
    </row>
    <row customHeight="1" ht="15.75" r="566" s="452" spans="1:57">
      <c r="A566" s="44" t="n"/>
      <c r="J566" s="404" t="n"/>
      <c r="N566" s="404" t="n"/>
      <c r="R566" s="404" t="n"/>
      <c r="V566" s="404" t="n"/>
      <c r="Z566" s="404" t="n"/>
      <c r="AN566" s="537" t="n"/>
      <c r="AO566" s="537" t="n"/>
      <c r="AR566" s="537" t="n"/>
      <c r="AS566" s="537" t="n"/>
    </row>
    <row customHeight="1" ht="15.75" r="567" s="452" spans="1:57">
      <c r="A567" s="44" t="n"/>
      <c r="J567" s="404" t="n"/>
      <c r="N567" s="404" t="n"/>
      <c r="R567" s="404" t="n"/>
      <c r="V567" s="404" t="n"/>
      <c r="Z567" s="404" t="n"/>
      <c r="AN567" s="537" t="n"/>
      <c r="AO567" s="537" t="n"/>
      <c r="AR567" s="537" t="n"/>
      <c r="AS567" s="537" t="n"/>
    </row>
    <row customHeight="1" ht="15.75" r="568" s="452" spans="1:57">
      <c r="A568" s="44" t="n"/>
      <c r="J568" s="404" t="n"/>
      <c r="N568" s="404" t="n"/>
      <c r="R568" s="404" t="n"/>
      <c r="V568" s="404" t="n"/>
      <c r="Z568" s="404" t="n"/>
      <c r="AN568" s="537" t="n"/>
      <c r="AO568" s="537" t="n"/>
      <c r="AR568" s="537" t="n"/>
      <c r="AS568" s="537" t="n"/>
    </row>
    <row customHeight="1" ht="15.75" r="569" s="452" spans="1:57">
      <c r="A569" s="44" t="n"/>
      <c r="J569" s="404" t="n"/>
      <c r="N569" s="404" t="n"/>
      <c r="R569" s="404" t="n"/>
      <c r="V569" s="404" t="n"/>
      <c r="Z569" s="404" t="n"/>
      <c r="AN569" s="537" t="n"/>
      <c r="AO569" s="537" t="n"/>
      <c r="AR569" s="537" t="n"/>
      <c r="AS569" s="537" t="n"/>
    </row>
    <row customHeight="1" ht="15.75" r="570" s="452" spans="1:57">
      <c r="A570" s="44" t="n"/>
      <c r="J570" s="404" t="n"/>
      <c r="N570" s="404" t="n"/>
      <c r="R570" s="404" t="n"/>
      <c r="V570" s="404" t="n"/>
      <c r="Z570" s="404" t="n"/>
      <c r="AN570" s="537" t="n"/>
      <c r="AO570" s="537" t="n"/>
      <c r="AR570" s="537" t="n"/>
      <c r="AS570" s="537" t="n"/>
    </row>
    <row customHeight="1" ht="15.75" r="571" s="452" spans="1:57">
      <c r="A571" s="44" t="n"/>
      <c r="J571" s="404" t="n"/>
      <c r="N571" s="404" t="n"/>
      <c r="R571" s="404" t="n"/>
      <c r="V571" s="404" t="n"/>
      <c r="Z571" s="404" t="n"/>
      <c r="AN571" s="537" t="n"/>
      <c r="AO571" s="537" t="n"/>
      <c r="AR571" s="537" t="n"/>
      <c r="AS571" s="537" t="n"/>
    </row>
    <row customHeight="1" ht="15.75" r="572" s="452" spans="1:57">
      <c r="A572" s="44" t="n"/>
      <c r="J572" s="404" t="n"/>
      <c r="N572" s="404" t="n"/>
      <c r="R572" s="404" t="n"/>
      <c r="V572" s="404" t="n"/>
      <c r="Z572" s="404" t="n"/>
      <c r="AN572" s="537" t="n"/>
      <c r="AO572" s="537" t="n"/>
      <c r="AR572" s="537" t="n"/>
      <c r="AS572" s="537" t="n"/>
    </row>
    <row customHeight="1" ht="15.75" r="573" s="452" spans="1:57">
      <c r="A573" s="44" t="n"/>
      <c r="J573" s="404" t="n"/>
      <c r="N573" s="404" t="n"/>
      <c r="R573" s="404" t="n"/>
      <c r="V573" s="404" t="n"/>
      <c r="Z573" s="404" t="n"/>
      <c r="AN573" s="537" t="n"/>
      <c r="AO573" s="537" t="n"/>
      <c r="AR573" s="537" t="n"/>
      <c r="AS573" s="537" t="n"/>
    </row>
    <row customHeight="1" ht="15.75" r="574" s="452" spans="1:57">
      <c r="A574" s="44" t="n"/>
      <c r="J574" s="404" t="n"/>
      <c r="N574" s="404" t="n"/>
      <c r="R574" s="404" t="n"/>
      <c r="V574" s="404" t="n"/>
      <c r="Z574" s="404" t="n"/>
      <c r="AN574" s="537" t="n"/>
      <c r="AO574" s="537" t="n"/>
      <c r="AR574" s="537" t="n"/>
      <c r="AS574" s="537" t="n"/>
    </row>
    <row customHeight="1" ht="15.75" r="575" s="452" spans="1:57">
      <c r="A575" s="44" t="n"/>
      <c r="J575" s="404" t="n"/>
      <c r="N575" s="404" t="n"/>
      <c r="R575" s="404" t="n"/>
      <c r="V575" s="404" t="n"/>
      <c r="Z575" s="404" t="n"/>
      <c r="AN575" s="537" t="n"/>
      <c r="AO575" s="537" t="n"/>
      <c r="AR575" s="537" t="n"/>
      <c r="AS575" s="537" t="n"/>
    </row>
    <row customHeight="1" ht="15.75" r="576" s="452" spans="1:57">
      <c r="A576" s="44" t="n"/>
      <c r="J576" s="404" t="n"/>
      <c r="N576" s="404" t="n"/>
      <c r="R576" s="404" t="n"/>
      <c r="V576" s="404" t="n"/>
      <c r="Z576" s="404" t="n"/>
      <c r="AN576" s="537" t="n"/>
      <c r="AO576" s="537" t="n"/>
      <c r="AR576" s="537" t="n"/>
      <c r="AS576" s="537" t="n"/>
    </row>
    <row customHeight="1" ht="15.75" r="577" s="452" spans="1:57">
      <c r="A577" s="44" t="n"/>
      <c r="J577" s="404" t="n"/>
      <c r="N577" s="404" t="n"/>
      <c r="R577" s="404" t="n"/>
      <c r="V577" s="404" t="n"/>
      <c r="Z577" s="404" t="n"/>
      <c r="AN577" s="537" t="n"/>
      <c r="AO577" s="537" t="n"/>
      <c r="AR577" s="537" t="n"/>
      <c r="AS577" s="537" t="n"/>
    </row>
    <row customHeight="1" ht="15.75" r="578" s="452" spans="1:57">
      <c r="A578" s="44" t="n"/>
      <c r="J578" s="404" t="n"/>
      <c r="N578" s="404" t="n"/>
      <c r="R578" s="404" t="n"/>
      <c r="V578" s="404" t="n"/>
      <c r="Z578" s="404" t="n"/>
      <c r="AN578" s="537" t="n"/>
      <c r="AO578" s="537" t="n"/>
      <c r="AR578" s="537" t="n"/>
      <c r="AS578" s="537" t="n"/>
    </row>
    <row customHeight="1" ht="15.75" r="579" s="452" spans="1:57">
      <c r="A579" s="44" t="n"/>
      <c r="J579" s="404" t="n"/>
      <c r="N579" s="404" t="n"/>
      <c r="R579" s="404" t="n"/>
      <c r="V579" s="404" t="n"/>
      <c r="Z579" s="404" t="n"/>
      <c r="AN579" s="537" t="n"/>
      <c r="AO579" s="537" t="n"/>
      <c r="AR579" s="537" t="n"/>
      <c r="AS579" s="537" t="n"/>
    </row>
    <row customHeight="1" ht="15.75" r="580" s="452" spans="1:57">
      <c r="A580" s="44" t="n"/>
      <c r="J580" s="404" t="n"/>
      <c r="N580" s="404" t="n"/>
      <c r="R580" s="404" t="n"/>
      <c r="V580" s="404" t="n"/>
      <c r="Z580" s="404" t="n"/>
      <c r="AN580" s="537" t="n"/>
      <c r="AO580" s="537" t="n"/>
      <c r="AR580" s="537" t="n"/>
      <c r="AS580" s="537" t="n"/>
    </row>
    <row customHeight="1" ht="15.75" r="581" s="452" spans="1:57">
      <c r="A581" s="44" t="n"/>
      <c r="J581" s="404" t="n"/>
      <c r="N581" s="404" t="n"/>
      <c r="R581" s="404" t="n"/>
      <c r="V581" s="404" t="n"/>
      <c r="Z581" s="404" t="n"/>
      <c r="AN581" s="537" t="n"/>
      <c r="AO581" s="537" t="n"/>
      <c r="AR581" s="537" t="n"/>
      <c r="AS581" s="537" t="n"/>
    </row>
    <row customHeight="1" ht="15.75" r="582" s="452" spans="1:57">
      <c r="A582" s="44" t="n"/>
      <c r="J582" s="404" t="n"/>
      <c r="N582" s="404" t="n"/>
      <c r="R582" s="404" t="n"/>
      <c r="V582" s="404" t="n"/>
      <c r="Z582" s="404" t="n"/>
      <c r="AN582" s="537" t="n"/>
      <c r="AO582" s="537" t="n"/>
      <c r="AR582" s="537" t="n"/>
      <c r="AS582" s="537" t="n"/>
    </row>
    <row customHeight="1" ht="15.75" r="583" s="452" spans="1:57">
      <c r="A583" s="44" t="n"/>
      <c r="J583" s="404" t="n"/>
      <c r="N583" s="404" t="n"/>
      <c r="R583" s="404" t="n"/>
      <c r="V583" s="404" t="n"/>
      <c r="Z583" s="404" t="n"/>
      <c r="AN583" s="537" t="n"/>
      <c r="AO583" s="537" t="n"/>
      <c r="AR583" s="537" t="n"/>
      <c r="AS583" s="537" t="n"/>
    </row>
    <row customHeight="1" ht="15.75" r="584" s="452" spans="1:57">
      <c r="A584" s="44" t="n"/>
      <c r="J584" s="404" t="n"/>
      <c r="N584" s="404" t="n"/>
      <c r="R584" s="404" t="n"/>
      <c r="V584" s="404" t="n"/>
      <c r="Z584" s="404" t="n"/>
      <c r="AN584" s="537" t="n"/>
      <c r="AO584" s="537" t="n"/>
      <c r="AR584" s="537" t="n"/>
      <c r="AS584" s="537" t="n"/>
    </row>
    <row customHeight="1" ht="15.75" r="585" s="452" spans="1:57">
      <c r="A585" s="44" t="n"/>
      <c r="J585" s="404" t="n"/>
      <c r="N585" s="404" t="n"/>
      <c r="R585" s="404" t="n"/>
      <c r="V585" s="404" t="n"/>
      <c r="Z585" s="404" t="n"/>
      <c r="AN585" s="537" t="n"/>
      <c r="AO585" s="537" t="n"/>
      <c r="AR585" s="537" t="n"/>
      <c r="AS585" s="537" t="n"/>
    </row>
    <row customHeight="1" ht="15.75" r="586" s="452" spans="1:57">
      <c r="A586" s="44" t="n"/>
      <c r="J586" s="404" t="n"/>
      <c r="N586" s="404" t="n"/>
      <c r="R586" s="404" t="n"/>
      <c r="V586" s="404" t="n"/>
      <c r="Z586" s="404" t="n"/>
      <c r="AN586" s="537" t="n"/>
      <c r="AO586" s="537" t="n"/>
      <c r="AR586" s="537" t="n"/>
      <c r="AS586" s="537" t="n"/>
    </row>
    <row customHeight="1" ht="15.75" r="587" s="452" spans="1:57">
      <c r="A587" s="44" t="n"/>
      <c r="J587" s="404" t="n"/>
      <c r="N587" s="404" t="n"/>
      <c r="R587" s="404" t="n"/>
      <c r="V587" s="404" t="n"/>
      <c r="Z587" s="404" t="n"/>
      <c r="AN587" s="537" t="n"/>
      <c r="AO587" s="537" t="n"/>
      <c r="AR587" s="537" t="n"/>
      <c r="AS587" s="537" t="n"/>
    </row>
    <row customHeight="1" ht="15.75" r="588" s="452" spans="1:57">
      <c r="A588" s="44" t="n"/>
      <c r="J588" s="404" t="n"/>
      <c r="N588" s="404" t="n"/>
      <c r="R588" s="404" t="n"/>
      <c r="V588" s="404" t="n"/>
      <c r="Z588" s="404" t="n"/>
      <c r="AN588" s="537" t="n"/>
      <c r="AO588" s="537" t="n"/>
      <c r="AR588" s="537" t="n"/>
      <c r="AS588" s="537" t="n"/>
    </row>
    <row customHeight="1" ht="15.75" r="589" s="452" spans="1:57">
      <c r="A589" s="44" t="n"/>
      <c r="J589" s="404" t="n"/>
      <c r="N589" s="404" t="n"/>
      <c r="R589" s="404" t="n"/>
      <c r="V589" s="404" t="n"/>
      <c r="Z589" s="404" t="n"/>
      <c r="AN589" s="537" t="n"/>
      <c r="AO589" s="537" t="n"/>
      <c r="AR589" s="537" t="n"/>
      <c r="AS589" s="537" t="n"/>
    </row>
    <row customHeight="1" ht="15.75" r="590" s="452" spans="1:57">
      <c r="A590" s="44" t="n"/>
      <c r="J590" s="404" t="n"/>
      <c r="N590" s="404" t="n"/>
      <c r="R590" s="404" t="n"/>
      <c r="V590" s="404" t="n"/>
      <c r="Z590" s="404" t="n"/>
      <c r="AN590" s="537" t="n"/>
      <c r="AO590" s="537" t="n"/>
      <c r="AR590" s="537" t="n"/>
      <c r="AS590" s="537" t="n"/>
    </row>
    <row customHeight="1" ht="15.75" r="591" s="452" spans="1:57">
      <c r="A591" s="44" t="n"/>
      <c r="J591" s="404" t="n"/>
      <c r="N591" s="404" t="n"/>
      <c r="R591" s="404" t="n"/>
      <c r="V591" s="404" t="n"/>
      <c r="Z591" s="404" t="n"/>
      <c r="AN591" s="537" t="n"/>
      <c r="AO591" s="537" t="n"/>
      <c r="AR591" s="537" t="n"/>
      <c r="AS591" s="537" t="n"/>
    </row>
    <row customHeight="1" ht="15.75" r="592" s="452" spans="1:57">
      <c r="A592" s="44" t="n"/>
      <c r="J592" s="404" t="n"/>
      <c r="N592" s="404" t="n"/>
      <c r="R592" s="404" t="n"/>
      <c r="V592" s="404" t="n"/>
      <c r="Z592" s="404" t="n"/>
      <c r="AN592" s="537" t="n"/>
      <c r="AO592" s="537" t="n"/>
      <c r="AR592" s="537" t="n"/>
      <c r="AS592" s="537" t="n"/>
    </row>
    <row customHeight="1" ht="15.75" r="593" s="452" spans="1:57">
      <c r="A593" s="44" t="n"/>
      <c r="J593" s="404" t="n"/>
      <c r="N593" s="404" t="n"/>
      <c r="R593" s="404" t="n"/>
      <c r="V593" s="404" t="n"/>
      <c r="Z593" s="404" t="n"/>
      <c r="AN593" s="537" t="n"/>
      <c r="AO593" s="537" t="n"/>
      <c r="AR593" s="537" t="n"/>
      <c r="AS593" s="537" t="n"/>
    </row>
    <row customHeight="1" ht="15.75" r="594" s="452" spans="1:57">
      <c r="A594" s="44" t="n"/>
      <c r="J594" s="404" t="n"/>
      <c r="N594" s="404" t="n"/>
      <c r="R594" s="404" t="n"/>
      <c r="V594" s="404" t="n"/>
      <c r="Z594" s="404" t="n"/>
      <c r="AN594" s="537" t="n"/>
      <c r="AO594" s="537" t="n"/>
      <c r="AR594" s="537" t="n"/>
      <c r="AS594" s="537" t="n"/>
    </row>
    <row customHeight="1" ht="15.75" r="595" s="452" spans="1:57">
      <c r="A595" s="44" t="n"/>
      <c r="J595" s="404" t="n"/>
      <c r="N595" s="404" t="n"/>
      <c r="R595" s="404" t="n"/>
      <c r="V595" s="404" t="n"/>
      <c r="Z595" s="404" t="n"/>
      <c r="AN595" s="537" t="n"/>
      <c r="AO595" s="537" t="n"/>
      <c r="AR595" s="537" t="n"/>
      <c r="AS595" s="537" t="n"/>
    </row>
    <row customHeight="1" ht="15.75" r="596" s="452" spans="1:57">
      <c r="A596" s="44" t="n"/>
      <c r="J596" s="404" t="n"/>
      <c r="N596" s="404" t="n"/>
      <c r="R596" s="404" t="n"/>
      <c r="V596" s="404" t="n"/>
      <c r="Z596" s="404" t="n"/>
      <c r="AN596" s="537" t="n"/>
      <c r="AO596" s="537" t="n"/>
      <c r="AR596" s="537" t="n"/>
      <c r="AS596" s="537" t="n"/>
    </row>
    <row customHeight="1" ht="15.75" r="597" s="452" spans="1:57">
      <c r="A597" s="44" t="n"/>
      <c r="J597" s="404" t="n"/>
      <c r="N597" s="404" t="n"/>
      <c r="R597" s="404" t="n"/>
      <c r="V597" s="404" t="n"/>
      <c r="Z597" s="404" t="n"/>
      <c r="AN597" s="537" t="n"/>
      <c r="AO597" s="537" t="n"/>
      <c r="AR597" s="537" t="n"/>
      <c r="AS597" s="537" t="n"/>
    </row>
    <row customHeight="1" ht="15.75" r="598" s="452" spans="1:57">
      <c r="A598" s="44" t="n"/>
      <c r="J598" s="404" t="n"/>
      <c r="N598" s="404" t="n"/>
      <c r="R598" s="404" t="n"/>
      <c r="V598" s="404" t="n"/>
      <c r="Z598" s="404" t="n"/>
      <c r="AN598" s="537" t="n"/>
      <c r="AO598" s="537" t="n"/>
      <c r="AR598" s="537" t="n"/>
      <c r="AS598" s="537" t="n"/>
    </row>
    <row customHeight="1" ht="15.75" r="599" s="452" spans="1:57">
      <c r="A599" s="44" t="n"/>
      <c r="J599" s="404" t="n"/>
      <c r="N599" s="404" t="n"/>
      <c r="R599" s="404" t="n"/>
      <c r="V599" s="404" t="n"/>
      <c r="Z599" s="404" t="n"/>
      <c r="AN599" s="537" t="n"/>
      <c r="AO599" s="537" t="n"/>
      <c r="AR599" s="537" t="n"/>
      <c r="AS599" s="537" t="n"/>
    </row>
    <row customHeight="1" ht="15.75" r="600" s="452" spans="1:57">
      <c r="A600" s="44" t="n"/>
      <c r="J600" s="404" t="n"/>
      <c r="N600" s="404" t="n"/>
      <c r="R600" s="404" t="n"/>
      <c r="V600" s="404" t="n"/>
      <c r="Z600" s="404" t="n"/>
      <c r="AN600" s="537" t="n"/>
      <c r="AO600" s="537" t="n"/>
      <c r="AR600" s="537" t="n"/>
      <c r="AS600" s="537" t="n"/>
    </row>
    <row customHeight="1" ht="15.75" r="601" s="452" spans="1:57">
      <c r="A601" s="44" t="n"/>
      <c r="J601" s="404" t="n"/>
      <c r="N601" s="404" t="n"/>
      <c r="R601" s="404" t="n"/>
      <c r="V601" s="404" t="n"/>
      <c r="Z601" s="404" t="n"/>
      <c r="AN601" s="537" t="n"/>
      <c r="AO601" s="537" t="n"/>
      <c r="AR601" s="537" t="n"/>
      <c r="AS601" s="537" t="n"/>
    </row>
    <row customHeight="1" ht="15.75" r="602" s="452" spans="1:57">
      <c r="A602" s="44" t="n"/>
      <c r="J602" s="404" t="n"/>
      <c r="N602" s="404" t="n"/>
      <c r="R602" s="404" t="n"/>
      <c r="V602" s="404" t="n"/>
      <c r="Z602" s="404" t="n"/>
      <c r="AN602" s="537" t="n"/>
      <c r="AO602" s="537" t="n"/>
      <c r="AR602" s="537" t="n"/>
      <c r="AS602" s="537" t="n"/>
    </row>
    <row customHeight="1" ht="15.75" r="603" s="452" spans="1:57">
      <c r="A603" s="44" t="n"/>
      <c r="J603" s="404" t="n"/>
      <c r="N603" s="404" t="n"/>
      <c r="R603" s="404" t="n"/>
      <c r="V603" s="404" t="n"/>
      <c r="Z603" s="404" t="n"/>
      <c r="AN603" s="537" t="n"/>
      <c r="AO603" s="537" t="n"/>
      <c r="AR603" s="537" t="n"/>
      <c r="AS603" s="537" t="n"/>
    </row>
    <row customHeight="1" ht="15.75" r="604" s="452" spans="1:57">
      <c r="A604" s="44" t="n"/>
      <c r="J604" s="404" t="n"/>
      <c r="N604" s="404" t="n"/>
      <c r="R604" s="404" t="n"/>
      <c r="V604" s="404" t="n"/>
      <c r="Z604" s="404" t="n"/>
      <c r="AN604" s="537" t="n"/>
      <c r="AO604" s="537" t="n"/>
      <c r="AR604" s="537" t="n"/>
      <c r="AS604" s="537" t="n"/>
    </row>
    <row customHeight="1" ht="15.75" r="605" s="452" spans="1:57">
      <c r="A605" s="44" t="n"/>
      <c r="J605" s="404" t="n"/>
      <c r="N605" s="404" t="n"/>
      <c r="R605" s="404" t="n"/>
      <c r="V605" s="404" t="n"/>
      <c r="Z605" s="404" t="n"/>
      <c r="AN605" s="537" t="n"/>
      <c r="AO605" s="537" t="n"/>
      <c r="AR605" s="537" t="n"/>
      <c r="AS605" s="537" t="n"/>
    </row>
    <row customHeight="1" ht="15.75" r="606" s="452" spans="1:57">
      <c r="A606" s="44" t="n"/>
      <c r="J606" s="404" t="n"/>
      <c r="N606" s="404" t="n"/>
      <c r="R606" s="404" t="n"/>
      <c r="V606" s="404" t="n"/>
      <c r="Z606" s="404" t="n"/>
      <c r="AN606" s="537" t="n"/>
      <c r="AO606" s="537" t="n"/>
      <c r="AR606" s="537" t="n"/>
      <c r="AS606" s="537" t="n"/>
    </row>
    <row customHeight="1" ht="15.75" r="607" s="452" spans="1:57">
      <c r="A607" s="44" t="n"/>
      <c r="J607" s="404" t="n"/>
      <c r="N607" s="404" t="n"/>
      <c r="R607" s="404" t="n"/>
      <c r="V607" s="404" t="n"/>
      <c r="Z607" s="404" t="n"/>
      <c r="AN607" s="537" t="n"/>
      <c r="AO607" s="537" t="n"/>
      <c r="AR607" s="537" t="n"/>
      <c r="AS607" s="537" t="n"/>
    </row>
    <row customHeight="1" ht="15.75" r="608" s="452" spans="1:57">
      <c r="A608" s="44" t="n"/>
      <c r="J608" s="404" t="n"/>
      <c r="N608" s="404" t="n"/>
      <c r="R608" s="404" t="n"/>
      <c r="V608" s="404" t="n"/>
      <c r="Z608" s="404" t="n"/>
      <c r="AN608" s="537" t="n"/>
      <c r="AO608" s="537" t="n"/>
      <c r="AR608" s="537" t="n"/>
      <c r="AS608" s="537" t="n"/>
    </row>
    <row customHeight="1" ht="15.75" r="609" s="452" spans="1:57">
      <c r="A609" s="44" t="n"/>
      <c r="J609" s="404" t="n"/>
      <c r="N609" s="404" t="n"/>
      <c r="R609" s="404" t="n"/>
      <c r="V609" s="404" t="n"/>
      <c r="Z609" s="404" t="n"/>
      <c r="AN609" s="537" t="n"/>
      <c r="AO609" s="537" t="n"/>
      <c r="AR609" s="537" t="n"/>
      <c r="AS609" s="537" t="n"/>
    </row>
    <row customHeight="1" ht="15.75" r="610" s="452" spans="1:57">
      <c r="A610" s="44" t="n"/>
      <c r="J610" s="404" t="n"/>
      <c r="N610" s="404" t="n"/>
      <c r="R610" s="404" t="n"/>
      <c r="V610" s="404" t="n"/>
      <c r="Z610" s="404" t="n"/>
      <c r="AN610" s="537" t="n"/>
      <c r="AO610" s="537" t="n"/>
      <c r="AR610" s="537" t="n"/>
      <c r="AS610" s="537" t="n"/>
    </row>
    <row customHeight="1" ht="15.75" r="611" s="452" spans="1:57">
      <c r="A611" s="44" t="n"/>
      <c r="J611" s="404" t="n"/>
      <c r="N611" s="404" t="n"/>
      <c r="R611" s="404" t="n"/>
      <c r="V611" s="404" t="n"/>
      <c r="Z611" s="404" t="n"/>
      <c r="AN611" s="537" t="n"/>
      <c r="AO611" s="537" t="n"/>
      <c r="AR611" s="537" t="n"/>
      <c r="AS611" s="537" t="n"/>
    </row>
    <row customHeight="1" ht="15.75" r="612" s="452" spans="1:57">
      <c r="A612" s="44" t="n"/>
      <c r="J612" s="404" t="n"/>
      <c r="N612" s="404" t="n"/>
      <c r="R612" s="404" t="n"/>
      <c r="V612" s="404" t="n"/>
      <c r="Z612" s="404" t="n"/>
      <c r="AN612" s="537" t="n"/>
      <c r="AO612" s="537" t="n"/>
      <c r="AR612" s="537" t="n"/>
      <c r="AS612" s="537" t="n"/>
    </row>
    <row customHeight="1" ht="15.75" r="613" s="452" spans="1:57">
      <c r="A613" s="44" t="n"/>
      <c r="J613" s="404" t="n"/>
      <c r="N613" s="404" t="n"/>
      <c r="R613" s="404" t="n"/>
      <c r="V613" s="404" t="n"/>
      <c r="Z613" s="404" t="n"/>
      <c r="AN613" s="537" t="n"/>
      <c r="AO613" s="537" t="n"/>
      <c r="AR613" s="537" t="n"/>
      <c r="AS613" s="537" t="n"/>
    </row>
    <row customHeight="1" ht="15.75" r="614" s="452" spans="1:57">
      <c r="A614" s="44" t="n"/>
      <c r="J614" s="404" t="n"/>
      <c r="N614" s="404" t="n"/>
      <c r="R614" s="404" t="n"/>
      <c r="V614" s="404" t="n"/>
      <c r="Z614" s="404" t="n"/>
      <c r="AN614" s="537" t="n"/>
      <c r="AO614" s="537" t="n"/>
      <c r="AR614" s="537" t="n"/>
      <c r="AS614" s="537" t="n"/>
    </row>
    <row customHeight="1" ht="15.75" r="615" s="452" spans="1:57">
      <c r="A615" s="44" t="n"/>
      <c r="J615" s="404" t="n"/>
      <c r="N615" s="404" t="n"/>
      <c r="R615" s="404" t="n"/>
      <c r="V615" s="404" t="n"/>
      <c r="Z615" s="404" t="n"/>
      <c r="AN615" s="537" t="n"/>
      <c r="AO615" s="537" t="n"/>
      <c r="AR615" s="537" t="n"/>
      <c r="AS615" s="537" t="n"/>
    </row>
    <row customHeight="1" ht="15.75" r="616" s="452" spans="1:57">
      <c r="A616" s="44" t="n"/>
      <c r="J616" s="404" t="n"/>
      <c r="N616" s="404" t="n"/>
      <c r="R616" s="404" t="n"/>
      <c r="V616" s="404" t="n"/>
      <c r="Z616" s="404" t="n"/>
      <c r="AN616" s="537" t="n"/>
      <c r="AO616" s="537" t="n"/>
      <c r="AR616" s="537" t="n"/>
      <c r="AS616" s="537" t="n"/>
    </row>
    <row customHeight="1" ht="15.75" r="617" s="452" spans="1:57">
      <c r="A617" s="44" t="n"/>
      <c r="J617" s="404" t="n"/>
      <c r="N617" s="404" t="n"/>
      <c r="R617" s="404" t="n"/>
      <c r="V617" s="404" t="n"/>
      <c r="Z617" s="404" t="n"/>
      <c r="AN617" s="537" t="n"/>
      <c r="AO617" s="537" t="n"/>
      <c r="AR617" s="537" t="n"/>
      <c r="AS617" s="537" t="n"/>
    </row>
    <row customHeight="1" ht="15.75" r="618" s="452" spans="1:57">
      <c r="A618" s="44" t="n"/>
      <c r="J618" s="404" t="n"/>
      <c r="N618" s="404" t="n"/>
      <c r="R618" s="404" t="n"/>
      <c r="V618" s="404" t="n"/>
      <c r="Z618" s="404" t="n"/>
      <c r="AN618" s="537" t="n"/>
      <c r="AO618" s="537" t="n"/>
      <c r="AR618" s="537" t="n"/>
      <c r="AS618" s="537" t="n"/>
    </row>
    <row customHeight="1" ht="15.75" r="619" s="452" spans="1:57">
      <c r="A619" s="44" t="n"/>
      <c r="J619" s="404" t="n"/>
      <c r="N619" s="404" t="n"/>
      <c r="R619" s="404" t="n"/>
      <c r="V619" s="404" t="n"/>
      <c r="Z619" s="404" t="n"/>
      <c r="AN619" s="537" t="n"/>
      <c r="AO619" s="537" t="n"/>
      <c r="AR619" s="537" t="n"/>
      <c r="AS619" s="537" t="n"/>
    </row>
    <row customHeight="1" ht="15.75" r="620" s="452" spans="1:57">
      <c r="A620" s="44" t="n"/>
      <c r="J620" s="404" t="n"/>
      <c r="N620" s="404" t="n"/>
      <c r="R620" s="404" t="n"/>
      <c r="V620" s="404" t="n"/>
      <c r="Z620" s="404" t="n"/>
      <c r="AN620" s="537" t="n"/>
      <c r="AO620" s="537" t="n"/>
      <c r="AR620" s="537" t="n"/>
      <c r="AS620" s="537" t="n"/>
    </row>
    <row customHeight="1" ht="15.75" r="621" s="452" spans="1:57">
      <c r="A621" s="44" t="n"/>
      <c r="J621" s="404" t="n"/>
      <c r="N621" s="404" t="n"/>
      <c r="R621" s="404" t="n"/>
      <c r="V621" s="404" t="n"/>
      <c r="Z621" s="404" t="n"/>
      <c r="AN621" s="537" t="n"/>
      <c r="AO621" s="537" t="n"/>
      <c r="AR621" s="537" t="n"/>
      <c r="AS621" s="537" t="n"/>
    </row>
    <row customHeight="1" ht="15.75" r="622" s="452" spans="1:57">
      <c r="A622" s="44" t="n"/>
      <c r="J622" s="404" t="n"/>
      <c r="N622" s="404" t="n"/>
      <c r="R622" s="404" t="n"/>
      <c r="V622" s="404" t="n"/>
      <c r="Z622" s="404" t="n"/>
      <c r="AN622" s="537" t="n"/>
      <c r="AO622" s="537" t="n"/>
      <c r="AR622" s="537" t="n"/>
      <c r="AS622" s="537" t="n"/>
    </row>
    <row customHeight="1" ht="15.75" r="623" s="452" spans="1:57">
      <c r="A623" s="44" t="n"/>
      <c r="J623" s="404" t="n"/>
      <c r="N623" s="404" t="n"/>
      <c r="R623" s="404" t="n"/>
      <c r="V623" s="404" t="n"/>
      <c r="Z623" s="404" t="n"/>
      <c r="AN623" s="537" t="n"/>
      <c r="AO623" s="537" t="n"/>
      <c r="AR623" s="537" t="n"/>
      <c r="AS623" s="537" t="n"/>
    </row>
    <row customHeight="1" ht="15.75" r="624" s="452" spans="1:57">
      <c r="A624" s="44" t="n"/>
      <c r="J624" s="404" t="n"/>
      <c r="N624" s="404" t="n"/>
      <c r="R624" s="404" t="n"/>
      <c r="V624" s="404" t="n"/>
      <c r="Z624" s="404" t="n"/>
      <c r="AN624" s="537" t="n"/>
      <c r="AO624" s="537" t="n"/>
      <c r="AR624" s="537" t="n"/>
      <c r="AS624" s="537" t="n"/>
    </row>
    <row customHeight="1" ht="15.75" r="625" s="452" spans="1:57">
      <c r="A625" s="44" t="n"/>
      <c r="J625" s="404" t="n"/>
      <c r="N625" s="404" t="n"/>
      <c r="R625" s="404" t="n"/>
      <c r="V625" s="404" t="n"/>
      <c r="Z625" s="404" t="n"/>
      <c r="AN625" s="537" t="n"/>
      <c r="AO625" s="537" t="n"/>
      <c r="AR625" s="537" t="n"/>
      <c r="AS625" s="537" t="n"/>
    </row>
    <row customHeight="1" ht="15.75" r="626" s="452" spans="1:57">
      <c r="A626" s="44" t="n"/>
      <c r="J626" s="404" t="n"/>
      <c r="N626" s="404" t="n"/>
      <c r="R626" s="404" t="n"/>
      <c r="V626" s="404" t="n"/>
      <c r="Z626" s="404" t="n"/>
      <c r="AN626" s="537" t="n"/>
      <c r="AO626" s="537" t="n"/>
      <c r="AR626" s="537" t="n"/>
      <c r="AS626" s="537" t="n"/>
    </row>
    <row customHeight="1" ht="15.75" r="627" s="452" spans="1:57">
      <c r="A627" s="44" t="n"/>
      <c r="J627" s="404" t="n"/>
      <c r="N627" s="404" t="n"/>
      <c r="R627" s="404" t="n"/>
      <c r="V627" s="404" t="n"/>
      <c r="Z627" s="404" t="n"/>
      <c r="AN627" s="537" t="n"/>
      <c r="AO627" s="537" t="n"/>
      <c r="AR627" s="537" t="n"/>
      <c r="AS627" s="537" t="n"/>
    </row>
    <row customHeight="1" ht="15.75" r="628" s="452" spans="1:57">
      <c r="A628" s="44" t="n"/>
      <c r="J628" s="404" t="n"/>
      <c r="N628" s="404" t="n"/>
      <c r="R628" s="404" t="n"/>
      <c r="V628" s="404" t="n"/>
      <c r="Z628" s="404" t="n"/>
      <c r="AN628" s="537" t="n"/>
      <c r="AO628" s="537" t="n"/>
      <c r="AR628" s="537" t="n"/>
      <c r="AS628" s="537" t="n"/>
    </row>
    <row customHeight="1" ht="15.75" r="629" s="452" spans="1:57">
      <c r="A629" s="44" t="n"/>
      <c r="J629" s="404" t="n"/>
      <c r="N629" s="404" t="n"/>
      <c r="R629" s="404" t="n"/>
      <c r="V629" s="404" t="n"/>
      <c r="Z629" s="404" t="n"/>
      <c r="AN629" s="537" t="n"/>
      <c r="AO629" s="537" t="n"/>
      <c r="AR629" s="537" t="n"/>
      <c r="AS629" s="537" t="n"/>
    </row>
    <row customHeight="1" ht="15.75" r="630" s="452" spans="1:57">
      <c r="A630" s="44" t="n"/>
      <c r="J630" s="404" t="n"/>
      <c r="N630" s="404" t="n"/>
      <c r="R630" s="404" t="n"/>
      <c r="V630" s="404" t="n"/>
      <c r="Z630" s="404" t="n"/>
      <c r="AN630" s="537" t="n"/>
      <c r="AO630" s="537" t="n"/>
      <c r="AR630" s="537" t="n"/>
      <c r="AS630" s="537" t="n"/>
    </row>
    <row customHeight="1" ht="15.75" r="631" s="452" spans="1:57">
      <c r="A631" s="44" t="n"/>
      <c r="J631" s="404" t="n"/>
      <c r="N631" s="404" t="n"/>
      <c r="R631" s="404" t="n"/>
      <c r="V631" s="404" t="n"/>
      <c r="Z631" s="404" t="n"/>
      <c r="AN631" s="537" t="n"/>
      <c r="AO631" s="537" t="n"/>
      <c r="AR631" s="537" t="n"/>
      <c r="AS631" s="537" t="n"/>
    </row>
    <row customHeight="1" ht="15.75" r="632" s="452" spans="1:57">
      <c r="A632" s="44" t="n"/>
      <c r="J632" s="404" t="n"/>
      <c r="N632" s="404" t="n"/>
      <c r="R632" s="404" t="n"/>
      <c r="V632" s="404" t="n"/>
      <c r="Z632" s="404" t="n"/>
      <c r="AN632" s="537" t="n"/>
      <c r="AO632" s="537" t="n"/>
      <c r="AR632" s="537" t="n"/>
      <c r="AS632" s="537" t="n"/>
    </row>
    <row customHeight="1" ht="15.75" r="633" s="452" spans="1:57">
      <c r="A633" s="44" t="n"/>
      <c r="J633" s="404" t="n"/>
      <c r="N633" s="404" t="n"/>
      <c r="R633" s="404" t="n"/>
      <c r="V633" s="404" t="n"/>
      <c r="Z633" s="404" t="n"/>
      <c r="AN633" s="537" t="n"/>
      <c r="AO633" s="537" t="n"/>
      <c r="AR633" s="537" t="n"/>
      <c r="AS633" s="537" t="n"/>
    </row>
    <row customHeight="1" ht="15.75" r="634" s="452" spans="1:57">
      <c r="A634" s="44" t="n"/>
      <c r="J634" s="404" t="n"/>
      <c r="N634" s="404" t="n"/>
      <c r="R634" s="404" t="n"/>
      <c r="V634" s="404" t="n"/>
      <c r="Z634" s="404" t="n"/>
      <c r="AN634" s="537" t="n"/>
      <c r="AO634" s="537" t="n"/>
      <c r="AR634" s="537" t="n"/>
      <c r="AS634" s="537" t="n"/>
    </row>
    <row customHeight="1" ht="15.75" r="635" s="452" spans="1:57">
      <c r="A635" s="44" t="n"/>
      <c r="J635" s="404" t="n"/>
      <c r="N635" s="404" t="n"/>
      <c r="R635" s="404" t="n"/>
      <c r="V635" s="404" t="n"/>
      <c r="Z635" s="404" t="n"/>
      <c r="AN635" s="537" t="n"/>
      <c r="AO635" s="537" t="n"/>
      <c r="AR635" s="537" t="n"/>
      <c r="AS635" s="537" t="n"/>
    </row>
    <row customHeight="1" ht="15.75" r="636" s="452" spans="1:57">
      <c r="A636" s="44" t="n"/>
      <c r="J636" s="404" t="n"/>
      <c r="N636" s="404" t="n"/>
      <c r="R636" s="404" t="n"/>
      <c r="V636" s="404" t="n"/>
      <c r="Z636" s="404" t="n"/>
      <c r="AN636" s="537" t="n"/>
      <c r="AO636" s="537" t="n"/>
      <c r="AR636" s="537" t="n"/>
      <c r="AS636" s="537" t="n"/>
    </row>
    <row customHeight="1" ht="15.75" r="637" s="452" spans="1:57">
      <c r="A637" s="44" t="n"/>
      <c r="J637" s="404" t="n"/>
      <c r="N637" s="404" t="n"/>
      <c r="R637" s="404" t="n"/>
      <c r="V637" s="404" t="n"/>
      <c r="Z637" s="404" t="n"/>
      <c r="AN637" s="537" t="n"/>
      <c r="AO637" s="537" t="n"/>
      <c r="AR637" s="537" t="n"/>
      <c r="AS637" s="537" t="n"/>
    </row>
    <row customHeight="1" ht="15.75" r="638" s="452" spans="1:57">
      <c r="A638" s="44" t="n"/>
      <c r="J638" s="404" t="n"/>
      <c r="N638" s="404" t="n"/>
      <c r="R638" s="404" t="n"/>
      <c r="V638" s="404" t="n"/>
      <c r="Z638" s="404" t="n"/>
      <c r="AN638" s="537" t="n"/>
      <c r="AO638" s="537" t="n"/>
      <c r="AR638" s="537" t="n"/>
      <c r="AS638" s="537" t="n"/>
    </row>
    <row customHeight="1" ht="15.75" r="639" s="452" spans="1:57">
      <c r="A639" s="44" t="n"/>
      <c r="J639" s="404" t="n"/>
      <c r="N639" s="404" t="n"/>
      <c r="R639" s="404" t="n"/>
      <c r="V639" s="404" t="n"/>
      <c r="Z639" s="404" t="n"/>
      <c r="AN639" s="537" t="n"/>
      <c r="AO639" s="537" t="n"/>
      <c r="AR639" s="537" t="n"/>
      <c r="AS639" s="537" t="n"/>
    </row>
    <row customHeight="1" ht="15.75" r="640" s="452" spans="1:57">
      <c r="A640" s="44" t="n"/>
      <c r="J640" s="404" t="n"/>
      <c r="N640" s="404" t="n"/>
      <c r="R640" s="404" t="n"/>
      <c r="V640" s="404" t="n"/>
      <c r="Z640" s="404" t="n"/>
      <c r="AN640" s="537" t="n"/>
      <c r="AO640" s="537" t="n"/>
      <c r="AR640" s="537" t="n"/>
      <c r="AS640" s="537" t="n"/>
    </row>
    <row customHeight="1" ht="15.75" r="641" s="452" spans="1:57">
      <c r="A641" s="44" t="n"/>
      <c r="J641" s="404" t="n"/>
      <c r="N641" s="404" t="n"/>
      <c r="R641" s="404" t="n"/>
      <c r="V641" s="404" t="n"/>
      <c r="Z641" s="404" t="n"/>
      <c r="AN641" s="537" t="n"/>
      <c r="AO641" s="537" t="n"/>
      <c r="AR641" s="537" t="n"/>
      <c r="AS641" s="537" t="n"/>
    </row>
    <row customHeight="1" ht="15.75" r="642" s="452" spans="1:57">
      <c r="A642" s="44" t="n"/>
      <c r="J642" s="404" t="n"/>
      <c r="N642" s="404" t="n"/>
      <c r="R642" s="404" t="n"/>
      <c r="V642" s="404" t="n"/>
      <c r="Z642" s="404" t="n"/>
      <c r="AN642" s="537" t="n"/>
      <c r="AO642" s="537" t="n"/>
      <c r="AR642" s="537" t="n"/>
      <c r="AS642" s="537" t="n"/>
    </row>
    <row customHeight="1" ht="15.75" r="643" s="452" spans="1:57">
      <c r="A643" s="44" t="n"/>
      <c r="J643" s="404" t="n"/>
      <c r="N643" s="404" t="n"/>
      <c r="R643" s="404" t="n"/>
      <c r="V643" s="404" t="n"/>
      <c r="Z643" s="404" t="n"/>
      <c r="AN643" s="537" t="n"/>
      <c r="AO643" s="537" t="n"/>
      <c r="AR643" s="537" t="n"/>
      <c r="AS643" s="537" t="n"/>
    </row>
    <row customHeight="1" ht="15.75" r="644" s="452" spans="1:57">
      <c r="A644" s="44" t="n"/>
      <c r="J644" s="404" t="n"/>
      <c r="N644" s="404" t="n"/>
      <c r="R644" s="404" t="n"/>
      <c r="V644" s="404" t="n"/>
      <c r="Z644" s="404" t="n"/>
      <c r="AN644" s="537" t="n"/>
      <c r="AO644" s="537" t="n"/>
      <c r="AR644" s="537" t="n"/>
      <c r="AS644" s="537" t="n"/>
    </row>
    <row customHeight="1" ht="15.75" r="645" s="452" spans="1:57">
      <c r="A645" s="44" t="n"/>
      <c r="J645" s="404" t="n"/>
      <c r="N645" s="404" t="n"/>
      <c r="R645" s="404" t="n"/>
      <c r="V645" s="404" t="n"/>
      <c r="Z645" s="404" t="n"/>
      <c r="AN645" s="537" t="n"/>
      <c r="AO645" s="537" t="n"/>
      <c r="AR645" s="537" t="n"/>
      <c r="AS645" s="537" t="n"/>
    </row>
    <row customHeight="1" ht="15.75" r="646" s="452" spans="1:57">
      <c r="A646" s="44" t="n"/>
      <c r="J646" s="404" t="n"/>
      <c r="N646" s="404" t="n"/>
      <c r="R646" s="404" t="n"/>
      <c r="V646" s="404" t="n"/>
      <c r="Z646" s="404" t="n"/>
      <c r="AN646" s="537" t="n"/>
      <c r="AO646" s="537" t="n"/>
      <c r="AR646" s="537" t="n"/>
      <c r="AS646" s="537" t="n"/>
    </row>
    <row customHeight="1" ht="15.75" r="647" s="452" spans="1:57">
      <c r="A647" s="44" t="n"/>
      <c r="J647" s="404" t="n"/>
      <c r="N647" s="404" t="n"/>
      <c r="R647" s="404" t="n"/>
      <c r="V647" s="404" t="n"/>
      <c r="Z647" s="404" t="n"/>
      <c r="AN647" s="537" t="n"/>
      <c r="AO647" s="537" t="n"/>
      <c r="AR647" s="537" t="n"/>
      <c r="AS647" s="537" t="n"/>
    </row>
    <row customHeight="1" ht="15.75" r="648" s="452" spans="1:57">
      <c r="A648" s="44" t="n"/>
      <c r="J648" s="404" t="n"/>
      <c r="N648" s="404" t="n"/>
      <c r="R648" s="404" t="n"/>
      <c r="V648" s="404" t="n"/>
      <c r="Z648" s="404" t="n"/>
      <c r="AN648" s="537" t="n"/>
      <c r="AO648" s="537" t="n"/>
      <c r="AR648" s="537" t="n"/>
      <c r="AS648" s="537" t="n"/>
    </row>
    <row customHeight="1" ht="15.75" r="649" s="452" spans="1:57">
      <c r="A649" s="44" t="n"/>
      <c r="J649" s="404" t="n"/>
      <c r="N649" s="404" t="n"/>
      <c r="R649" s="404" t="n"/>
      <c r="V649" s="404" t="n"/>
      <c r="Z649" s="404" t="n"/>
      <c r="AN649" s="537" t="n"/>
      <c r="AO649" s="537" t="n"/>
      <c r="AR649" s="537" t="n"/>
      <c r="AS649" s="537" t="n"/>
    </row>
    <row customHeight="1" ht="15.75" r="650" s="452" spans="1:57">
      <c r="A650" s="44" t="n"/>
      <c r="J650" s="404" t="n"/>
      <c r="N650" s="404" t="n"/>
      <c r="R650" s="404" t="n"/>
      <c r="V650" s="404" t="n"/>
      <c r="Z650" s="404" t="n"/>
      <c r="AN650" s="537" t="n"/>
      <c r="AO650" s="537" t="n"/>
      <c r="AR650" s="537" t="n"/>
      <c r="AS650" s="537" t="n"/>
    </row>
    <row customHeight="1" ht="15.75" r="651" s="452" spans="1:57">
      <c r="A651" s="44" t="n"/>
      <c r="J651" s="404" t="n"/>
      <c r="N651" s="404" t="n"/>
      <c r="R651" s="404" t="n"/>
      <c r="V651" s="404" t="n"/>
      <c r="Z651" s="404" t="n"/>
      <c r="AN651" s="537" t="n"/>
      <c r="AO651" s="537" t="n"/>
      <c r="AR651" s="537" t="n"/>
      <c r="AS651" s="537" t="n"/>
    </row>
    <row customHeight="1" ht="15.75" r="652" s="452" spans="1:57">
      <c r="A652" s="44" t="n"/>
      <c r="J652" s="404" t="n"/>
      <c r="N652" s="404" t="n"/>
      <c r="R652" s="404" t="n"/>
      <c r="V652" s="404" t="n"/>
      <c r="Z652" s="404" t="n"/>
      <c r="AN652" s="537" t="n"/>
      <c r="AO652" s="537" t="n"/>
      <c r="AR652" s="537" t="n"/>
      <c r="AS652" s="537" t="n"/>
    </row>
    <row customHeight="1" ht="15.75" r="653" s="452" spans="1:57">
      <c r="A653" s="44" t="n"/>
      <c r="J653" s="404" t="n"/>
      <c r="N653" s="404" t="n"/>
      <c r="R653" s="404" t="n"/>
      <c r="V653" s="404" t="n"/>
      <c r="Z653" s="404" t="n"/>
      <c r="AN653" s="537" t="n"/>
      <c r="AO653" s="537" t="n"/>
      <c r="AR653" s="537" t="n"/>
      <c r="AS653" s="537" t="n"/>
    </row>
    <row customHeight="1" ht="15.75" r="654" s="452" spans="1:57">
      <c r="A654" s="44" t="n"/>
      <c r="J654" s="404" t="n"/>
      <c r="N654" s="404" t="n"/>
      <c r="R654" s="404" t="n"/>
      <c r="V654" s="404" t="n"/>
      <c r="Z654" s="404" t="n"/>
      <c r="AN654" s="537" t="n"/>
      <c r="AO654" s="537" t="n"/>
      <c r="AR654" s="537" t="n"/>
      <c r="AS654" s="537" t="n"/>
    </row>
    <row customHeight="1" ht="15.75" r="655" s="452" spans="1:57">
      <c r="A655" s="44" t="n"/>
      <c r="J655" s="404" t="n"/>
      <c r="N655" s="404" t="n"/>
      <c r="R655" s="404" t="n"/>
      <c r="V655" s="404" t="n"/>
      <c r="Z655" s="404" t="n"/>
      <c r="AN655" s="537" t="n"/>
      <c r="AO655" s="537" t="n"/>
      <c r="AR655" s="537" t="n"/>
      <c r="AS655" s="537" t="n"/>
    </row>
    <row customHeight="1" ht="15.75" r="656" s="452" spans="1:57">
      <c r="A656" s="44" t="n"/>
      <c r="J656" s="404" t="n"/>
      <c r="N656" s="404" t="n"/>
      <c r="R656" s="404" t="n"/>
      <c r="V656" s="404" t="n"/>
      <c r="Z656" s="404" t="n"/>
      <c r="AN656" s="537" t="n"/>
      <c r="AO656" s="537" t="n"/>
      <c r="AR656" s="537" t="n"/>
      <c r="AS656" s="537" t="n"/>
    </row>
    <row customHeight="1" ht="15.75" r="657" s="452" spans="1:57">
      <c r="A657" s="44" t="n"/>
      <c r="J657" s="404" t="n"/>
      <c r="N657" s="404" t="n"/>
      <c r="R657" s="404" t="n"/>
      <c r="V657" s="404" t="n"/>
      <c r="Z657" s="404" t="n"/>
      <c r="AN657" s="537" t="n"/>
      <c r="AO657" s="537" t="n"/>
      <c r="AR657" s="537" t="n"/>
      <c r="AS657" s="537" t="n"/>
    </row>
    <row customHeight="1" ht="15.75" r="658" s="452" spans="1:57">
      <c r="A658" s="44" t="n"/>
      <c r="J658" s="404" t="n"/>
      <c r="N658" s="404" t="n"/>
      <c r="R658" s="404" t="n"/>
      <c r="V658" s="404" t="n"/>
      <c r="Z658" s="404" t="n"/>
      <c r="AN658" s="537" t="n"/>
      <c r="AO658" s="537" t="n"/>
      <c r="AR658" s="537" t="n"/>
      <c r="AS658" s="537" t="n"/>
    </row>
    <row customHeight="1" ht="15.75" r="659" s="452" spans="1:57">
      <c r="A659" s="44" t="n"/>
      <c r="J659" s="404" t="n"/>
      <c r="N659" s="404" t="n"/>
      <c r="R659" s="404" t="n"/>
      <c r="V659" s="404" t="n"/>
      <c r="Z659" s="404" t="n"/>
      <c r="AN659" s="537" t="n"/>
      <c r="AO659" s="537" t="n"/>
      <c r="AR659" s="537" t="n"/>
      <c r="AS659" s="537" t="n"/>
    </row>
    <row customHeight="1" ht="15.75" r="660" s="452" spans="1:57">
      <c r="A660" s="44" t="n"/>
      <c r="J660" s="404" t="n"/>
      <c r="N660" s="404" t="n"/>
      <c r="R660" s="404" t="n"/>
      <c r="V660" s="404" t="n"/>
      <c r="Z660" s="404" t="n"/>
      <c r="AN660" s="537" t="n"/>
      <c r="AO660" s="537" t="n"/>
      <c r="AR660" s="537" t="n"/>
      <c r="AS660" s="537" t="n"/>
    </row>
    <row customHeight="1" ht="15.75" r="661" s="452" spans="1:57">
      <c r="A661" s="44" t="n"/>
      <c r="J661" s="404" t="n"/>
      <c r="N661" s="404" t="n"/>
      <c r="R661" s="404" t="n"/>
      <c r="V661" s="404" t="n"/>
      <c r="Z661" s="404" t="n"/>
      <c r="AN661" s="537" t="n"/>
      <c r="AO661" s="537" t="n"/>
      <c r="AR661" s="537" t="n"/>
      <c r="AS661" s="537" t="n"/>
    </row>
    <row customHeight="1" ht="15.75" r="662" s="452" spans="1:57">
      <c r="A662" s="44" t="n"/>
      <c r="J662" s="404" t="n"/>
      <c r="N662" s="404" t="n"/>
      <c r="R662" s="404" t="n"/>
      <c r="V662" s="404" t="n"/>
      <c r="Z662" s="404" t="n"/>
      <c r="AN662" s="537" t="n"/>
      <c r="AO662" s="537" t="n"/>
      <c r="AR662" s="537" t="n"/>
      <c r="AS662" s="537" t="n"/>
    </row>
    <row customHeight="1" ht="15.75" r="663" s="452" spans="1:57">
      <c r="A663" s="44" t="n"/>
      <c r="J663" s="404" t="n"/>
      <c r="N663" s="404" t="n"/>
      <c r="R663" s="404" t="n"/>
      <c r="V663" s="404" t="n"/>
      <c r="Z663" s="404" t="n"/>
      <c r="AN663" s="537" t="n"/>
      <c r="AO663" s="537" t="n"/>
      <c r="AR663" s="537" t="n"/>
      <c r="AS663" s="537" t="n"/>
    </row>
    <row customHeight="1" ht="15.75" r="664" s="452" spans="1:57">
      <c r="A664" s="44" t="n"/>
      <c r="J664" s="404" t="n"/>
      <c r="N664" s="404" t="n"/>
      <c r="R664" s="404" t="n"/>
      <c r="V664" s="404" t="n"/>
      <c r="Z664" s="404" t="n"/>
      <c r="AN664" s="537" t="n"/>
      <c r="AO664" s="537" t="n"/>
      <c r="AR664" s="537" t="n"/>
      <c r="AS664" s="537" t="n"/>
    </row>
    <row customHeight="1" ht="15.75" r="665" s="452" spans="1:57">
      <c r="A665" s="44" t="n"/>
      <c r="J665" s="404" t="n"/>
      <c r="N665" s="404" t="n"/>
      <c r="R665" s="404" t="n"/>
      <c r="V665" s="404" t="n"/>
      <c r="Z665" s="404" t="n"/>
      <c r="AN665" s="537" t="n"/>
      <c r="AO665" s="537" t="n"/>
      <c r="AR665" s="537" t="n"/>
      <c r="AS665" s="537" t="n"/>
    </row>
    <row customHeight="1" ht="15.75" r="666" s="452" spans="1:57">
      <c r="A666" s="44" t="n"/>
      <c r="J666" s="404" t="n"/>
      <c r="N666" s="404" t="n"/>
      <c r="R666" s="404" t="n"/>
      <c r="V666" s="404" t="n"/>
      <c r="Z666" s="404" t="n"/>
      <c r="AN666" s="537" t="n"/>
      <c r="AO666" s="537" t="n"/>
      <c r="AR666" s="537" t="n"/>
      <c r="AS666" s="537" t="n"/>
    </row>
    <row customHeight="1" ht="15.75" r="667" s="452" spans="1:57">
      <c r="A667" s="44" t="n"/>
      <c r="J667" s="404" t="n"/>
      <c r="N667" s="404" t="n"/>
      <c r="R667" s="404" t="n"/>
      <c r="V667" s="404" t="n"/>
      <c r="Z667" s="404" t="n"/>
      <c r="AN667" s="537" t="n"/>
      <c r="AO667" s="537" t="n"/>
      <c r="AR667" s="537" t="n"/>
      <c r="AS667" s="537" t="n"/>
    </row>
    <row customHeight="1" ht="15.75" r="668" s="452" spans="1:57">
      <c r="A668" s="44" t="n"/>
      <c r="J668" s="404" t="n"/>
      <c r="N668" s="404" t="n"/>
      <c r="R668" s="404" t="n"/>
      <c r="V668" s="404" t="n"/>
      <c r="Z668" s="404" t="n"/>
      <c r="AN668" s="537" t="n"/>
      <c r="AO668" s="537" t="n"/>
      <c r="AR668" s="537" t="n"/>
      <c r="AS668" s="537" t="n"/>
    </row>
    <row customHeight="1" ht="15.75" r="669" s="452" spans="1:57">
      <c r="A669" s="44" t="n"/>
      <c r="J669" s="404" t="n"/>
      <c r="N669" s="404" t="n"/>
      <c r="R669" s="404" t="n"/>
      <c r="V669" s="404" t="n"/>
      <c r="Z669" s="404" t="n"/>
      <c r="AN669" s="537" t="n"/>
      <c r="AO669" s="537" t="n"/>
      <c r="AR669" s="537" t="n"/>
      <c r="AS669" s="537" t="n"/>
    </row>
    <row customHeight="1" ht="15.75" r="670" s="452" spans="1:57">
      <c r="A670" s="44" t="n"/>
      <c r="J670" s="404" t="n"/>
      <c r="N670" s="404" t="n"/>
      <c r="R670" s="404" t="n"/>
      <c r="V670" s="404" t="n"/>
      <c r="Z670" s="404" t="n"/>
      <c r="AN670" s="537" t="n"/>
      <c r="AO670" s="537" t="n"/>
      <c r="AR670" s="537" t="n"/>
      <c r="AS670" s="537" t="n"/>
    </row>
    <row customHeight="1" ht="15.75" r="671" s="452" spans="1:57">
      <c r="A671" s="44" t="n"/>
      <c r="J671" s="404" t="n"/>
      <c r="N671" s="404" t="n"/>
      <c r="R671" s="404" t="n"/>
      <c r="V671" s="404" t="n"/>
      <c r="Z671" s="404" t="n"/>
      <c r="AN671" s="537" t="n"/>
      <c r="AO671" s="537" t="n"/>
      <c r="AR671" s="537" t="n"/>
      <c r="AS671" s="537" t="n"/>
    </row>
    <row customHeight="1" ht="15.75" r="672" s="452" spans="1:57">
      <c r="A672" s="44" t="n"/>
      <c r="J672" s="404" t="n"/>
      <c r="N672" s="404" t="n"/>
      <c r="R672" s="404" t="n"/>
      <c r="V672" s="404" t="n"/>
      <c r="Z672" s="404" t="n"/>
      <c r="AN672" s="537" t="n"/>
      <c r="AO672" s="537" t="n"/>
      <c r="AR672" s="537" t="n"/>
      <c r="AS672" s="537" t="n"/>
    </row>
    <row customHeight="1" ht="15.75" r="673" s="452" spans="1:57">
      <c r="A673" s="44" t="n"/>
      <c r="J673" s="404" t="n"/>
      <c r="N673" s="404" t="n"/>
      <c r="R673" s="404" t="n"/>
      <c r="V673" s="404" t="n"/>
      <c r="Z673" s="404" t="n"/>
      <c r="AN673" s="537" t="n"/>
      <c r="AO673" s="537" t="n"/>
      <c r="AR673" s="537" t="n"/>
      <c r="AS673" s="537" t="n"/>
    </row>
    <row customHeight="1" ht="15.75" r="674" s="452" spans="1:57">
      <c r="A674" s="44" t="n"/>
      <c r="J674" s="404" t="n"/>
      <c r="N674" s="404" t="n"/>
      <c r="R674" s="404" t="n"/>
      <c r="V674" s="404" t="n"/>
      <c r="Z674" s="404" t="n"/>
      <c r="AN674" s="537" t="n"/>
      <c r="AO674" s="537" t="n"/>
      <c r="AR674" s="537" t="n"/>
      <c r="AS674" s="537" t="n"/>
    </row>
    <row customHeight="1" ht="15.75" r="675" s="452" spans="1:57">
      <c r="A675" s="44" t="n"/>
      <c r="J675" s="404" t="n"/>
      <c r="N675" s="404" t="n"/>
      <c r="R675" s="404" t="n"/>
      <c r="V675" s="404" t="n"/>
      <c r="Z675" s="404" t="n"/>
      <c r="AN675" s="537" t="n"/>
      <c r="AO675" s="537" t="n"/>
      <c r="AR675" s="537" t="n"/>
      <c r="AS675" s="537" t="n"/>
    </row>
    <row customHeight="1" ht="15.75" r="676" s="452" spans="1:57">
      <c r="A676" s="44" t="n"/>
      <c r="J676" s="404" t="n"/>
      <c r="N676" s="404" t="n"/>
      <c r="R676" s="404" t="n"/>
      <c r="V676" s="404" t="n"/>
      <c r="Z676" s="404" t="n"/>
      <c r="AN676" s="537" t="n"/>
      <c r="AO676" s="537" t="n"/>
      <c r="AR676" s="537" t="n"/>
      <c r="AS676" s="537" t="n"/>
    </row>
    <row customHeight="1" ht="15.75" r="677" s="452" spans="1:57">
      <c r="A677" s="44" t="n"/>
      <c r="J677" s="404" t="n"/>
      <c r="N677" s="404" t="n"/>
      <c r="R677" s="404" t="n"/>
      <c r="V677" s="404" t="n"/>
      <c r="Z677" s="404" t="n"/>
      <c r="AN677" s="537" t="n"/>
      <c r="AO677" s="537" t="n"/>
      <c r="AR677" s="537" t="n"/>
      <c r="AS677" s="537" t="n"/>
    </row>
    <row customHeight="1" ht="15.75" r="678" s="452" spans="1:57">
      <c r="A678" s="44" t="n"/>
      <c r="J678" s="404" t="n"/>
      <c r="N678" s="404" t="n"/>
      <c r="R678" s="404" t="n"/>
      <c r="V678" s="404" t="n"/>
      <c r="Z678" s="404" t="n"/>
      <c r="AN678" s="537" t="n"/>
      <c r="AO678" s="537" t="n"/>
      <c r="AR678" s="537" t="n"/>
      <c r="AS678" s="537" t="n"/>
    </row>
    <row customHeight="1" ht="15.75" r="679" s="452" spans="1:57">
      <c r="A679" s="44" t="n"/>
      <c r="J679" s="404" t="n"/>
      <c r="N679" s="404" t="n"/>
      <c r="R679" s="404" t="n"/>
      <c r="V679" s="404" t="n"/>
      <c r="Z679" s="404" t="n"/>
      <c r="AN679" s="537" t="n"/>
      <c r="AO679" s="537" t="n"/>
      <c r="AR679" s="537" t="n"/>
      <c r="AS679" s="537" t="n"/>
    </row>
    <row customHeight="1" ht="15.75" r="680" s="452" spans="1:57">
      <c r="A680" s="44" t="n"/>
      <c r="J680" s="404" t="n"/>
      <c r="N680" s="404" t="n"/>
      <c r="R680" s="404" t="n"/>
      <c r="V680" s="404" t="n"/>
      <c r="Z680" s="404" t="n"/>
      <c r="AN680" s="537" t="n"/>
      <c r="AO680" s="537" t="n"/>
      <c r="AR680" s="537" t="n"/>
      <c r="AS680" s="537" t="n"/>
    </row>
    <row customHeight="1" ht="15.75" r="681" s="452" spans="1:57">
      <c r="A681" s="44" t="n"/>
      <c r="J681" s="404" t="n"/>
      <c r="N681" s="404" t="n"/>
      <c r="R681" s="404" t="n"/>
      <c r="V681" s="404" t="n"/>
      <c r="Z681" s="404" t="n"/>
      <c r="AN681" s="537" t="n"/>
      <c r="AO681" s="537" t="n"/>
      <c r="AR681" s="537" t="n"/>
      <c r="AS681" s="537" t="n"/>
    </row>
    <row customHeight="1" ht="15.75" r="682" s="452" spans="1:57">
      <c r="A682" s="44" t="n"/>
      <c r="J682" s="404" t="n"/>
      <c r="N682" s="404" t="n"/>
      <c r="R682" s="404" t="n"/>
      <c r="V682" s="404" t="n"/>
      <c r="Z682" s="404" t="n"/>
      <c r="AN682" s="537" t="n"/>
      <c r="AO682" s="537" t="n"/>
      <c r="AR682" s="537" t="n"/>
      <c r="AS682" s="537" t="n"/>
    </row>
    <row customHeight="1" ht="15.75" r="683" s="452" spans="1:57">
      <c r="A683" s="44" t="n"/>
      <c r="J683" s="404" t="n"/>
      <c r="N683" s="404" t="n"/>
      <c r="R683" s="404" t="n"/>
      <c r="V683" s="404" t="n"/>
      <c r="Z683" s="404" t="n"/>
      <c r="AN683" s="537" t="n"/>
      <c r="AO683" s="537" t="n"/>
      <c r="AR683" s="537" t="n"/>
      <c r="AS683" s="537" t="n"/>
    </row>
    <row customHeight="1" ht="15.75" r="684" s="452" spans="1:57">
      <c r="A684" s="44" t="n"/>
      <c r="J684" s="404" t="n"/>
      <c r="N684" s="404" t="n"/>
      <c r="R684" s="404" t="n"/>
      <c r="V684" s="404" t="n"/>
      <c r="Z684" s="404" t="n"/>
      <c r="AN684" s="537" t="n"/>
      <c r="AO684" s="537" t="n"/>
      <c r="AR684" s="537" t="n"/>
      <c r="AS684" s="537" t="n"/>
    </row>
    <row customHeight="1" ht="15.75" r="685" s="452" spans="1:57">
      <c r="A685" s="44" t="n"/>
      <c r="J685" s="404" t="n"/>
      <c r="N685" s="404" t="n"/>
      <c r="R685" s="404" t="n"/>
      <c r="V685" s="404" t="n"/>
      <c r="Z685" s="404" t="n"/>
      <c r="AN685" s="537" t="n"/>
      <c r="AO685" s="537" t="n"/>
      <c r="AR685" s="537" t="n"/>
      <c r="AS685" s="537" t="n"/>
    </row>
    <row customHeight="1" ht="15.75" r="686" s="452" spans="1:57">
      <c r="A686" s="44" t="n"/>
      <c r="J686" s="404" t="n"/>
      <c r="N686" s="404" t="n"/>
      <c r="R686" s="404" t="n"/>
      <c r="V686" s="404" t="n"/>
      <c r="Z686" s="404" t="n"/>
      <c r="AN686" s="537" t="n"/>
      <c r="AO686" s="537" t="n"/>
      <c r="AR686" s="537" t="n"/>
      <c r="AS686" s="537" t="n"/>
    </row>
    <row customHeight="1" ht="15.75" r="687" s="452" spans="1:57">
      <c r="A687" s="44" t="n"/>
      <c r="J687" s="404" t="n"/>
      <c r="N687" s="404" t="n"/>
      <c r="R687" s="404" t="n"/>
      <c r="V687" s="404" t="n"/>
      <c r="Z687" s="404" t="n"/>
      <c r="AN687" s="537" t="n"/>
      <c r="AO687" s="537" t="n"/>
      <c r="AR687" s="537" t="n"/>
      <c r="AS687" s="537" t="n"/>
    </row>
    <row customHeight="1" ht="15.75" r="688" s="452" spans="1:57">
      <c r="A688" s="44" t="n"/>
      <c r="J688" s="404" t="n"/>
      <c r="N688" s="404" t="n"/>
      <c r="R688" s="404" t="n"/>
      <c r="V688" s="404" t="n"/>
      <c r="Z688" s="404" t="n"/>
      <c r="AN688" s="537" t="n"/>
      <c r="AO688" s="537" t="n"/>
      <c r="AR688" s="537" t="n"/>
      <c r="AS688" s="537" t="n"/>
    </row>
    <row customHeight="1" ht="15.75" r="689" s="452" spans="1:57">
      <c r="A689" s="44" t="n"/>
      <c r="J689" s="404" t="n"/>
      <c r="N689" s="404" t="n"/>
      <c r="R689" s="404" t="n"/>
      <c r="V689" s="404" t="n"/>
      <c r="Z689" s="404" t="n"/>
      <c r="AN689" s="537" t="n"/>
      <c r="AO689" s="537" t="n"/>
      <c r="AR689" s="537" t="n"/>
      <c r="AS689" s="537" t="n"/>
    </row>
    <row customHeight="1" ht="15.75" r="690" s="452" spans="1:57">
      <c r="A690" s="44" t="n"/>
      <c r="J690" s="404" t="n"/>
      <c r="N690" s="404" t="n"/>
      <c r="R690" s="404" t="n"/>
      <c r="V690" s="404" t="n"/>
      <c r="Z690" s="404" t="n"/>
      <c r="AN690" s="537" t="n"/>
      <c r="AO690" s="537" t="n"/>
      <c r="AR690" s="537" t="n"/>
      <c r="AS690" s="537" t="n"/>
    </row>
    <row customHeight="1" ht="15.75" r="691" s="452" spans="1:57">
      <c r="A691" s="44" t="n"/>
      <c r="J691" s="404" t="n"/>
      <c r="N691" s="404" t="n"/>
      <c r="R691" s="404" t="n"/>
      <c r="V691" s="404" t="n"/>
      <c r="Z691" s="404" t="n"/>
      <c r="AN691" s="537" t="n"/>
      <c r="AO691" s="537" t="n"/>
      <c r="AR691" s="537" t="n"/>
      <c r="AS691" s="537" t="n"/>
    </row>
    <row customHeight="1" ht="15.75" r="692" s="452" spans="1:57">
      <c r="A692" s="44" t="n"/>
      <c r="J692" s="404" t="n"/>
      <c r="N692" s="404" t="n"/>
      <c r="R692" s="404" t="n"/>
      <c r="V692" s="404" t="n"/>
      <c r="Z692" s="404" t="n"/>
      <c r="AN692" s="537" t="n"/>
      <c r="AO692" s="537" t="n"/>
      <c r="AR692" s="537" t="n"/>
      <c r="AS692" s="537" t="n"/>
    </row>
    <row customHeight="1" ht="15.75" r="693" s="452" spans="1:57">
      <c r="A693" s="44" t="n"/>
      <c r="J693" s="404" t="n"/>
      <c r="N693" s="404" t="n"/>
      <c r="R693" s="404" t="n"/>
      <c r="V693" s="404" t="n"/>
      <c r="Z693" s="404" t="n"/>
      <c r="AN693" s="537" t="n"/>
      <c r="AO693" s="537" t="n"/>
      <c r="AR693" s="537" t="n"/>
      <c r="AS693" s="537" t="n"/>
    </row>
    <row customHeight="1" ht="15.75" r="694" s="452" spans="1:57">
      <c r="A694" s="44" t="n"/>
      <c r="J694" s="404" t="n"/>
      <c r="N694" s="404" t="n"/>
      <c r="R694" s="404" t="n"/>
      <c r="V694" s="404" t="n"/>
      <c r="Z694" s="404" t="n"/>
      <c r="AN694" s="537" t="n"/>
      <c r="AO694" s="537" t="n"/>
      <c r="AR694" s="537" t="n"/>
      <c r="AS694" s="537" t="n"/>
    </row>
    <row customHeight="1" ht="15.75" r="695" s="452" spans="1:57">
      <c r="A695" s="44" t="n"/>
      <c r="J695" s="404" t="n"/>
      <c r="N695" s="404" t="n"/>
      <c r="R695" s="404" t="n"/>
      <c r="V695" s="404" t="n"/>
      <c r="Z695" s="404" t="n"/>
      <c r="AN695" s="537" t="n"/>
      <c r="AO695" s="537" t="n"/>
      <c r="AR695" s="537" t="n"/>
      <c r="AS695" s="537" t="n"/>
    </row>
    <row customHeight="1" ht="15.75" r="696" s="452" spans="1:57">
      <c r="A696" s="44" t="n"/>
      <c r="J696" s="404" t="n"/>
      <c r="N696" s="404" t="n"/>
      <c r="R696" s="404" t="n"/>
      <c r="V696" s="404" t="n"/>
      <c r="Z696" s="404" t="n"/>
      <c r="AN696" s="537" t="n"/>
      <c r="AO696" s="537" t="n"/>
      <c r="AR696" s="537" t="n"/>
      <c r="AS696" s="537" t="n"/>
    </row>
    <row customHeight="1" ht="15.75" r="697" s="452" spans="1:57">
      <c r="A697" s="44" t="n"/>
      <c r="J697" s="404" t="n"/>
      <c r="N697" s="404" t="n"/>
      <c r="R697" s="404" t="n"/>
      <c r="V697" s="404" t="n"/>
      <c r="Z697" s="404" t="n"/>
      <c r="AN697" s="537" t="n"/>
      <c r="AO697" s="537" t="n"/>
      <c r="AR697" s="537" t="n"/>
      <c r="AS697" s="537" t="n"/>
    </row>
    <row customHeight="1" ht="15.75" r="698" s="452" spans="1:57">
      <c r="A698" s="44" t="n"/>
      <c r="J698" s="404" t="n"/>
      <c r="N698" s="404" t="n"/>
      <c r="R698" s="404" t="n"/>
      <c r="V698" s="404" t="n"/>
      <c r="Z698" s="404" t="n"/>
      <c r="AN698" s="537" t="n"/>
      <c r="AO698" s="537" t="n"/>
      <c r="AR698" s="537" t="n"/>
      <c r="AS698" s="537" t="n"/>
    </row>
    <row customHeight="1" ht="15.75" r="699" s="452" spans="1:57">
      <c r="A699" s="44" t="n"/>
      <c r="J699" s="404" t="n"/>
      <c r="N699" s="404" t="n"/>
      <c r="R699" s="404" t="n"/>
      <c r="V699" s="404" t="n"/>
      <c r="Z699" s="404" t="n"/>
      <c r="AN699" s="537" t="n"/>
      <c r="AO699" s="537" t="n"/>
      <c r="AR699" s="537" t="n"/>
      <c r="AS699" s="537" t="n"/>
    </row>
    <row customHeight="1" ht="15.75" r="700" s="452" spans="1:57">
      <c r="A700" s="44" t="n"/>
      <c r="J700" s="404" t="n"/>
      <c r="N700" s="404" t="n"/>
      <c r="R700" s="404" t="n"/>
      <c r="V700" s="404" t="n"/>
      <c r="Z700" s="404" t="n"/>
      <c r="AN700" s="537" t="n"/>
      <c r="AO700" s="537" t="n"/>
      <c r="AR700" s="537" t="n"/>
      <c r="AS700" s="537" t="n"/>
    </row>
    <row customHeight="1" ht="15.75" r="701" s="452" spans="1:57">
      <c r="A701" s="44" t="n"/>
      <c r="J701" s="404" t="n"/>
      <c r="N701" s="404" t="n"/>
      <c r="R701" s="404" t="n"/>
      <c r="V701" s="404" t="n"/>
      <c r="Z701" s="404" t="n"/>
      <c r="AN701" s="537" t="n"/>
      <c r="AO701" s="537" t="n"/>
      <c r="AR701" s="537" t="n"/>
      <c r="AS701" s="537" t="n"/>
    </row>
    <row customHeight="1" ht="15.75" r="702" s="452" spans="1:57">
      <c r="A702" s="44" t="n"/>
      <c r="J702" s="404" t="n"/>
      <c r="N702" s="404" t="n"/>
      <c r="R702" s="404" t="n"/>
      <c r="V702" s="404" t="n"/>
      <c r="Z702" s="404" t="n"/>
      <c r="AN702" s="537" t="n"/>
      <c r="AO702" s="537" t="n"/>
      <c r="AR702" s="537" t="n"/>
      <c r="AS702" s="537" t="n"/>
    </row>
    <row customHeight="1" ht="15.75" r="703" s="452" spans="1:57">
      <c r="A703" s="44" t="n"/>
      <c r="J703" s="404" t="n"/>
      <c r="N703" s="404" t="n"/>
      <c r="R703" s="404" t="n"/>
      <c r="V703" s="404" t="n"/>
      <c r="Z703" s="404" t="n"/>
      <c r="AN703" s="537" t="n"/>
      <c r="AO703" s="537" t="n"/>
      <c r="AR703" s="537" t="n"/>
      <c r="AS703" s="537" t="n"/>
    </row>
    <row customHeight="1" ht="15.75" r="704" s="452" spans="1:57">
      <c r="A704" s="44" t="n"/>
      <c r="J704" s="404" t="n"/>
      <c r="N704" s="404" t="n"/>
      <c r="R704" s="404" t="n"/>
      <c r="V704" s="404" t="n"/>
      <c r="Z704" s="404" t="n"/>
      <c r="AN704" s="537" t="n"/>
      <c r="AO704" s="537" t="n"/>
      <c r="AR704" s="537" t="n"/>
      <c r="AS704" s="537" t="n"/>
    </row>
    <row customHeight="1" ht="15.75" r="705" s="452" spans="1:57">
      <c r="A705" s="44" t="n"/>
      <c r="J705" s="404" t="n"/>
      <c r="N705" s="404" t="n"/>
      <c r="R705" s="404" t="n"/>
      <c r="V705" s="404" t="n"/>
      <c r="Z705" s="404" t="n"/>
      <c r="AN705" s="537" t="n"/>
      <c r="AO705" s="537" t="n"/>
      <c r="AR705" s="537" t="n"/>
      <c r="AS705" s="537" t="n"/>
    </row>
    <row customHeight="1" ht="15.75" r="706" s="452" spans="1:57">
      <c r="A706" s="44" t="n"/>
      <c r="J706" s="404" t="n"/>
      <c r="N706" s="404" t="n"/>
      <c r="R706" s="404" t="n"/>
      <c r="V706" s="404" t="n"/>
      <c r="Z706" s="404" t="n"/>
      <c r="AN706" s="537" t="n"/>
      <c r="AO706" s="537" t="n"/>
      <c r="AR706" s="537" t="n"/>
      <c r="AS706" s="537" t="n"/>
    </row>
    <row customHeight="1" ht="15.75" r="707" s="452" spans="1:57">
      <c r="A707" s="44" t="n"/>
      <c r="J707" s="404" t="n"/>
      <c r="N707" s="404" t="n"/>
      <c r="R707" s="404" t="n"/>
      <c r="V707" s="404" t="n"/>
      <c r="Z707" s="404" t="n"/>
      <c r="AN707" s="537" t="n"/>
      <c r="AO707" s="537" t="n"/>
      <c r="AR707" s="537" t="n"/>
      <c r="AS707" s="537" t="n"/>
    </row>
    <row customHeight="1" ht="15.75" r="708" s="452" spans="1:57">
      <c r="A708" s="44" t="n"/>
      <c r="J708" s="404" t="n"/>
      <c r="N708" s="404" t="n"/>
      <c r="R708" s="404" t="n"/>
      <c r="V708" s="404" t="n"/>
      <c r="Z708" s="404" t="n"/>
      <c r="AN708" s="537" t="n"/>
      <c r="AO708" s="537" t="n"/>
      <c r="AR708" s="537" t="n"/>
      <c r="AS708" s="537" t="n"/>
    </row>
    <row customHeight="1" ht="15.75" r="709" s="452" spans="1:57">
      <c r="A709" s="44" t="n"/>
      <c r="J709" s="404" t="n"/>
      <c r="N709" s="404" t="n"/>
      <c r="R709" s="404" t="n"/>
      <c r="V709" s="404" t="n"/>
      <c r="Z709" s="404" t="n"/>
      <c r="AN709" s="537" t="n"/>
      <c r="AO709" s="537" t="n"/>
      <c r="AR709" s="537" t="n"/>
      <c r="AS709" s="537" t="n"/>
    </row>
    <row customHeight="1" ht="15.75" r="710" s="452" spans="1:57">
      <c r="A710" s="44" t="n"/>
      <c r="J710" s="404" t="n"/>
      <c r="N710" s="404" t="n"/>
      <c r="R710" s="404" t="n"/>
      <c r="V710" s="404" t="n"/>
      <c r="Z710" s="404" t="n"/>
      <c r="AN710" s="537" t="n"/>
      <c r="AO710" s="537" t="n"/>
      <c r="AR710" s="537" t="n"/>
      <c r="AS710" s="537" t="n"/>
    </row>
    <row customHeight="1" ht="15.75" r="711" s="452" spans="1:57">
      <c r="A711" s="44" t="n"/>
      <c r="J711" s="404" t="n"/>
      <c r="N711" s="404" t="n"/>
      <c r="R711" s="404" t="n"/>
      <c r="V711" s="404" t="n"/>
      <c r="Z711" s="404" t="n"/>
      <c r="AN711" s="537" t="n"/>
      <c r="AO711" s="537" t="n"/>
      <c r="AR711" s="537" t="n"/>
      <c r="AS711" s="537" t="n"/>
    </row>
    <row customHeight="1" ht="15.75" r="712" s="452" spans="1:57">
      <c r="A712" s="44" t="n"/>
      <c r="J712" s="404" t="n"/>
      <c r="N712" s="404" t="n"/>
      <c r="R712" s="404" t="n"/>
      <c r="V712" s="404" t="n"/>
      <c r="Z712" s="404" t="n"/>
      <c r="AN712" s="537" t="n"/>
      <c r="AO712" s="537" t="n"/>
      <c r="AR712" s="537" t="n"/>
      <c r="AS712" s="537" t="n"/>
    </row>
    <row customHeight="1" ht="15.75" r="713" s="452" spans="1:57">
      <c r="A713" s="44" t="n"/>
      <c r="J713" s="404" t="n"/>
      <c r="N713" s="404" t="n"/>
      <c r="R713" s="404" t="n"/>
      <c r="V713" s="404" t="n"/>
      <c r="Z713" s="404" t="n"/>
      <c r="AN713" s="537" t="n"/>
      <c r="AO713" s="537" t="n"/>
      <c r="AR713" s="537" t="n"/>
      <c r="AS713" s="537" t="n"/>
    </row>
    <row customHeight="1" ht="15.75" r="714" s="452" spans="1:57">
      <c r="A714" s="44" t="n"/>
      <c r="J714" s="404" t="n"/>
      <c r="N714" s="404" t="n"/>
      <c r="R714" s="404" t="n"/>
      <c r="V714" s="404" t="n"/>
      <c r="Z714" s="404" t="n"/>
      <c r="AN714" s="537" t="n"/>
      <c r="AO714" s="537" t="n"/>
      <c r="AR714" s="537" t="n"/>
      <c r="AS714" s="537" t="n"/>
    </row>
    <row customHeight="1" ht="15.75" r="715" s="452" spans="1:57">
      <c r="A715" s="44" t="n"/>
      <c r="J715" s="404" t="n"/>
      <c r="N715" s="404" t="n"/>
      <c r="R715" s="404" t="n"/>
      <c r="V715" s="404" t="n"/>
      <c r="Z715" s="404" t="n"/>
      <c r="AN715" s="537" t="n"/>
      <c r="AO715" s="537" t="n"/>
      <c r="AR715" s="537" t="n"/>
      <c r="AS715" s="537" t="n"/>
    </row>
    <row customHeight="1" ht="15.75" r="716" s="452" spans="1:57">
      <c r="A716" s="44" t="n"/>
      <c r="J716" s="404" t="n"/>
      <c r="N716" s="404" t="n"/>
      <c r="R716" s="404" t="n"/>
      <c r="V716" s="404" t="n"/>
      <c r="Z716" s="404" t="n"/>
      <c r="AN716" s="537" t="n"/>
      <c r="AO716" s="537" t="n"/>
      <c r="AR716" s="537" t="n"/>
      <c r="AS716" s="537" t="n"/>
    </row>
    <row customHeight="1" ht="15.75" r="717" s="452" spans="1:57">
      <c r="A717" s="44" t="n"/>
      <c r="J717" s="404" t="n"/>
      <c r="N717" s="404" t="n"/>
      <c r="R717" s="404" t="n"/>
      <c r="V717" s="404" t="n"/>
      <c r="Z717" s="404" t="n"/>
      <c r="AN717" s="537" t="n"/>
      <c r="AO717" s="537" t="n"/>
      <c r="AR717" s="537" t="n"/>
      <c r="AS717" s="537" t="n"/>
    </row>
    <row customHeight="1" ht="15.75" r="718" s="452" spans="1:57">
      <c r="A718" s="44" t="n"/>
      <c r="J718" s="404" t="n"/>
      <c r="N718" s="404" t="n"/>
      <c r="R718" s="404" t="n"/>
      <c r="V718" s="404" t="n"/>
      <c r="Z718" s="404" t="n"/>
      <c r="AN718" s="537" t="n"/>
      <c r="AO718" s="537" t="n"/>
      <c r="AR718" s="537" t="n"/>
      <c r="AS718" s="537" t="n"/>
    </row>
    <row customHeight="1" ht="15.75" r="719" s="452" spans="1:57">
      <c r="A719" s="44" t="n"/>
      <c r="J719" s="404" t="n"/>
      <c r="N719" s="404" t="n"/>
      <c r="R719" s="404" t="n"/>
      <c r="V719" s="404" t="n"/>
      <c r="Z719" s="404" t="n"/>
      <c r="AN719" s="537" t="n"/>
      <c r="AO719" s="537" t="n"/>
      <c r="AR719" s="537" t="n"/>
      <c r="AS719" s="537" t="n"/>
    </row>
    <row customHeight="1" ht="15.75" r="720" s="452" spans="1:57">
      <c r="A720" s="44" t="n"/>
      <c r="J720" s="404" t="n"/>
      <c r="N720" s="404" t="n"/>
      <c r="R720" s="404" t="n"/>
      <c r="V720" s="404" t="n"/>
      <c r="Z720" s="404" t="n"/>
      <c r="AN720" s="537" t="n"/>
      <c r="AO720" s="537" t="n"/>
      <c r="AR720" s="537" t="n"/>
      <c r="AS720" s="537" t="n"/>
    </row>
    <row customHeight="1" ht="15.75" r="721" s="452" spans="1:57">
      <c r="A721" s="44" t="n"/>
      <c r="J721" s="404" t="n"/>
      <c r="N721" s="404" t="n"/>
      <c r="R721" s="404" t="n"/>
      <c r="V721" s="404" t="n"/>
      <c r="Z721" s="404" t="n"/>
      <c r="AN721" s="537" t="n"/>
      <c r="AO721" s="537" t="n"/>
      <c r="AR721" s="537" t="n"/>
      <c r="AS721" s="537" t="n"/>
    </row>
    <row customHeight="1" ht="15.75" r="722" s="452" spans="1:57">
      <c r="A722" s="44" t="n"/>
      <c r="J722" s="404" t="n"/>
      <c r="N722" s="404" t="n"/>
      <c r="R722" s="404" t="n"/>
      <c r="V722" s="404" t="n"/>
      <c r="Z722" s="404" t="n"/>
      <c r="AN722" s="537" t="n"/>
      <c r="AO722" s="537" t="n"/>
      <c r="AR722" s="537" t="n"/>
      <c r="AS722" s="537" t="n"/>
    </row>
    <row customHeight="1" ht="15.75" r="723" s="452" spans="1:57">
      <c r="A723" s="44" t="n"/>
      <c r="J723" s="404" t="n"/>
      <c r="N723" s="404" t="n"/>
      <c r="R723" s="404" t="n"/>
      <c r="V723" s="404" t="n"/>
      <c r="Z723" s="404" t="n"/>
      <c r="AN723" s="537" t="n"/>
      <c r="AO723" s="537" t="n"/>
      <c r="AR723" s="537" t="n"/>
      <c r="AS723" s="537" t="n"/>
    </row>
    <row customHeight="1" ht="15.75" r="724" s="452" spans="1:57">
      <c r="A724" s="44" t="n"/>
      <c r="J724" s="404" t="n"/>
      <c r="N724" s="404" t="n"/>
      <c r="R724" s="404" t="n"/>
      <c r="V724" s="404" t="n"/>
      <c r="Z724" s="404" t="n"/>
      <c r="AN724" s="537" t="n"/>
      <c r="AO724" s="537" t="n"/>
      <c r="AR724" s="537" t="n"/>
      <c r="AS724" s="537" t="n"/>
    </row>
    <row customHeight="1" ht="15.75" r="725" s="452" spans="1:57">
      <c r="A725" s="44" t="n"/>
      <c r="J725" s="404" t="n"/>
      <c r="N725" s="404" t="n"/>
      <c r="R725" s="404" t="n"/>
      <c r="V725" s="404" t="n"/>
      <c r="Z725" s="404" t="n"/>
      <c r="AN725" s="537" t="n"/>
      <c r="AO725" s="537" t="n"/>
      <c r="AR725" s="537" t="n"/>
      <c r="AS725" s="537" t="n"/>
    </row>
    <row customHeight="1" ht="15.75" r="726" s="452" spans="1:57">
      <c r="A726" s="44" t="n"/>
      <c r="J726" s="404" t="n"/>
      <c r="N726" s="404" t="n"/>
      <c r="R726" s="404" t="n"/>
      <c r="V726" s="404" t="n"/>
      <c r="Z726" s="404" t="n"/>
      <c r="AN726" s="537" t="n"/>
      <c r="AO726" s="537" t="n"/>
      <c r="AR726" s="537" t="n"/>
      <c r="AS726" s="537" t="n"/>
    </row>
    <row customHeight="1" ht="15.75" r="727" s="452" spans="1:57">
      <c r="A727" s="44" t="n"/>
      <c r="J727" s="404" t="n"/>
      <c r="N727" s="404" t="n"/>
      <c r="R727" s="404" t="n"/>
      <c r="V727" s="404" t="n"/>
      <c r="Z727" s="404" t="n"/>
      <c r="AN727" s="537" t="n"/>
      <c r="AO727" s="537" t="n"/>
      <c r="AR727" s="537" t="n"/>
      <c r="AS727" s="537" t="n"/>
    </row>
    <row customHeight="1" ht="15.75" r="728" s="452" spans="1:57">
      <c r="A728" s="44" t="n"/>
      <c r="J728" s="404" t="n"/>
      <c r="N728" s="404" t="n"/>
      <c r="R728" s="404" t="n"/>
      <c r="V728" s="404" t="n"/>
      <c r="Z728" s="404" t="n"/>
      <c r="AN728" s="537" t="n"/>
      <c r="AO728" s="537" t="n"/>
      <c r="AR728" s="537" t="n"/>
      <c r="AS728" s="537" t="n"/>
    </row>
    <row customHeight="1" ht="15.75" r="729" s="452" spans="1:57">
      <c r="A729" s="44" t="n"/>
      <c r="J729" s="404" t="n"/>
      <c r="N729" s="404" t="n"/>
      <c r="R729" s="404" t="n"/>
      <c r="V729" s="404" t="n"/>
      <c r="Z729" s="404" t="n"/>
      <c r="AN729" s="537" t="n"/>
      <c r="AO729" s="537" t="n"/>
      <c r="AR729" s="537" t="n"/>
      <c r="AS729" s="537" t="n"/>
    </row>
    <row customHeight="1" ht="15.75" r="730" s="452" spans="1:57">
      <c r="A730" s="44" t="n"/>
      <c r="J730" s="404" t="n"/>
      <c r="N730" s="404" t="n"/>
      <c r="R730" s="404" t="n"/>
      <c r="V730" s="404" t="n"/>
      <c r="Z730" s="404" t="n"/>
      <c r="AN730" s="537" t="n"/>
      <c r="AO730" s="537" t="n"/>
      <c r="AR730" s="537" t="n"/>
      <c r="AS730" s="537" t="n"/>
    </row>
    <row customHeight="1" ht="15.75" r="731" s="452" spans="1:57">
      <c r="A731" s="44" t="n"/>
      <c r="J731" s="404" t="n"/>
      <c r="N731" s="404" t="n"/>
      <c r="R731" s="404" t="n"/>
      <c r="V731" s="404" t="n"/>
      <c r="Z731" s="404" t="n"/>
      <c r="AN731" s="537" t="n"/>
      <c r="AO731" s="537" t="n"/>
      <c r="AR731" s="537" t="n"/>
      <c r="AS731" s="537" t="n"/>
    </row>
    <row customHeight="1" ht="15.75" r="732" s="452" spans="1:57">
      <c r="A732" s="44" t="n"/>
      <c r="J732" s="404" t="n"/>
      <c r="N732" s="404" t="n"/>
      <c r="R732" s="404" t="n"/>
      <c r="V732" s="404" t="n"/>
      <c r="Z732" s="404" t="n"/>
      <c r="AN732" s="537" t="n"/>
      <c r="AO732" s="537" t="n"/>
      <c r="AR732" s="537" t="n"/>
      <c r="AS732" s="537" t="n"/>
    </row>
    <row customHeight="1" ht="15.75" r="733" s="452" spans="1:57">
      <c r="A733" s="44" t="n"/>
      <c r="J733" s="404" t="n"/>
      <c r="N733" s="404" t="n"/>
      <c r="R733" s="404" t="n"/>
      <c r="V733" s="404" t="n"/>
      <c r="Z733" s="404" t="n"/>
      <c r="AN733" s="537" t="n"/>
      <c r="AO733" s="537" t="n"/>
      <c r="AR733" s="537" t="n"/>
      <c r="AS733" s="537" t="n"/>
    </row>
    <row customHeight="1" ht="15.75" r="734" s="452" spans="1:57">
      <c r="A734" s="44" t="n"/>
      <c r="J734" s="404" t="n"/>
      <c r="N734" s="404" t="n"/>
      <c r="R734" s="404" t="n"/>
      <c r="V734" s="404" t="n"/>
      <c r="Z734" s="404" t="n"/>
      <c r="AN734" s="537" t="n"/>
      <c r="AO734" s="537" t="n"/>
      <c r="AR734" s="537" t="n"/>
      <c r="AS734" s="537" t="n"/>
    </row>
    <row customHeight="1" ht="15.75" r="735" s="452" spans="1:57">
      <c r="A735" s="44" t="n"/>
      <c r="J735" s="404" t="n"/>
      <c r="N735" s="404" t="n"/>
      <c r="R735" s="404" t="n"/>
      <c r="V735" s="404" t="n"/>
      <c r="Z735" s="404" t="n"/>
      <c r="AN735" s="537" t="n"/>
      <c r="AO735" s="537" t="n"/>
      <c r="AR735" s="537" t="n"/>
      <c r="AS735" s="537" t="n"/>
    </row>
    <row customHeight="1" ht="15.75" r="736" s="452" spans="1:57">
      <c r="A736" s="44" t="n"/>
      <c r="J736" s="404" t="n"/>
      <c r="N736" s="404" t="n"/>
      <c r="R736" s="404" t="n"/>
      <c r="V736" s="404" t="n"/>
      <c r="Z736" s="404" t="n"/>
      <c r="AN736" s="537" t="n"/>
      <c r="AO736" s="537" t="n"/>
      <c r="AR736" s="537" t="n"/>
      <c r="AS736" s="537" t="n"/>
    </row>
    <row customHeight="1" ht="15.75" r="737" s="452" spans="1:57">
      <c r="A737" s="44" t="n"/>
      <c r="J737" s="404" t="n"/>
      <c r="N737" s="404" t="n"/>
      <c r="R737" s="404" t="n"/>
      <c r="V737" s="404" t="n"/>
      <c r="Z737" s="404" t="n"/>
      <c r="AN737" s="537" t="n"/>
      <c r="AO737" s="537" t="n"/>
      <c r="AR737" s="537" t="n"/>
      <c r="AS737" s="537" t="n"/>
    </row>
    <row customHeight="1" ht="15.75" r="738" s="452" spans="1:57">
      <c r="A738" s="44" t="n"/>
      <c r="J738" s="404" t="n"/>
      <c r="N738" s="404" t="n"/>
      <c r="R738" s="404" t="n"/>
      <c r="V738" s="404" t="n"/>
      <c r="Z738" s="404" t="n"/>
      <c r="AN738" s="537" t="n"/>
      <c r="AO738" s="537" t="n"/>
      <c r="AR738" s="537" t="n"/>
      <c r="AS738" s="537" t="n"/>
    </row>
    <row customHeight="1" ht="15.75" r="739" s="452" spans="1:57">
      <c r="A739" s="44" t="n"/>
      <c r="J739" s="404" t="n"/>
      <c r="N739" s="404" t="n"/>
      <c r="R739" s="404" t="n"/>
      <c r="V739" s="404" t="n"/>
      <c r="Z739" s="404" t="n"/>
      <c r="AN739" s="537" t="n"/>
      <c r="AO739" s="537" t="n"/>
      <c r="AR739" s="537" t="n"/>
      <c r="AS739" s="537" t="n"/>
    </row>
    <row customHeight="1" ht="15.75" r="740" s="452" spans="1:57">
      <c r="A740" s="44" t="n"/>
      <c r="J740" s="404" t="n"/>
      <c r="N740" s="404" t="n"/>
      <c r="R740" s="404" t="n"/>
      <c r="V740" s="404" t="n"/>
      <c r="Z740" s="404" t="n"/>
      <c r="AN740" s="537" t="n"/>
      <c r="AO740" s="537" t="n"/>
      <c r="AR740" s="537" t="n"/>
      <c r="AS740" s="537" t="n"/>
    </row>
    <row customHeight="1" ht="15.75" r="741" s="452" spans="1:57">
      <c r="A741" s="44" t="n"/>
      <c r="J741" s="404" t="n"/>
      <c r="N741" s="404" t="n"/>
      <c r="R741" s="404" t="n"/>
      <c r="V741" s="404" t="n"/>
      <c r="Z741" s="404" t="n"/>
      <c r="AN741" s="537" t="n"/>
      <c r="AO741" s="537" t="n"/>
      <c r="AR741" s="537" t="n"/>
      <c r="AS741" s="537" t="n"/>
    </row>
    <row customHeight="1" ht="15.75" r="742" s="452" spans="1:57">
      <c r="A742" s="44" t="n"/>
      <c r="J742" s="404" t="n"/>
      <c r="N742" s="404" t="n"/>
      <c r="R742" s="404" t="n"/>
      <c r="V742" s="404" t="n"/>
      <c r="Z742" s="404" t="n"/>
      <c r="AN742" s="537" t="n"/>
      <c r="AO742" s="537" t="n"/>
      <c r="AR742" s="537" t="n"/>
      <c r="AS742" s="537" t="n"/>
    </row>
    <row customHeight="1" ht="15.75" r="743" s="452" spans="1:57">
      <c r="A743" s="44" t="n"/>
      <c r="J743" s="404" t="n"/>
      <c r="N743" s="404" t="n"/>
      <c r="R743" s="404" t="n"/>
      <c r="V743" s="404" t="n"/>
      <c r="Z743" s="404" t="n"/>
      <c r="AN743" s="537" t="n"/>
      <c r="AO743" s="537" t="n"/>
      <c r="AR743" s="537" t="n"/>
      <c r="AS743" s="537" t="n"/>
    </row>
    <row customHeight="1" ht="15.75" r="744" s="452" spans="1:57">
      <c r="A744" s="44" t="n"/>
      <c r="J744" s="404" t="n"/>
      <c r="N744" s="404" t="n"/>
      <c r="R744" s="404" t="n"/>
      <c r="V744" s="404" t="n"/>
      <c r="Z744" s="404" t="n"/>
      <c r="AN744" s="537" t="n"/>
      <c r="AO744" s="537" t="n"/>
      <c r="AR744" s="537" t="n"/>
      <c r="AS744" s="537" t="n"/>
    </row>
    <row customHeight="1" ht="15.75" r="745" s="452" spans="1:57">
      <c r="A745" s="44" t="n"/>
      <c r="J745" s="404" t="n"/>
      <c r="N745" s="404" t="n"/>
      <c r="R745" s="404" t="n"/>
      <c r="V745" s="404" t="n"/>
      <c r="Z745" s="404" t="n"/>
      <c r="AN745" s="537" t="n"/>
      <c r="AO745" s="537" t="n"/>
      <c r="AR745" s="537" t="n"/>
      <c r="AS745" s="537" t="n"/>
    </row>
    <row customHeight="1" ht="15.75" r="746" s="452" spans="1:57">
      <c r="A746" s="44" t="n"/>
      <c r="J746" s="404" t="n"/>
      <c r="N746" s="404" t="n"/>
      <c r="R746" s="404" t="n"/>
      <c r="V746" s="404" t="n"/>
      <c r="Z746" s="404" t="n"/>
      <c r="AN746" s="537" t="n"/>
      <c r="AO746" s="537" t="n"/>
      <c r="AR746" s="537" t="n"/>
      <c r="AS746" s="537" t="n"/>
    </row>
    <row customHeight="1" ht="15.75" r="747" s="452" spans="1:57">
      <c r="A747" s="44" t="n"/>
      <c r="J747" s="404" t="n"/>
      <c r="N747" s="404" t="n"/>
      <c r="R747" s="404" t="n"/>
      <c r="V747" s="404" t="n"/>
      <c r="Z747" s="404" t="n"/>
      <c r="AN747" s="537" t="n"/>
      <c r="AO747" s="537" t="n"/>
      <c r="AR747" s="537" t="n"/>
      <c r="AS747" s="537" t="n"/>
    </row>
    <row customHeight="1" ht="15.75" r="748" s="452" spans="1:57">
      <c r="A748" s="44" t="n"/>
      <c r="J748" s="404" t="n"/>
      <c r="N748" s="404" t="n"/>
      <c r="R748" s="404" t="n"/>
      <c r="V748" s="404" t="n"/>
      <c r="Z748" s="404" t="n"/>
      <c r="AN748" s="537" t="n"/>
      <c r="AO748" s="537" t="n"/>
      <c r="AR748" s="537" t="n"/>
      <c r="AS748" s="537" t="n"/>
    </row>
    <row customHeight="1" ht="15.75" r="749" s="452" spans="1:57">
      <c r="A749" s="44" t="n"/>
      <c r="J749" s="404" t="n"/>
      <c r="N749" s="404" t="n"/>
      <c r="R749" s="404" t="n"/>
      <c r="V749" s="404" t="n"/>
      <c r="Z749" s="404" t="n"/>
      <c r="AN749" s="537" t="n"/>
      <c r="AO749" s="537" t="n"/>
      <c r="AR749" s="537" t="n"/>
      <c r="AS749" s="537" t="n"/>
    </row>
    <row customHeight="1" ht="15.75" r="750" s="452" spans="1:57">
      <c r="A750" s="44" t="n"/>
      <c r="J750" s="404" t="n"/>
      <c r="N750" s="404" t="n"/>
      <c r="R750" s="404" t="n"/>
      <c r="V750" s="404" t="n"/>
      <c r="Z750" s="404" t="n"/>
      <c r="AN750" s="537" t="n"/>
      <c r="AO750" s="537" t="n"/>
      <c r="AR750" s="537" t="n"/>
      <c r="AS750" s="537" t="n"/>
    </row>
    <row customHeight="1" ht="15.75" r="751" s="452" spans="1:57">
      <c r="A751" s="44" t="n"/>
      <c r="J751" s="404" t="n"/>
      <c r="N751" s="404" t="n"/>
      <c r="R751" s="404" t="n"/>
      <c r="V751" s="404" t="n"/>
      <c r="Z751" s="404" t="n"/>
      <c r="AN751" s="537" t="n"/>
      <c r="AO751" s="537" t="n"/>
      <c r="AR751" s="537" t="n"/>
      <c r="AS751" s="537" t="n"/>
    </row>
    <row customHeight="1" ht="15.75" r="752" s="452" spans="1:57">
      <c r="A752" s="44" t="n"/>
      <c r="J752" s="404" t="n"/>
      <c r="N752" s="404" t="n"/>
      <c r="R752" s="404" t="n"/>
      <c r="V752" s="404" t="n"/>
      <c r="Z752" s="404" t="n"/>
      <c r="AN752" s="537" t="n"/>
      <c r="AO752" s="537" t="n"/>
      <c r="AR752" s="537" t="n"/>
      <c r="AS752" s="537" t="n"/>
    </row>
    <row customHeight="1" ht="15.75" r="753" s="452" spans="1:57">
      <c r="A753" s="44" t="n"/>
      <c r="J753" s="404" t="n"/>
      <c r="N753" s="404" t="n"/>
      <c r="R753" s="404" t="n"/>
      <c r="V753" s="404" t="n"/>
      <c r="Z753" s="404" t="n"/>
      <c r="AN753" s="537" t="n"/>
      <c r="AO753" s="537" t="n"/>
      <c r="AR753" s="537" t="n"/>
      <c r="AS753" s="537" t="n"/>
    </row>
    <row customHeight="1" ht="15.75" r="754" s="452" spans="1:57">
      <c r="A754" s="44" t="n"/>
      <c r="J754" s="404" t="n"/>
      <c r="N754" s="404" t="n"/>
      <c r="R754" s="404" t="n"/>
      <c r="V754" s="404" t="n"/>
      <c r="Z754" s="404" t="n"/>
      <c r="AN754" s="537" t="n"/>
      <c r="AO754" s="537" t="n"/>
      <c r="AR754" s="537" t="n"/>
      <c r="AS754" s="537" t="n"/>
    </row>
    <row customHeight="1" ht="15.75" r="755" s="452" spans="1:57">
      <c r="A755" s="44" t="n"/>
      <c r="J755" s="404" t="n"/>
      <c r="N755" s="404" t="n"/>
      <c r="R755" s="404" t="n"/>
      <c r="V755" s="404" t="n"/>
      <c r="Z755" s="404" t="n"/>
      <c r="AN755" s="537" t="n"/>
      <c r="AO755" s="537" t="n"/>
      <c r="AR755" s="537" t="n"/>
      <c r="AS755" s="537" t="n"/>
    </row>
    <row customHeight="1" ht="15.75" r="756" s="452" spans="1:57">
      <c r="A756" s="44" t="n"/>
      <c r="J756" s="404" t="n"/>
      <c r="N756" s="404" t="n"/>
      <c r="R756" s="404" t="n"/>
      <c r="V756" s="404" t="n"/>
      <c r="Z756" s="404" t="n"/>
      <c r="AN756" s="537" t="n"/>
      <c r="AO756" s="537" t="n"/>
      <c r="AR756" s="537" t="n"/>
      <c r="AS756" s="537" t="n"/>
    </row>
    <row customHeight="1" ht="15.75" r="757" s="452" spans="1:57">
      <c r="A757" s="44" t="n"/>
      <c r="J757" s="404" t="n"/>
      <c r="N757" s="404" t="n"/>
      <c r="R757" s="404" t="n"/>
      <c r="V757" s="404" t="n"/>
      <c r="Z757" s="404" t="n"/>
      <c r="AN757" s="537" t="n"/>
      <c r="AO757" s="537" t="n"/>
      <c r="AR757" s="537" t="n"/>
      <c r="AS757" s="537" t="n"/>
    </row>
    <row customHeight="1" ht="15.75" r="758" s="452" spans="1:57">
      <c r="A758" s="44" t="n"/>
      <c r="J758" s="404" t="n"/>
      <c r="N758" s="404" t="n"/>
      <c r="R758" s="404" t="n"/>
      <c r="V758" s="404" t="n"/>
      <c r="Z758" s="404" t="n"/>
      <c r="AN758" s="537" t="n"/>
      <c r="AO758" s="537" t="n"/>
      <c r="AR758" s="537" t="n"/>
      <c r="AS758" s="537" t="n"/>
    </row>
    <row customHeight="1" ht="15.75" r="759" s="452" spans="1:57">
      <c r="A759" s="44" t="n"/>
      <c r="J759" s="404" t="n"/>
      <c r="N759" s="404" t="n"/>
      <c r="R759" s="404" t="n"/>
      <c r="V759" s="404" t="n"/>
      <c r="Z759" s="404" t="n"/>
      <c r="AN759" s="537" t="n"/>
      <c r="AO759" s="537" t="n"/>
      <c r="AR759" s="537" t="n"/>
      <c r="AS759" s="537" t="n"/>
    </row>
    <row customHeight="1" ht="15.75" r="760" s="452" spans="1:57">
      <c r="A760" s="44" t="n"/>
      <c r="J760" s="404" t="n"/>
      <c r="N760" s="404" t="n"/>
      <c r="R760" s="404" t="n"/>
      <c r="V760" s="404" t="n"/>
      <c r="Z760" s="404" t="n"/>
      <c r="AN760" s="537" t="n"/>
      <c r="AO760" s="537" t="n"/>
      <c r="AR760" s="537" t="n"/>
      <c r="AS760" s="537" t="n"/>
    </row>
    <row customHeight="1" ht="15.75" r="761" s="452" spans="1:57">
      <c r="A761" s="44" t="n"/>
      <c r="J761" s="404" t="n"/>
      <c r="N761" s="404" t="n"/>
      <c r="R761" s="404" t="n"/>
      <c r="V761" s="404" t="n"/>
      <c r="Z761" s="404" t="n"/>
      <c r="AN761" s="537" t="n"/>
      <c r="AO761" s="537" t="n"/>
      <c r="AR761" s="537" t="n"/>
      <c r="AS761" s="537" t="n"/>
    </row>
    <row customHeight="1" ht="15.75" r="762" s="452" spans="1:57">
      <c r="A762" s="44" t="n"/>
      <c r="J762" s="404" t="n"/>
      <c r="N762" s="404" t="n"/>
      <c r="R762" s="404" t="n"/>
      <c r="V762" s="404" t="n"/>
      <c r="Z762" s="404" t="n"/>
      <c r="AN762" s="537" t="n"/>
      <c r="AO762" s="537" t="n"/>
      <c r="AR762" s="537" t="n"/>
      <c r="AS762" s="537" t="n"/>
    </row>
    <row customHeight="1" ht="15.75" r="763" s="452" spans="1:57">
      <c r="A763" s="44" t="n"/>
      <c r="J763" s="404" t="n"/>
      <c r="N763" s="404" t="n"/>
      <c r="R763" s="404" t="n"/>
      <c r="V763" s="404" t="n"/>
      <c r="Z763" s="404" t="n"/>
      <c r="AN763" s="537" t="n"/>
      <c r="AO763" s="537" t="n"/>
      <c r="AR763" s="537" t="n"/>
      <c r="AS763" s="537" t="n"/>
    </row>
    <row customHeight="1" ht="15.75" r="764" s="452" spans="1:57">
      <c r="A764" s="44" t="n"/>
      <c r="J764" s="404" t="n"/>
      <c r="N764" s="404" t="n"/>
      <c r="R764" s="404" t="n"/>
      <c r="V764" s="404" t="n"/>
      <c r="Z764" s="404" t="n"/>
      <c r="AN764" s="537" t="n"/>
      <c r="AO764" s="537" t="n"/>
      <c r="AR764" s="537" t="n"/>
      <c r="AS764" s="537" t="n"/>
    </row>
    <row customHeight="1" ht="15.75" r="765" s="452" spans="1:57">
      <c r="A765" s="44" t="n"/>
      <c r="J765" s="404" t="n"/>
      <c r="N765" s="404" t="n"/>
      <c r="R765" s="404" t="n"/>
      <c r="V765" s="404" t="n"/>
      <c r="Z765" s="404" t="n"/>
      <c r="AN765" s="537" t="n"/>
      <c r="AO765" s="537" t="n"/>
      <c r="AR765" s="537" t="n"/>
      <c r="AS765" s="537" t="n"/>
    </row>
    <row customHeight="1" ht="15.75" r="766" s="452" spans="1:57">
      <c r="A766" s="44" t="n"/>
      <c r="J766" s="404" t="n"/>
      <c r="N766" s="404" t="n"/>
      <c r="R766" s="404" t="n"/>
      <c r="V766" s="404" t="n"/>
      <c r="Z766" s="404" t="n"/>
      <c r="AN766" s="537" t="n"/>
      <c r="AO766" s="537" t="n"/>
      <c r="AR766" s="537" t="n"/>
      <c r="AS766" s="537" t="n"/>
    </row>
    <row customHeight="1" ht="15.75" r="767" s="452" spans="1:57">
      <c r="A767" s="44" t="n"/>
      <c r="J767" s="404" t="n"/>
      <c r="N767" s="404" t="n"/>
      <c r="R767" s="404" t="n"/>
      <c r="V767" s="404" t="n"/>
      <c r="Z767" s="404" t="n"/>
      <c r="AN767" s="537" t="n"/>
      <c r="AO767" s="537" t="n"/>
      <c r="AR767" s="537" t="n"/>
      <c r="AS767" s="537" t="n"/>
    </row>
    <row customHeight="1" ht="15.75" r="768" s="452" spans="1:57">
      <c r="A768" s="44" t="n"/>
      <c r="J768" s="404" t="n"/>
      <c r="N768" s="404" t="n"/>
      <c r="R768" s="404" t="n"/>
      <c r="V768" s="404" t="n"/>
      <c r="Z768" s="404" t="n"/>
      <c r="AN768" s="537" t="n"/>
      <c r="AO768" s="537" t="n"/>
      <c r="AR768" s="537" t="n"/>
      <c r="AS768" s="537" t="n"/>
    </row>
    <row customHeight="1" ht="15.75" r="769" s="452" spans="1:57">
      <c r="A769" s="44" t="n"/>
      <c r="J769" s="404" t="n"/>
      <c r="N769" s="404" t="n"/>
      <c r="R769" s="404" t="n"/>
      <c r="V769" s="404" t="n"/>
      <c r="Z769" s="404" t="n"/>
      <c r="AN769" s="537" t="n"/>
      <c r="AO769" s="537" t="n"/>
      <c r="AR769" s="537" t="n"/>
      <c r="AS769" s="537" t="n"/>
    </row>
    <row customHeight="1" ht="15.75" r="770" s="452" spans="1:57">
      <c r="A770" s="44" t="n"/>
      <c r="J770" s="404" t="n"/>
      <c r="N770" s="404" t="n"/>
      <c r="R770" s="404" t="n"/>
      <c r="V770" s="404" t="n"/>
      <c r="Z770" s="404" t="n"/>
      <c r="AN770" s="537" t="n"/>
      <c r="AO770" s="537" t="n"/>
      <c r="AR770" s="537" t="n"/>
      <c r="AS770" s="537" t="n"/>
    </row>
    <row customHeight="1" ht="15.75" r="771" s="452" spans="1:57">
      <c r="A771" s="44" t="n"/>
      <c r="J771" s="404" t="n"/>
      <c r="N771" s="404" t="n"/>
      <c r="R771" s="404" t="n"/>
      <c r="V771" s="404" t="n"/>
      <c r="Z771" s="404" t="n"/>
      <c r="AN771" s="537" t="n"/>
      <c r="AO771" s="537" t="n"/>
      <c r="AR771" s="537" t="n"/>
      <c r="AS771" s="537" t="n"/>
    </row>
    <row customHeight="1" ht="15.75" r="772" s="452" spans="1:57">
      <c r="A772" s="44" t="n"/>
      <c r="J772" s="404" t="n"/>
      <c r="N772" s="404" t="n"/>
      <c r="R772" s="404" t="n"/>
      <c r="V772" s="404" t="n"/>
      <c r="Z772" s="404" t="n"/>
      <c r="AN772" s="537" t="n"/>
      <c r="AO772" s="537" t="n"/>
      <c r="AR772" s="537" t="n"/>
      <c r="AS772" s="537" t="n"/>
    </row>
    <row customHeight="1" ht="15.75" r="773" s="452" spans="1:57">
      <c r="A773" s="44" t="n"/>
      <c r="J773" s="404" t="n"/>
      <c r="N773" s="404" t="n"/>
      <c r="R773" s="404" t="n"/>
      <c r="V773" s="404" t="n"/>
      <c r="Z773" s="404" t="n"/>
      <c r="AN773" s="537" t="n"/>
      <c r="AO773" s="537" t="n"/>
      <c r="AR773" s="537" t="n"/>
      <c r="AS773" s="537" t="n"/>
    </row>
    <row customHeight="1" ht="15.75" r="774" s="452" spans="1:57">
      <c r="A774" s="44" t="n"/>
      <c r="J774" s="404" t="n"/>
      <c r="N774" s="404" t="n"/>
      <c r="R774" s="404" t="n"/>
      <c r="V774" s="404" t="n"/>
      <c r="Z774" s="404" t="n"/>
      <c r="AN774" s="537" t="n"/>
      <c r="AO774" s="537" t="n"/>
      <c r="AR774" s="537" t="n"/>
      <c r="AS774" s="537" t="n"/>
    </row>
    <row customHeight="1" ht="15.75" r="775" s="452" spans="1:57">
      <c r="A775" s="44" t="n"/>
      <c r="J775" s="404" t="n"/>
      <c r="N775" s="404" t="n"/>
      <c r="R775" s="404" t="n"/>
      <c r="V775" s="404" t="n"/>
      <c r="Z775" s="404" t="n"/>
      <c r="AN775" s="537" t="n"/>
      <c r="AO775" s="537" t="n"/>
      <c r="AR775" s="537" t="n"/>
      <c r="AS775" s="537" t="n"/>
    </row>
    <row customHeight="1" ht="15.75" r="776" s="452" spans="1:57">
      <c r="A776" s="44" t="n"/>
      <c r="J776" s="404" t="n"/>
      <c r="N776" s="404" t="n"/>
      <c r="R776" s="404" t="n"/>
      <c r="V776" s="404" t="n"/>
      <c r="Z776" s="404" t="n"/>
      <c r="AN776" s="537" t="n"/>
      <c r="AO776" s="537" t="n"/>
      <c r="AR776" s="537" t="n"/>
      <c r="AS776" s="537" t="n"/>
    </row>
    <row customHeight="1" ht="15.75" r="777" s="452" spans="1:57">
      <c r="A777" s="44" t="n"/>
      <c r="J777" s="404" t="n"/>
      <c r="N777" s="404" t="n"/>
      <c r="R777" s="404" t="n"/>
      <c r="V777" s="404" t="n"/>
      <c r="Z777" s="404" t="n"/>
      <c r="AN777" s="537" t="n"/>
      <c r="AO777" s="537" t="n"/>
      <c r="AR777" s="537" t="n"/>
      <c r="AS777" s="537" t="n"/>
    </row>
    <row customHeight="1" ht="15.75" r="778" s="452" spans="1:57">
      <c r="A778" s="44" t="n"/>
      <c r="J778" s="404" t="n"/>
      <c r="N778" s="404" t="n"/>
      <c r="R778" s="404" t="n"/>
      <c r="V778" s="404" t="n"/>
      <c r="Z778" s="404" t="n"/>
      <c r="AN778" s="537" t="n"/>
      <c r="AO778" s="537" t="n"/>
      <c r="AR778" s="537" t="n"/>
      <c r="AS778" s="537" t="n"/>
    </row>
    <row customHeight="1" ht="15.75" r="779" s="452" spans="1:57">
      <c r="A779" s="44" t="n"/>
      <c r="J779" s="404" t="n"/>
      <c r="N779" s="404" t="n"/>
      <c r="R779" s="404" t="n"/>
      <c r="V779" s="404" t="n"/>
      <c r="Z779" s="404" t="n"/>
      <c r="AN779" s="537" t="n"/>
      <c r="AO779" s="537" t="n"/>
      <c r="AR779" s="537" t="n"/>
      <c r="AS779" s="537" t="n"/>
    </row>
    <row customHeight="1" ht="15.75" r="780" s="452" spans="1:57">
      <c r="A780" s="44" t="n"/>
      <c r="J780" s="404" t="n"/>
      <c r="N780" s="404" t="n"/>
      <c r="R780" s="404" t="n"/>
      <c r="V780" s="404" t="n"/>
      <c r="Z780" s="404" t="n"/>
      <c r="AN780" s="537" t="n"/>
      <c r="AO780" s="537" t="n"/>
      <c r="AR780" s="537" t="n"/>
      <c r="AS780" s="537" t="n"/>
    </row>
    <row customHeight="1" ht="15.75" r="781" s="452" spans="1:57">
      <c r="A781" s="44" t="n"/>
      <c r="J781" s="404" t="n"/>
      <c r="N781" s="404" t="n"/>
      <c r="R781" s="404" t="n"/>
      <c r="V781" s="404" t="n"/>
      <c r="Z781" s="404" t="n"/>
      <c r="AN781" s="537" t="n"/>
      <c r="AO781" s="537" t="n"/>
      <c r="AR781" s="537" t="n"/>
      <c r="AS781" s="537" t="n"/>
    </row>
    <row customHeight="1" ht="15.75" r="782" s="452" spans="1:57">
      <c r="A782" s="44" t="n"/>
      <c r="J782" s="404" t="n"/>
      <c r="N782" s="404" t="n"/>
      <c r="R782" s="404" t="n"/>
      <c r="V782" s="404" t="n"/>
      <c r="Z782" s="404" t="n"/>
      <c r="AN782" s="537" t="n"/>
      <c r="AO782" s="537" t="n"/>
      <c r="AR782" s="537" t="n"/>
      <c r="AS782" s="537" t="n"/>
    </row>
    <row customHeight="1" ht="15.75" r="783" s="452" spans="1:57">
      <c r="A783" s="44" t="n"/>
      <c r="J783" s="404" t="n"/>
      <c r="N783" s="404" t="n"/>
      <c r="R783" s="404" t="n"/>
      <c r="V783" s="404" t="n"/>
      <c r="Z783" s="404" t="n"/>
      <c r="AN783" s="537" t="n"/>
      <c r="AO783" s="537" t="n"/>
      <c r="AR783" s="537" t="n"/>
      <c r="AS783" s="537" t="n"/>
    </row>
    <row customHeight="1" ht="15.75" r="784" s="452" spans="1:57">
      <c r="A784" s="44" t="n"/>
      <c r="J784" s="404" t="n"/>
      <c r="N784" s="404" t="n"/>
      <c r="R784" s="404" t="n"/>
      <c r="V784" s="404" t="n"/>
      <c r="Z784" s="404" t="n"/>
      <c r="AN784" s="537" t="n"/>
      <c r="AO784" s="537" t="n"/>
      <c r="AR784" s="537" t="n"/>
      <c r="AS784" s="537" t="n"/>
    </row>
    <row customHeight="1" ht="15.75" r="785" s="452" spans="1:57">
      <c r="A785" s="44" t="n"/>
      <c r="J785" s="404" t="n"/>
      <c r="N785" s="404" t="n"/>
      <c r="R785" s="404" t="n"/>
      <c r="V785" s="404" t="n"/>
      <c r="Z785" s="404" t="n"/>
      <c r="AN785" s="537" t="n"/>
      <c r="AO785" s="537" t="n"/>
      <c r="AR785" s="537" t="n"/>
      <c r="AS785" s="537" t="n"/>
    </row>
    <row customHeight="1" ht="15.75" r="786" s="452" spans="1:57">
      <c r="A786" s="44" t="n"/>
      <c r="J786" s="404" t="n"/>
      <c r="N786" s="404" t="n"/>
      <c r="R786" s="404" t="n"/>
      <c r="V786" s="404" t="n"/>
      <c r="Z786" s="404" t="n"/>
      <c r="AN786" s="537" t="n"/>
      <c r="AO786" s="537" t="n"/>
      <c r="AR786" s="537" t="n"/>
      <c r="AS786" s="537" t="n"/>
    </row>
    <row customHeight="1" ht="15.75" r="787" s="452" spans="1:57">
      <c r="A787" s="44" t="n"/>
      <c r="J787" s="404" t="n"/>
      <c r="N787" s="404" t="n"/>
      <c r="R787" s="404" t="n"/>
      <c r="V787" s="404" t="n"/>
      <c r="Z787" s="404" t="n"/>
      <c r="AN787" s="537" t="n"/>
      <c r="AO787" s="537" t="n"/>
      <c r="AR787" s="537" t="n"/>
      <c r="AS787" s="537" t="n"/>
    </row>
    <row customHeight="1" ht="15.75" r="788" s="452" spans="1:57">
      <c r="A788" s="44" t="n"/>
      <c r="J788" s="404" t="n"/>
      <c r="N788" s="404" t="n"/>
      <c r="R788" s="404" t="n"/>
      <c r="V788" s="404" t="n"/>
      <c r="Z788" s="404" t="n"/>
      <c r="AN788" s="537" t="n"/>
      <c r="AO788" s="537" t="n"/>
      <c r="AR788" s="537" t="n"/>
      <c r="AS788" s="537" t="n"/>
    </row>
    <row customHeight="1" ht="15.75" r="789" s="452" spans="1:57">
      <c r="A789" s="44" t="n"/>
      <c r="J789" s="404" t="n"/>
      <c r="N789" s="404" t="n"/>
      <c r="R789" s="404" t="n"/>
      <c r="V789" s="404" t="n"/>
      <c r="Z789" s="404" t="n"/>
      <c r="AN789" s="537" t="n"/>
      <c r="AO789" s="537" t="n"/>
      <c r="AR789" s="537" t="n"/>
      <c r="AS789" s="537" t="n"/>
    </row>
    <row customHeight="1" ht="15.75" r="790" s="452" spans="1:57">
      <c r="A790" s="44" t="n"/>
      <c r="J790" s="404" t="n"/>
      <c r="N790" s="404" t="n"/>
      <c r="R790" s="404" t="n"/>
      <c r="V790" s="404" t="n"/>
      <c r="Z790" s="404" t="n"/>
      <c r="AN790" s="537" t="n"/>
      <c r="AO790" s="537" t="n"/>
      <c r="AR790" s="537" t="n"/>
      <c r="AS790" s="537" t="n"/>
    </row>
    <row customHeight="1" ht="15.75" r="791" s="452" spans="1:57">
      <c r="A791" s="44" t="n"/>
      <c r="J791" s="404" t="n"/>
      <c r="N791" s="404" t="n"/>
      <c r="R791" s="404" t="n"/>
      <c r="V791" s="404" t="n"/>
      <c r="Z791" s="404" t="n"/>
      <c r="AN791" s="537" t="n"/>
      <c r="AO791" s="537" t="n"/>
      <c r="AR791" s="537" t="n"/>
      <c r="AS791" s="537" t="n"/>
    </row>
    <row customHeight="1" ht="15.75" r="792" s="452" spans="1:57">
      <c r="A792" s="44" t="n"/>
      <c r="J792" s="404" t="n"/>
      <c r="N792" s="404" t="n"/>
      <c r="R792" s="404" t="n"/>
      <c r="V792" s="404" t="n"/>
      <c r="Z792" s="404" t="n"/>
      <c r="AN792" s="537" t="n"/>
      <c r="AO792" s="537" t="n"/>
      <c r="AR792" s="537" t="n"/>
      <c r="AS792" s="537" t="n"/>
    </row>
    <row customHeight="1" ht="15.75" r="793" s="452" spans="1:57">
      <c r="A793" s="44" t="n"/>
      <c r="J793" s="404" t="n"/>
      <c r="N793" s="404" t="n"/>
      <c r="R793" s="404" t="n"/>
      <c r="V793" s="404" t="n"/>
      <c r="Z793" s="404" t="n"/>
      <c r="AN793" s="537" t="n"/>
      <c r="AO793" s="537" t="n"/>
      <c r="AR793" s="537" t="n"/>
      <c r="AS793" s="537" t="n"/>
    </row>
    <row customHeight="1" ht="15.75" r="794" s="452" spans="1:57">
      <c r="A794" s="44" t="n"/>
      <c r="J794" s="404" t="n"/>
      <c r="N794" s="404" t="n"/>
      <c r="R794" s="404" t="n"/>
      <c r="V794" s="404" t="n"/>
      <c r="Z794" s="404" t="n"/>
      <c r="AN794" s="537" t="n"/>
      <c r="AO794" s="537" t="n"/>
      <c r="AR794" s="537" t="n"/>
      <c r="AS794" s="537" t="n"/>
    </row>
    <row customHeight="1" ht="15.75" r="795" s="452" spans="1:57">
      <c r="A795" s="44" t="n"/>
      <c r="J795" s="404" t="n"/>
      <c r="N795" s="404" t="n"/>
      <c r="R795" s="404" t="n"/>
      <c r="V795" s="404" t="n"/>
      <c r="Z795" s="404" t="n"/>
      <c r="AN795" s="537" t="n"/>
      <c r="AO795" s="537" t="n"/>
      <c r="AR795" s="537" t="n"/>
      <c r="AS795" s="537" t="n"/>
    </row>
    <row customHeight="1" ht="15.75" r="796" s="452" spans="1:57">
      <c r="A796" s="44" t="n"/>
      <c r="J796" s="404" t="n"/>
      <c r="N796" s="404" t="n"/>
      <c r="R796" s="404" t="n"/>
      <c r="V796" s="404" t="n"/>
      <c r="Z796" s="404" t="n"/>
      <c r="AN796" s="537" t="n"/>
      <c r="AO796" s="537" t="n"/>
      <c r="AR796" s="537" t="n"/>
      <c r="AS796" s="537" t="n"/>
    </row>
    <row customHeight="1" ht="15.75" r="797" s="452" spans="1:57">
      <c r="A797" s="44" t="n"/>
      <c r="J797" s="404" t="n"/>
      <c r="N797" s="404" t="n"/>
      <c r="R797" s="404" t="n"/>
      <c r="V797" s="404" t="n"/>
      <c r="Z797" s="404" t="n"/>
      <c r="AN797" s="537" t="n"/>
      <c r="AO797" s="537" t="n"/>
      <c r="AR797" s="537" t="n"/>
      <c r="AS797" s="537" t="n"/>
    </row>
    <row customHeight="1" ht="15.75" r="798" s="452" spans="1:57">
      <c r="A798" s="44" t="n"/>
      <c r="J798" s="404" t="n"/>
      <c r="N798" s="404" t="n"/>
      <c r="R798" s="404" t="n"/>
      <c r="V798" s="404" t="n"/>
      <c r="Z798" s="404" t="n"/>
      <c r="AN798" s="537" t="n"/>
      <c r="AO798" s="537" t="n"/>
      <c r="AR798" s="537" t="n"/>
      <c r="AS798" s="537" t="n"/>
    </row>
    <row customHeight="1" ht="15.75" r="799" s="452" spans="1:57">
      <c r="A799" s="44" t="n"/>
      <c r="J799" s="404" t="n"/>
      <c r="N799" s="404" t="n"/>
      <c r="R799" s="404" t="n"/>
      <c r="V799" s="404" t="n"/>
      <c r="Z799" s="404" t="n"/>
      <c r="AN799" s="537" t="n"/>
      <c r="AO799" s="537" t="n"/>
      <c r="AR799" s="537" t="n"/>
      <c r="AS799" s="537" t="n"/>
    </row>
    <row customHeight="1" ht="15.75" r="800" s="452" spans="1:57">
      <c r="A800" s="44" t="n"/>
      <c r="J800" s="404" t="n"/>
      <c r="N800" s="404" t="n"/>
      <c r="R800" s="404" t="n"/>
      <c r="V800" s="404" t="n"/>
      <c r="Z800" s="404" t="n"/>
      <c r="AN800" s="537" t="n"/>
      <c r="AO800" s="537" t="n"/>
      <c r="AR800" s="537" t="n"/>
      <c r="AS800" s="537" t="n"/>
    </row>
    <row customHeight="1" ht="15.75" r="801" s="452" spans="1:57">
      <c r="A801" s="44" t="n"/>
      <c r="J801" s="404" t="n"/>
      <c r="N801" s="404" t="n"/>
      <c r="R801" s="404" t="n"/>
      <c r="V801" s="404" t="n"/>
      <c r="Z801" s="404" t="n"/>
      <c r="AN801" s="537" t="n"/>
      <c r="AO801" s="537" t="n"/>
      <c r="AR801" s="537" t="n"/>
      <c r="AS801" s="537" t="n"/>
    </row>
    <row customHeight="1" ht="15.75" r="802" s="452" spans="1:57">
      <c r="A802" s="44" t="n"/>
      <c r="J802" s="404" t="n"/>
      <c r="N802" s="404" t="n"/>
      <c r="R802" s="404" t="n"/>
      <c r="V802" s="404" t="n"/>
      <c r="Z802" s="404" t="n"/>
      <c r="AN802" s="537" t="n"/>
      <c r="AO802" s="537" t="n"/>
      <c r="AR802" s="537" t="n"/>
      <c r="AS802" s="537" t="n"/>
    </row>
    <row customHeight="1" ht="15.75" r="803" s="452" spans="1:57">
      <c r="A803" s="44" t="n"/>
      <c r="J803" s="404" t="n"/>
      <c r="N803" s="404" t="n"/>
      <c r="R803" s="404" t="n"/>
      <c r="V803" s="404" t="n"/>
      <c r="Z803" s="404" t="n"/>
      <c r="AN803" s="537" t="n"/>
      <c r="AO803" s="537" t="n"/>
      <c r="AR803" s="537" t="n"/>
      <c r="AS803" s="537" t="n"/>
    </row>
    <row customHeight="1" ht="15.75" r="804" s="452" spans="1:57">
      <c r="A804" s="44" t="n"/>
      <c r="J804" s="404" t="n"/>
      <c r="N804" s="404" t="n"/>
      <c r="R804" s="404" t="n"/>
      <c r="V804" s="404" t="n"/>
      <c r="Z804" s="404" t="n"/>
      <c r="AN804" s="537" t="n"/>
      <c r="AO804" s="537" t="n"/>
      <c r="AR804" s="537" t="n"/>
      <c r="AS804" s="537" t="n"/>
    </row>
    <row customHeight="1" ht="15.75" r="805" s="452" spans="1:57">
      <c r="A805" s="44" t="n"/>
      <c r="J805" s="404" t="n"/>
      <c r="N805" s="404" t="n"/>
      <c r="R805" s="404" t="n"/>
      <c r="V805" s="404" t="n"/>
      <c r="Z805" s="404" t="n"/>
      <c r="AN805" s="537" t="n"/>
      <c r="AO805" s="537" t="n"/>
      <c r="AR805" s="537" t="n"/>
      <c r="AS805" s="537" t="n"/>
    </row>
    <row customHeight="1" ht="15.75" r="806" s="452" spans="1:57">
      <c r="A806" s="44" t="n"/>
      <c r="J806" s="404" t="n"/>
      <c r="N806" s="404" t="n"/>
      <c r="R806" s="404" t="n"/>
      <c r="V806" s="404" t="n"/>
      <c r="Z806" s="404" t="n"/>
      <c r="AN806" s="537" t="n"/>
      <c r="AO806" s="537" t="n"/>
      <c r="AR806" s="537" t="n"/>
      <c r="AS806" s="537" t="n"/>
    </row>
    <row customHeight="1" ht="15.75" r="807" s="452" spans="1:57">
      <c r="A807" s="44" t="n"/>
      <c r="J807" s="404" t="n"/>
      <c r="N807" s="404" t="n"/>
      <c r="R807" s="404" t="n"/>
      <c r="V807" s="404" t="n"/>
      <c r="Z807" s="404" t="n"/>
      <c r="AN807" s="537" t="n"/>
      <c r="AO807" s="537" t="n"/>
      <c r="AR807" s="537" t="n"/>
      <c r="AS807" s="537" t="n"/>
    </row>
    <row customHeight="1" ht="15.75" r="808" s="452" spans="1:57">
      <c r="A808" s="44" t="n"/>
      <c r="J808" s="404" t="n"/>
      <c r="N808" s="404" t="n"/>
      <c r="R808" s="404" t="n"/>
      <c r="V808" s="404" t="n"/>
      <c r="Z808" s="404" t="n"/>
      <c r="AN808" s="537" t="n"/>
      <c r="AO808" s="537" t="n"/>
      <c r="AR808" s="537" t="n"/>
      <c r="AS808" s="537" t="n"/>
    </row>
    <row customHeight="1" ht="15.75" r="809" s="452" spans="1:57">
      <c r="A809" s="44" t="n"/>
      <c r="J809" s="404" t="n"/>
      <c r="N809" s="404" t="n"/>
      <c r="R809" s="404" t="n"/>
      <c r="V809" s="404" t="n"/>
      <c r="Z809" s="404" t="n"/>
      <c r="AN809" s="537" t="n"/>
      <c r="AO809" s="537" t="n"/>
      <c r="AR809" s="537" t="n"/>
      <c r="AS809" s="537" t="n"/>
    </row>
    <row customHeight="1" ht="15.75" r="810" s="452" spans="1:57">
      <c r="A810" s="44" t="n"/>
      <c r="J810" s="404" t="n"/>
      <c r="N810" s="404" t="n"/>
      <c r="R810" s="404" t="n"/>
      <c r="V810" s="404" t="n"/>
      <c r="Z810" s="404" t="n"/>
      <c r="AN810" s="537" t="n"/>
      <c r="AO810" s="537" t="n"/>
      <c r="AR810" s="537" t="n"/>
      <c r="AS810" s="537" t="n"/>
    </row>
    <row customHeight="1" ht="15.75" r="811" s="452" spans="1:57">
      <c r="A811" s="44" t="n"/>
      <c r="J811" s="404" t="n"/>
      <c r="N811" s="404" t="n"/>
      <c r="R811" s="404" t="n"/>
      <c r="V811" s="404" t="n"/>
      <c r="Z811" s="404" t="n"/>
      <c r="AN811" s="537" t="n"/>
      <c r="AO811" s="537" t="n"/>
      <c r="AR811" s="537" t="n"/>
      <c r="AS811" s="537" t="n"/>
    </row>
    <row customHeight="1" ht="15.75" r="812" s="452" spans="1:57">
      <c r="A812" s="44" t="n"/>
      <c r="J812" s="404" t="n"/>
      <c r="N812" s="404" t="n"/>
      <c r="R812" s="404" t="n"/>
      <c r="V812" s="404" t="n"/>
      <c r="Z812" s="404" t="n"/>
      <c r="AN812" s="537" t="n"/>
      <c r="AO812" s="537" t="n"/>
      <c r="AR812" s="537" t="n"/>
      <c r="AS812" s="537" t="n"/>
    </row>
    <row customHeight="1" ht="15.75" r="813" s="452" spans="1:57">
      <c r="A813" s="44" t="n"/>
      <c r="J813" s="404" t="n"/>
      <c r="N813" s="404" t="n"/>
      <c r="R813" s="404" t="n"/>
      <c r="V813" s="404" t="n"/>
      <c r="Z813" s="404" t="n"/>
      <c r="AN813" s="537" t="n"/>
      <c r="AO813" s="537" t="n"/>
      <c r="AR813" s="537" t="n"/>
      <c r="AS813" s="537" t="n"/>
    </row>
    <row customHeight="1" ht="15.75" r="814" s="452" spans="1:57">
      <c r="A814" s="44" t="n"/>
      <c r="J814" s="404" t="n"/>
      <c r="N814" s="404" t="n"/>
      <c r="R814" s="404" t="n"/>
      <c r="V814" s="404" t="n"/>
      <c r="Z814" s="404" t="n"/>
      <c r="AN814" s="537" t="n"/>
      <c r="AO814" s="537" t="n"/>
      <c r="AR814" s="537" t="n"/>
      <c r="AS814" s="537" t="n"/>
    </row>
    <row customHeight="1" ht="15.75" r="815" s="452" spans="1:57">
      <c r="A815" s="44" t="n"/>
      <c r="J815" s="404" t="n"/>
      <c r="N815" s="404" t="n"/>
      <c r="R815" s="404" t="n"/>
      <c r="V815" s="404" t="n"/>
      <c r="Z815" s="404" t="n"/>
      <c r="AN815" s="537" t="n"/>
      <c r="AO815" s="537" t="n"/>
      <c r="AR815" s="537" t="n"/>
      <c r="AS815" s="537" t="n"/>
    </row>
    <row customHeight="1" ht="15.75" r="816" s="452" spans="1:57">
      <c r="A816" s="44" t="n"/>
      <c r="J816" s="404" t="n"/>
      <c r="N816" s="404" t="n"/>
      <c r="R816" s="404" t="n"/>
      <c r="V816" s="404" t="n"/>
      <c r="Z816" s="404" t="n"/>
      <c r="AN816" s="537" t="n"/>
      <c r="AO816" s="537" t="n"/>
      <c r="AR816" s="537" t="n"/>
      <c r="AS816" s="537" t="n"/>
    </row>
    <row customHeight="1" ht="15.75" r="817" s="452" spans="1:57">
      <c r="A817" s="44" t="n"/>
      <c r="J817" s="404" t="n"/>
      <c r="N817" s="404" t="n"/>
      <c r="R817" s="404" t="n"/>
      <c r="V817" s="404" t="n"/>
      <c r="Z817" s="404" t="n"/>
      <c r="AN817" s="537" t="n"/>
      <c r="AO817" s="537" t="n"/>
      <c r="AR817" s="537" t="n"/>
      <c r="AS817" s="537" t="n"/>
    </row>
    <row customHeight="1" ht="15.75" r="818" s="452" spans="1:57">
      <c r="A818" s="44" t="n"/>
      <c r="J818" s="404" t="n"/>
      <c r="N818" s="404" t="n"/>
      <c r="R818" s="404" t="n"/>
      <c r="V818" s="404" t="n"/>
      <c r="Z818" s="404" t="n"/>
      <c r="AN818" s="537" t="n"/>
      <c r="AO818" s="537" t="n"/>
      <c r="AR818" s="537" t="n"/>
      <c r="AS818" s="537" t="n"/>
    </row>
    <row customHeight="1" ht="15.75" r="819" s="452" spans="1:57">
      <c r="A819" s="44" t="n"/>
      <c r="J819" s="404" t="n"/>
      <c r="N819" s="404" t="n"/>
      <c r="R819" s="404" t="n"/>
      <c r="V819" s="404" t="n"/>
      <c r="Z819" s="404" t="n"/>
      <c r="AN819" s="537" t="n"/>
      <c r="AO819" s="537" t="n"/>
      <c r="AR819" s="537" t="n"/>
      <c r="AS819" s="537" t="n"/>
    </row>
    <row customHeight="1" ht="15.75" r="820" s="452" spans="1:57">
      <c r="A820" s="44" t="n"/>
      <c r="J820" s="404" t="n"/>
      <c r="N820" s="404" t="n"/>
      <c r="R820" s="404" t="n"/>
      <c r="V820" s="404" t="n"/>
      <c r="Z820" s="404" t="n"/>
      <c r="AN820" s="537" t="n"/>
      <c r="AO820" s="537" t="n"/>
      <c r="AR820" s="537" t="n"/>
      <c r="AS820" s="537" t="n"/>
    </row>
    <row customHeight="1" ht="15.75" r="821" s="452" spans="1:57">
      <c r="A821" s="44" t="n"/>
      <c r="J821" s="404" t="n"/>
      <c r="N821" s="404" t="n"/>
      <c r="R821" s="404" t="n"/>
      <c r="V821" s="404" t="n"/>
      <c r="Z821" s="404" t="n"/>
      <c r="AN821" s="537" t="n"/>
      <c r="AO821" s="537" t="n"/>
      <c r="AR821" s="537" t="n"/>
      <c r="AS821" s="537" t="n"/>
    </row>
    <row customHeight="1" ht="15.75" r="822" s="452" spans="1:57">
      <c r="A822" s="44" t="n"/>
      <c r="J822" s="404" t="n"/>
      <c r="N822" s="404" t="n"/>
      <c r="R822" s="404" t="n"/>
      <c r="V822" s="404" t="n"/>
      <c r="Z822" s="404" t="n"/>
      <c r="AN822" s="537" t="n"/>
      <c r="AO822" s="537" t="n"/>
      <c r="AR822" s="537" t="n"/>
      <c r="AS822" s="537" t="n"/>
    </row>
    <row customHeight="1" ht="15.75" r="823" s="452" spans="1:57">
      <c r="A823" s="44" t="n"/>
      <c r="J823" s="404" t="n"/>
      <c r="N823" s="404" t="n"/>
      <c r="R823" s="404" t="n"/>
      <c r="V823" s="404" t="n"/>
      <c r="Z823" s="404" t="n"/>
      <c r="AN823" s="537" t="n"/>
      <c r="AO823" s="537" t="n"/>
      <c r="AR823" s="537" t="n"/>
      <c r="AS823" s="537" t="n"/>
    </row>
    <row customHeight="1" ht="15.75" r="824" s="452" spans="1:57">
      <c r="A824" s="44" t="n"/>
      <c r="J824" s="404" t="n"/>
      <c r="N824" s="404" t="n"/>
      <c r="R824" s="404" t="n"/>
      <c r="V824" s="404" t="n"/>
      <c r="Z824" s="404" t="n"/>
      <c r="AN824" s="537" t="n"/>
      <c r="AO824" s="537" t="n"/>
      <c r="AR824" s="537" t="n"/>
      <c r="AS824" s="537" t="n"/>
    </row>
    <row customHeight="1" ht="15.75" r="825" s="452" spans="1:57">
      <c r="A825" s="44" t="n"/>
      <c r="J825" s="404" t="n"/>
      <c r="N825" s="404" t="n"/>
      <c r="R825" s="404" t="n"/>
      <c r="V825" s="404" t="n"/>
      <c r="Z825" s="404" t="n"/>
      <c r="AN825" s="537" t="n"/>
      <c r="AO825" s="537" t="n"/>
      <c r="AR825" s="537" t="n"/>
      <c r="AS825" s="537" t="n"/>
    </row>
    <row customHeight="1" ht="15.75" r="826" s="452" spans="1:57">
      <c r="A826" s="44" t="n"/>
      <c r="J826" s="404" t="n"/>
      <c r="N826" s="404" t="n"/>
      <c r="R826" s="404" t="n"/>
      <c r="V826" s="404" t="n"/>
      <c r="Z826" s="404" t="n"/>
      <c r="AN826" s="537" t="n"/>
      <c r="AO826" s="537" t="n"/>
      <c r="AR826" s="537" t="n"/>
      <c r="AS826" s="537" t="n"/>
    </row>
    <row customHeight="1" ht="15.75" r="827" s="452" spans="1:57">
      <c r="A827" s="44" t="n"/>
      <c r="J827" s="404" t="n"/>
      <c r="N827" s="404" t="n"/>
      <c r="R827" s="404" t="n"/>
      <c r="V827" s="404" t="n"/>
      <c r="Z827" s="404" t="n"/>
      <c r="AN827" s="537" t="n"/>
      <c r="AO827" s="537" t="n"/>
      <c r="AR827" s="537" t="n"/>
      <c r="AS827" s="537" t="n"/>
    </row>
    <row customHeight="1" ht="15.75" r="828" s="452" spans="1:57">
      <c r="A828" s="44" t="n"/>
      <c r="J828" s="404" t="n"/>
      <c r="N828" s="404" t="n"/>
      <c r="R828" s="404" t="n"/>
      <c r="V828" s="404" t="n"/>
      <c r="Z828" s="404" t="n"/>
      <c r="AN828" s="537" t="n"/>
      <c r="AO828" s="537" t="n"/>
      <c r="AR828" s="537" t="n"/>
      <c r="AS828" s="537" t="n"/>
    </row>
    <row customHeight="1" ht="15.75" r="829" s="452" spans="1:57">
      <c r="A829" s="44" t="n"/>
      <c r="J829" s="404" t="n"/>
      <c r="N829" s="404" t="n"/>
      <c r="R829" s="404" t="n"/>
      <c r="V829" s="404" t="n"/>
      <c r="Z829" s="404" t="n"/>
      <c r="AN829" s="537" t="n"/>
      <c r="AO829" s="537" t="n"/>
      <c r="AR829" s="537" t="n"/>
      <c r="AS829" s="537" t="n"/>
    </row>
    <row customHeight="1" ht="15.75" r="830" s="452" spans="1:57">
      <c r="A830" s="44" t="n"/>
      <c r="J830" s="404" t="n"/>
      <c r="N830" s="404" t="n"/>
      <c r="R830" s="404" t="n"/>
      <c r="V830" s="404" t="n"/>
      <c r="Z830" s="404" t="n"/>
      <c r="AN830" s="537" t="n"/>
      <c r="AO830" s="537" t="n"/>
      <c r="AR830" s="537" t="n"/>
      <c r="AS830" s="537" t="n"/>
    </row>
    <row customHeight="1" ht="15.75" r="831" s="452" spans="1:57">
      <c r="A831" s="44" t="n"/>
      <c r="J831" s="404" t="n"/>
      <c r="N831" s="404" t="n"/>
      <c r="R831" s="404" t="n"/>
      <c r="V831" s="404" t="n"/>
      <c r="Z831" s="404" t="n"/>
      <c r="AN831" s="537" t="n"/>
      <c r="AO831" s="537" t="n"/>
      <c r="AR831" s="537" t="n"/>
      <c r="AS831" s="537" t="n"/>
    </row>
    <row customHeight="1" ht="15.75" r="832" s="452" spans="1:57">
      <c r="A832" s="44" t="n"/>
      <c r="J832" s="404" t="n"/>
      <c r="N832" s="404" t="n"/>
      <c r="R832" s="404" t="n"/>
      <c r="V832" s="404" t="n"/>
      <c r="Z832" s="404" t="n"/>
      <c r="AN832" s="537" t="n"/>
      <c r="AO832" s="537" t="n"/>
      <c r="AR832" s="537" t="n"/>
      <c r="AS832" s="537" t="n"/>
    </row>
    <row customHeight="1" ht="15.75" r="833" s="452" spans="1:57">
      <c r="A833" s="44" t="n"/>
      <c r="J833" s="404" t="n"/>
      <c r="N833" s="404" t="n"/>
      <c r="R833" s="404" t="n"/>
      <c r="V833" s="404" t="n"/>
      <c r="Z833" s="404" t="n"/>
      <c r="AN833" s="537" t="n"/>
      <c r="AO833" s="537" t="n"/>
      <c r="AR833" s="537" t="n"/>
      <c r="AS833" s="537" t="n"/>
    </row>
    <row customHeight="1" ht="15.75" r="834" s="452" spans="1:57">
      <c r="A834" s="44" t="n"/>
      <c r="J834" s="404" t="n"/>
      <c r="N834" s="404" t="n"/>
      <c r="R834" s="404" t="n"/>
      <c r="V834" s="404" t="n"/>
      <c r="Z834" s="404" t="n"/>
      <c r="AN834" s="537" t="n"/>
      <c r="AO834" s="537" t="n"/>
      <c r="AR834" s="537" t="n"/>
      <c r="AS834" s="537" t="n"/>
    </row>
    <row customHeight="1" ht="15.75" r="835" s="452" spans="1:57">
      <c r="A835" s="44" t="n"/>
      <c r="J835" s="404" t="n"/>
      <c r="N835" s="404" t="n"/>
      <c r="R835" s="404" t="n"/>
      <c r="V835" s="404" t="n"/>
      <c r="Z835" s="404" t="n"/>
      <c r="AN835" s="537" t="n"/>
      <c r="AO835" s="537" t="n"/>
      <c r="AR835" s="537" t="n"/>
      <c r="AS835" s="537" t="n"/>
    </row>
    <row customHeight="1" ht="15.75" r="836" s="452" spans="1:57">
      <c r="A836" s="44" t="n"/>
      <c r="J836" s="404" t="n"/>
      <c r="N836" s="404" t="n"/>
      <c r="R836" s="404" t="n"/>
      <c r="V836" s="404" t="n"/>
      <c r="Z836" s="404" t="n"/>
      <c r="AN836" s="537" t="n"/>
      <c r="AO836" s="537" t="n"/>
      <c r="AR836" s="537" t="n"/>
      <c r="AS836" s="537" t="n"/>
    </row>
    <row customHeight="1" ht="15.75" r="837" s="452" spans="1:57">
      <c r="A837" s="44" t="n"/>
      <c r="J837" s="404" t="n"/>
      <c r="N837" s="404" t="n"/>
      <c r="R837" s="404" t="n"/>
      <c r="V837" s="404" t="n"/>
      <c r="Z837" s="404" t="n"/>
      <c r="AN837" s="537" t="n"/>
      <c r="AO837" s="537" t="n"/>
      <c r="AR837" s="537" t="n"/>
      <c r="AS837" s="537" t="n"/>
    </row>
    <row customHeight="1" ht="15.75" r="838" s="452" spans="1:57">
      <c r="A838" s="44" t="n"/>
      <c r="J838" s="404" t="n"/>
      <c r="N838" s="404" t="n"/>
      <c r="R838" s="404" t="n"/>
      <c r="V838" s="404" t="n"/>
      <c r="Z838" s="404" t="n"/>
      <c r="AN838" s="537" t="n"/>
      <c r="AO838" s="537" t="n"/>
      <c r="AR838" s="537" t="n"/>
      <c r="AS838" s="537" t="n"/>
    </row>
    <row customHeight="1" ht="15.75" r="839" s="452" spans="1:57">
      <c r="A839" s="44" t="n"/>
      <c r="J839" s="404" t="n"/>
      <c r="N839" s="404" t="n"/>
      <c r="R839" s="404" t="n"/>
      <c r="V839" s="404" t="n"/>
      <c r="Z839" s="404" t="n"/>
      <c r="AN839" s="537" t="n"/>
      <c r="AO839" s="537" t="n"/>
      <c r="AR839" s="537" t="n"/>
      <c r="AS839" s="537" t="n"/>
    </row>
    <row customHeight="1" ht="15.75" r="840" s="452" spans="1:57">
      <c r="A840" s="44" t="n"/>
      <c r="J840" s="404" t="n"/>
      <c r="N840" s="404" t="n"/>
      <c r="R840" s="404" t="n"/>
      <c r="V840" s="404" t="n"/>
      <c r="Z840" s="404" t="n"/>
      <c r="AN840" s="537" t="n"/>
      <c r="AO840" s="537" t="n"/>
      <c r="AR840" s="537" t="n"/>
      <c r="AS840" s="537" t="n"/>
    </row>
    <row customHeight="1" ht="15.75" r="841" s="452" spans="1:57">
      <c r="A841" s="44" t="n"/>
      <c r="J841" s="404" t="n"/>
      <c r="N841" s="404" t="n"/>
      <c r="R841" s="404" t="n"/>
      <c r="V841" s="404" t="n"/>
      <c r="Z841" s="404" t="n"/>
      <c r="AN841" s="537" t="n"/>
      <c r="AO841" s="537" t="n"/>
      <c r="AR841" s="537" t="n"/>
      <c r="AS841" s="537" t="n"/>
    </row>
    <row customHeight="1" ht="15.75" r="842" s="452" spans="1:57">
      <c r="A842" s="44" t="n"/>
      <c r="J842" s="404" t="n"/>
      <c r="N842" s="404" t="n"/>
      <c r="R842" s="404" t="n"/>
      <c r="V842" s="404" t="n"/>
      <c r="Z842" s="404" t="n"/>
      <c r="AN842" s="537" t="n"/>
      <c r="AO842" s="537" t="n"/>
      <c r="AR842" s="537" t="n"/>
      <c r="AS842" s="537" t="n"/>
    </row>
    <row customHeight="1" ht="15.75" r="843" s="452" spans="1:57">
      <c r="A843" s="44" t="n"/>
      <c r="J843" s="404" t="n"/>
      <c r="N843" s="404" t="n"/>
      <c r="R843" s="404" t="n"/>
      <c r="V843" s="404" t="n"/>
      <c r="Z843" s="404" t="n"/>
      <c r="AN843" s="537" t="n"/>
      <c r="AO843" s="537" t="n"/>
      <c r="AR843" s="537" t="n"/>
      <c r="AS843" s="537" t="n"/>
    </row>
    <row customHeight="1" ht="15.75" r="844" s="452" spans="1:57">
      <c r="A844" s="44" t="n"/>
      <c r="J844" s="404" t="n"/>
      <c r="N844" s="404" t="n"/>
      <c r="R844" s="404" t="n"/>
      <c r="V844" s="404" t="n"/>
      <c r="Z844" s="404" t="n"/>
      <c r="AN844" s="537" t="n"/>
      <c r="AO844" s="537" t="n"/>
      <c r="AR844" s="537" t="n"/>
      <c r="AS844" s="537" t="n"/>
    </row>
    <row customHeight="1" ht="15.75" r="845" s="452" spans="1:57">
      <c r="A845" s="44" t="n"/>
      <c r="J845" s="404" t="n"/>
      <c r="N845" s="404" t="n"/>
      <c r="R845" s="404" t="n"/>
      <c r="V845" s="404" t="n"/>
      <c r="Z845" s="404" t="n"/>
      <c r="AN845" s="537" t="n"/>
      <c r="AO845" s="537" t="n"/>
      <c r="AR845" s="537" t="n"/>
      <c r="AS845" s="537" t="n"/>
    </row>
    <row customHeight="1" ht="15.75" r="846" s="452" spans="1:57">
      <c r="A846" s="44" t="n"/>
      <c r="J846" s="404" t="n"/>
      <c r="N846" s="404" t="n"/>
      <c r="R846" s="404" t="n"/>
      <c r="V846" s="404" t="n"/>
      <c r="Z846" s="404" t="n"/>
      <c r="AN846" s="537" t="n"/>
      <c r="AO846" s="537" t="n"/>
      <c r="AR846" s="537" t="n"/>
      <c r="AS846" s="537" t="n"/>
    </row>
    <row customHeight="1" ht="15.75" r="847" s="452" spans="1:57">
      <c r="A847" s="44" t="n"/>
      <c r="J847" s="404" t="n"/>
      <c r="N847" s="404" t="n"/>
      <c r="R847" s="404" t="n"/>
      <c r="V847" s="404" t="n"/>
      <c r="Z847" s="404" t="n"/>
      <c r="AN847" s="537" t="n"/>
      <c r="AO847" s="537" t="n"/>
      <c r="AR847" s="537" t="n"/>
      <c r="AS847" s="537" t="n"/>
    </row>
    <row customHeight="1" ht="15.75" r="848" s="452" spans="1:57">
      <c r="A848" s="44" t="n"/>
      <c r="J848" s="404" t="n"/>
      <c r="N848" s="404" t="n"/>
      <c r="R848" s="404" t="n"/>
      <c r="V848" s="404" t="n"/>
      <c r="Z848" s="404" t="n"/>
      <c r="AN848" s="537" t="n"/>
      <c r="AO848" s="537" t="n"/>
      <c r="AR848" s="537" t="n"/>
      <c r="AS848" s="537" t="n"/>
    </row>
    <row customHeight="1" ht="15.75" r="849" s="452" spans="1:57">
      <c r="A849" s="44" t="n"/>
      <c r="J849" s="404" t="n"/>
      <c r="N849" s="404" t="n"/>
      <c r="R849" s="404" t="n"/>
      <c r="V849" s="404" t="n"/>
      <c r="Z849" s="404" t="n"/>
      <c r="AN849" s="537" t="n"/>
      <c r="AO849" s="537" t="n"/>
      <c r="AR849" s="537" t="n"/>
      <c r="AS849" s="537" t="n"/>
    </row>
    <row customHeight="1" ht="15.75" r="850" s="452" spans="1:57">
      <c r="A850" s="44" t="n"/>
      <c r="J850" s="404" t="n"/>
      <c r="N850" s="404" t="n"/>
      <c r="R850" s="404" t="n"/>
      <c r="V850" s="404" t="n"/>
      <c r="Z850" s="404" t="n"/>
      <c r="AN850" s="537" t="n"/>
      <c r="AO850" s="537" t="n"/>
      <c r="AR850" s="537" t="n"/>
      <c r="AS850" s="537" t="n"/>
    </row>
    <row customHeight="1" ht="15.75" r="851" s="452" spans="1:57">
      <c r="A851" s="44" t="n"/>
      <c r="J851" s="404" t="n"/>
      <c r="N851" s="404" t="n"/>
      <c r="R851" s="404" t="n"/>
      <c r="V851" s="404" t="n"/>
      <c r="Z851" s="404" t="n"/>
      <c r="AN851" s="537" t="n"/>
      <c r="AO851" s="537" t="n"/>
      <c r="AR851" s="537" t="n"/>
      <c r="AS851" s="537" t="n"/>
    </row>
    <row customHeight="1" ht="15.75" r="852" s="452" spans="1:57">
      <c r="A852" s="44" t="n"/>
      <c r="J852" s="404" t="n"/>
      <c r="N852" s="404" t="n"/>
      <c r="R852" s="404" t="n"/>
      <c r="V852" s="404" t="n"/>
      <c r="Z852" s="404" t="n"/>
      <c r="AN852" s="537" t="n"/>
      <c r="AO852" s="537" t="n"/>
      <c r="AR852" s="537" t="n"/>
      <c r="AS852" s="537" t="n"/>
    </row>
    <row customHeight="1" ht="15.75" r="853" s="452" spans="1:57">
      <c r="A853" s="44" t="n"/>
      <c r="J853" s="404" t="n"/>
      <c r="N853" s="404" t="n"/>
      <c r="R853" s="404" t="n"/>
      <c r="V853" s="404" t="n"/>
      <c r="Z853" s="404" t="n"/>
      <c r="AN853" s="537" t="n"/>
      <c r="AO853" s="537" t="n"/>
      <c r="AR853" s="537" t="n"/>
      <c r="AS853" s="537" t="n"/>
    </row>
    <row customHeight="1" ht="15.75" r="854" s="452" spans="1:57">
      <c r="A854" s="44" t="n"/>
      <c r="J854" s="404" t="n"/>
      <c r="N854" s="404" t="n"/>
      <c r="R854" s="404" t="n"/>
      <c r="V854" s="404" t="n"/>
      <c r="Z854" s="404" t="n"/>
      <c r="AN854" s="537" t="n"/>
      <c r="AO854" s="537" t="n"/>
      <c r="AR854" s="537" t="n"/>
      <c r="AS854" s="537" t="n"/>
    </row>
    <row customHeight="1" ht="15.75" r="855" s="452" spans="1:57">
      <c r="A855" s="44" t="n"/>
      <c r="J855" s="404" t="n"/>
      <c r="N855" s="404" t="n"/>
      <c r="R855" s="404" t="n"/>
      <c r="V855" s="404" t="n"/>
      <c r="Z855" s="404" t="n"/>
      <c r="AN855" s="537" t="n"/>
      <c r="AO855" s="537" t="n"/>
      <c r="AR855" s="537" t="n"/>
      <c r="AS855" s="537" t="n"/>
    </row>
    <row customHeight="1" ht="15.75" r="856" s="452" spans="1:57">
      <c r="A856" s="44" t="n"/>
      <c r="J856" s="404" t="n"/>
      <c r="N856" s="404" t="n"/>
      <c r="R856" s="404" t="n"/>
      <c r="V856" s="404" t="n"/>
      <c r="Z856" s="404" t="n"/>
      <c r="AN856" s="537" t="n"/>
      <c r="AO856" s="537" t="n"/>
      <c r="AR856" s="537" t="n"/>
      <c r="AS856" s="537" t="n"/>
    </row>
    <row customHeight="1" ht="15.75" r="857" s="452" spans="1:57">
      <c r="A857" s="44" t="n"/>
      <c r="J857" s="404" t="n"/>
      <c r="N857" s="404" t="n"/>
      <c r="R857" s="404" t="n"/>
      <c r="V857" s="404" t="n"/>
      <c r="Z857" s="404" t="n"/>
      <c r="AN857" s="537" t="n"/>
      <c r="AO857" s="537" t="n"/>
      <c r="AR857" s="537" t="n"/>
      <c r="AS857" s="537" t="n"/>
    </row>
    <row customHeight="1" ht="15.75" r="858" s="452" spans="1:57">
      <c r="A858" s="44" t="n"/>
      <c r="J858" s="404" t="n"/>
      <c r="N858" s="404" t="n"/>
      <c r="R858" s="404" t="n"/>
      <c r="V858" s="404" t="n"/>
      <c r="Z858" s="404" t="n"/>
      <c r="AN858" s="537" t="n"/>
      <c r="AO858" s="537" t="n"/>
      <c r="AR858" s="537" t="n"/>
      <c r="AS858" s="537" t="n"/>
    </row>
    <row customHeight="1" ht="15.75" r="859" s="452" spans="1:57">
      <c r="A859" s="44" t="n"/>
      <c r="J859" s="404" t="n"/>
      <c r="N859" s="404" t="n"/>
      <c r="R859" s="404" t="n"/>
      <c r="V859" s="404" t="n"/>
      <c r="Z859" s="404" t="n"/>
      <c r="AN859" s="537" t="n"/>
      <c r="AO859" s="537" t="n"/>
      <c r="AR859" s="537" t="n"/>
      <c r="AS859" s="537" t="n"/>
    </row>
    <row customHeight="1" ht="15.75" r="860" s="452" spans="1:57">
      <c r="A860" s="44" t="n"/>
      <c r="J860" s="404" t="n"/>
      <c r="N860" s="404" t="n"/>
      <c r="R860" s="404" t="n"/>
      <c r="V860" s="404" t="n"/>
      <c r="Z860" s="404" t="n"/>
      <c r="AN860" s="537" t="n"/>
      <c r="AO860" s="537" t="n"/>
      <c r="AR860" s="537" t="n"/>
      <c r="AS860" s="537" t="n"/>
    </row>
    <row customHeight="1" ht="15.75" r="861" s="452" spans="1:57">
      <c r="A861" s="44" t="n"/>
      <c r="J861" s="404" t="n"/>
      <c r="N861" s="404" t="n"/>
      <c r="R861" s="404" t="n"/>
      <c r="V861" s="404" t="n"/>
      <c r="Z861" s="404" t="n"/>
      <c r="AN861" s="537" t="n"/>
      <c r="AO861" s="537" t="n"/>
      <c r="AR861" s="537" t="n"/>
      <c r="AS861" s="537" t="n"/>
    </row>
    <row customHeight="1" ht="15.75" r="862" s="452" spans="1:57">
      <c r="A862" s="44" t="n"/>
      <c r="J862" s="404" t="n"/>
      <c r="N862" s="404" t="n"/>
      <c r="R862" s="404" t="n"/>
      <c r="V862" s="404" t="n"/>
      <c r="Z862" s="404" t="n"/>
      <c r="AN862" s="537" t="n"/>
      <c r="AO862" s="537" t="n"/>
      <c r="AR862" s="537" t="n"/>
      <c r="AS862" s="537" t="n"/>
    </row>
    <row customHeight="1" ht="15.75" r="863" s="452" spans="1:57">
      <c r="A863" s="44" t="n"/>
      <c r="J863" s="404" t="n"/>
      <c r="N863" s="404" t="n"/>
      <c r="R863" s="404" t="n"/>
      <c r="V863" s="404" t="n"/>
      <c r="Z863" s="404" t="n"/>
      <c r="AN863" s="537" t="n"/>
      <c r="AO863" s="537" t="n"/>
      <c r="AR863" s="537" t="n"/>
      <c r="AS863" s="537" t="n"/>
    </row>
    <row customHeight="1" ht="15.75" r="864" s="452" spans="1:57">
      <c r="A864" s="44" t="n"/>
      <c r="J864" s="404" t="n"/>
      <c r="N864" s="404" t="n"/>
      <c r="R864" s="404" t="n"/>
      <c r="V864" s="404" t="n"/>
      <c r="Z864" s="404" t="n"/>
      <c r="AN864" s="537" t="n"/>
      <c r="AO864" s="537" t="n"/>
      <c r="AR864" s="537" t="n"/>
      <c r="AS864" s="537" t="n"/>
    </row>
    <row customHeight="1" ht="15.75" r="865" s="452" spans="1:57">
      <c r="A865" s="44" t="n"/>
      <c r="J865" s="404" t="n"/>
      <c r="N865" s="404" t="n"/>
      <c r="R865" s="404" t="n"/>
      <c r="V865" s="404" t="n"/>
      <c r="Z865" s="404" t="n"/>
      <c r="AN865" s="537" t="n"/>
      <c r="AO865" s="537" t="n"/>
      <c r="AR865" s="537" t="n"/>
      <c r="AS865" s="537" t="n"/>
    </row>
    <row customHeight="1" ht="15.75" r="866" s="452" spans="1:57">
      <c r="A866" s="44" t="n"/>
      <c r="J866" s="404" t="n"/>
      <c r="N866" s="404" t="n"/>
      <c r="R866" s="404" t="n"/>
      <c r="V866" s="404" t="n"/>
      <c r="Z866" s="404" t="n"/>
      <c r="AN866" s="537" t="n"/>
      <c r="AO866" s="537" t="n"/>
      <c r="AR866" s="537" t="n"/>
      <c r="AS866" s="537" t="n"/>
    </row>
    <row customHeight="1" ht="15.75" r="867" s="452" spans="1:57">
      <c r="A867" s="44" t="n"/>
      <c r="J867" s="404" t="n"/>
      <c r="N867" s="404" t="n"/>
      <c r="R867" s="404" t="n"/>
      <c r="V867" s="404" t="n"/>
      <c r="Z867" s="404" t="n"/>
      <c r="AN867" s="537" t="n"/>
      <c r="AO867" s="537" t="n"/>
      <c r="AR867" s="537" t="n"/>
      <c r="AS867" s="537" t="n"/>
    </row>
    <row customHeight="1" ht="15.75" r="868" s="452" spans="1:57">
      <c r="A868" s="44" t="n"/>
      <c r="J868" s="404" t="n"/>
      <c r="N868" s="404" t="n"/>
      <c r="R868" s="404" t="n"/>
      <c r="V868" s="404" t="n"/>
      <c r="Z868" s="404" t="n"/>
      <c r="AN868" s="537" t="n"/>
      <c r="AO868" s="537" t="n"/>
      <c r="AR868" s="537" t="n"/>
      <c r="AS868" s="537" t="n"/>
    </row>
    <row customHeight="1" ht="15.75" r="869" s="452" spans="1:57">
      <c r="A869" s="44" t="n"/>
      <c r="J869" s="404" t="n"/>
      <c r="N869" s="404" t="n"/>
      <c r="R869" s="404" t="n"/>
      <c r="V869" s="404" t="n"/>
      <c r="Z869" s="404" t="n"/>
      <c r="AN869" s="537" t="n"/>
      <c r="AO869" s="537" t="n"/>
      <c r="AR869" s="537" t="n"/>
      <c r="AS869" s="537" t="n"/>
    </row>
    <row customHeight="1" ht="15.75" r="870" s="452" spans="1:57">
      <c r="A870" s="44" t="n"/>
      <c r="J870" s="404" t="n"/>
      <c r="N870" s="404" t="n"/>
      <c r="R870" s="404" t="n"/>
      <c r="V870" s="404" t="n"/>
      <c r="Z870" s="404" t="n"/>
      <c r="AN870" s="537" t="n"/>
      <c r="AO870" s="537" t="n"/>
      <c r="AR870" s="537" t="n"/>
      <c r="AS870" s="537" t="n"/>
    </row>
    <row customHeight="1" ht="15.75" r="871" s="452" spans="1:57">
      <c r="A871" s="44" t="n"/>
      <c r="J871" s="404" t="n"/>
      <c r="N871" s="404" t="n"/>
      <c r="R871" s="404" t="n"/>
      <c r="V871" s="404" t="n"/>
      <c r="Z871" s="404" t="n"/>
      <c r="AN871" s="537" t="n"/>
      <c r="AO871" s="537" t="n"/>
      <c r="AR871" s="537" t="n"/>
      <c r="AS871" s="537" t="n"/>
    </row>
    <row customHeight="1" ht="15.75" r="872" s="452" spans="1:57">
      <c r="A872" s="44" t="n"/>
      <c r="J872" s="404" t="n"/>
      <c r="N872" s="404" t="n"/>
      <c r="R872" s="404" t="n"/>
      <c r="V872" s="404" t="n"/>
      <c r="Z872" s="404" t="n"/>
      <c r="AN872" s="537" t="n"/>
      <c r="AO872" s="537" t="n"/>
      <c r="AR872" s="537" t="n"/>
      <c r="AS872" s="537" t="n"/>
    </row>
    <row customHeight="1" ht="15.75" r="873" s="452" spans="1:57">
      <c r="A873" s="44" t="n"/>
      <c r="J873" s="404" t="n"/>
      <c r="N873" s="404" t="n"/>
      <c r="R873" s="404" t="n"/>
      <c r="V873" s="404" t="n"/>
      <c r="Z873" s="404" t="n"/>
      <c r="AN873" s="537" t="n"/>
      <c r="AO873" s="537" t="n"/>
      <c r="AR873" s="537" t="n"/>
      <c r="AS873" s="537" t="n"/>
    </row>
    <row customHeight="1" ht="15.75" r="874" s="452" spans="1:57">
      <c r="A874" s="44" t="n"/>
      <c r="J874" s="404" t="n"/>
      <c r="N874" s="404" t="n"/>
      <c r="R874" s="404" t="n"/>
      <c r="V874" s="404" t="n"/>
      <c r="Z874" s="404" t="n"/>
      <c r="AN874" s="537" t="n"/>
      <c r="AO874" s="537" t="n"/>
      <c r="AR874" s="537" t="n"/>
      <c r="AS874" s="537" t="n"/>
    </row>
    <row customHeight="1" ht="15.75" r="875" s="452" spans="1:57">
      <c r="A875" s="44" t="n"/>
      <c r="J875" s="404" t="n"/>
      <c r="N875" s="404" t="n"/>
      <c r="R875" s="404" t="n"/>
      <c r="V875" s="404" t="n"/>
      <c r="Z875" s="404" t="n"/>
      <c r="AN875" s="537" t="n"/>
      <c r="AO875" s="537" t="n"/>
      <c r="AR875" s="537" t="n"/>
      <c r="AS875" s="537" t="n"/>
    </row>
    <row customHeight="1" ht="15.75" r="876" s="452" spans="1:57">
      <c r="A876" s="44" t="n"/>
      <c r="J876" s="404" t="n"/>
      <c r="N876" s="404" t="n"/>
      <c r="R876" s="404" t="n"/>
      <c r="V876" s="404" t="n"/>
      <c r="Z876" s="404" t="n"/>
      <c r="AN876" s="537" t="n"/>
      <c r="AO876" s="537" t="n"/>
      <c r="AR876" s="537" t="n"/>
      <c r="AS876" s="537" t="n"/>
    </row>
    <row customHeight="1" ht="15.75" r="877" s="452" spans="1:57">
      <c r="A877" s="44" t="n"/>
      <c r="J877" s="404" t="n"/>
      <c r="N877" s="404" t="n"/>
      <c r="R877" s="404" t="n"/>
      <c r="V877" s="404" t="n"/>
      <c r="Z877" s="404" t="n"/>
      <c r="AN877" s="537" t="n"/>
      <c r="AO877" s="537" t="n"/>
      <c r="AR877" s="537" t="n"/>
      <c r="AS877" s="537" t="n"/>
    </row>
    <row customHeight="1" ht="15.75" r="878" s="452" spans="1:57">
      <c r="A878" s="44" t="n"/>
      <c r="J878" s="404" t="n"/>
      <c r="N878" s="404" t="n"/>
      <c r="R878" s="404" t="n"/>
      <c r="V878" s="404" t="n"/>
      <c r="Z878" s="404" t="n"/>
      <c r="AN878" s="537" t="n"/>
      <c r="AO878" s="537" t="n"/>
      <c r="AR878" s="537" t="n"/>
      <c r="AS878" s="537" t="n"/>
    </row>
    <row customHeight="1" ht="15.75" r="879" s="452" spans="1:57">
      <c r="A879" s="44" t="n"/>
      <c r="J879" s="404" t="n"/>
      <c r="N879" s="404" t="n"/>
      <c r="R879" s="404" t="n"/>
      <c r="V879" s="404" t="n"/>
      <c r="Z879" s="404" t="n"/>
      <c r="AN879" s="537" t="n"/>
      <c r="AO879" s="537" t="n"/>
      <c r="AR879" s="537" t="n"/>
      <c r="AS879" s="537" t="n"/>
    </row>
    <row customHeight="1" ht="15.75" r="880" s="452" spans="1:57">
      <c r="A880" s="44" t="n"/>
      <c r="J880" s="404" t="n"/>
      <c r="N880" s="404" t="n"/>
      <c r="R880" s="404" t="n"/>
      <c r="V880" s="404" t="n"/>
      <c r="Z880" s="404" t="n"/>
      <c r="AN880" s="537" t="n"/>
      <c r="AO880" s="537" t="n"/>
      <c r="AR880" s="537" t="n"/>
      <c r="AS880" s="537" t="n"/>
    </row>
    <row customHeight="1" ht="15.75" r="881" s="452" spans="1:57">
      <c r="A881" s="44" t="n"/>
      <c r="J881" s="404" t="n"/>
      <c r="N881" s="404" t="n"/>
      <c r="R881" s="404" t="n"/>
      <c r="V881" s="404" t="n"/>
      <c r="Z881" s="404" t="n"/>
      <c r="AN881" s="537" t="n"/>
      <c r="AO881" s="537" t="n"/>
      <c r="AR881" s="537" t="n"/>
      <c r="AS881" s="537" t="n"/>
    </row>
    <row customHeight="1" ht="15.75" r="882" s="452" spans="1:57">
      <c r="A882" s="44" t="n"/>
      <c r="J882" s="404" t="n"/>
      <c r="N882" s="404" t="n"/>
      <c r="R882" s="404" t="n"/>
      <c r="V882" s="404" t="n"/>
      <c r="Z882" s="404" t="n"/>
      <c r="AN882" s="537" t="n"/>
      <c r="AO882" s="537" t="n"/>
      <c r="AR882" s="537" t="n"/>
      <c r="AS882" s="537" t="n"/>
    </row>
    <row customHeight="1" ht="15.75" r="883" s="452" spans="1:57">
      <c r="A883" s="44" t="n"/>
      <c r="J883" s="404" t="n"/>
      <c r="N883" s="404" t="n"/>
      <c r="R883" s="404" t="n"/>
      <c r="V883" s="404" t="n"/>
      <c r="Z883" s="404" t="n"/>
      <c r="AN883" s="537" t="n"/>
      <c r="AO883" s="537" t="n"/>
      <c r="AR883" s="537" t="n"/>
      <c r="AS883" s="537" t="n"/>
    </row>
    <row customHeight="1" ht="15.75" r="884" s="452" spans="1:57">
      <c r="A884" s="44" t="n"/>
      <c r="J884" s="404" t="n"/>
      <c r="N884" s="404" t="n"/>
      <c r="R884" s="404" t="n"/>
      <c r="V884" s="404" t="n"/>
      <c r="Z884" s="404" t="n"/>
      <c r="AN884" s="537" t="n"/>
      <c r="AO884" s="537" t="n"/>
      <c r="AR884" s="537" t="n"/>
      <c r="AS884" s="537" t="n"/>
    </row>
    <row customHeight="1" ht="15.75" r="885" s="452" spans="1:57">
      <c r="A885" s="44" t="n"/>
      <c r="J885" s="404" t="n"/>
      <c r="N885" s="404" t="n"/>
      <c r="R885" s="404" t="n"/>
      <c r="V885" s="404" t="n"/>
      <c r="Z885" s="404" t="n"/>
      <c r="AN885" s="537" t="n"/>
      <c r="AO885" s="537" t="n"/>
      <c r="AR885" s="537" t="n"/>
      <c r="AS885" s="537" t="n"/>
    </row>
    <row customHeight="1" ht="15.75" r="886" s="452" spans="1:57">
      <c r="A886" s="44" t="n"/>
      <c r="J886" s="404" t="n"/>
      <c r="N886" s="404" t="n"/>
      <c r="R886" s="404" t="n"/>
      <c r="V886" s="404" t="n"/>
      <c r="Z886" s="404" t="n"/>
      <c r="AN886" s="537" t="n"/>
      <c r="AO886" s="537" t="n"/>
      <c r="AR886" s="537" t="n"/>
      <c r="AS886" s="537" t="n"/>
    </row>
    <row customHeight="1" ht="15.75" r="887" s="452" spans="1:57">
      <c r="A887" s="44" t="n"/>
      <c r="J887" s="404" t="n"/>
      <c r="N887" s="404" t="n"/>
      <c r="R887" s="404" t="n"/>
      <c r="V887" s="404" t="n"/>
      <c r="Z887" s="404" t="n"/>
      <c r="AN887" s="537" t="n"/>
      <c r="AO887" s="537" t="n"/>
      <c r="AR887" s="537" t="n"/>
      <c r="AS887" s="537" t="n"/>
    </row>
    <row customHeight="1" ht="15.75" r="888" s="452" spans="1:57">
      <c r="A888" s="44" t="n"/>
      <c r="J888" s="404" t="n"/>
      <c r="N888" s="404" t="n"/>
      <c r="R888" s="404" t="n"/>
      <c r="V888" s="404" t="n"/>
      <c r="Z888" s="404" t="n"/>
      <c r="AN888" s="537" t="n"/>
      <c r="AO888" s="537" t="n"/>
      <c r="AR888" s="537" t="n"/>
      <c r="AS888" s="537" t="n"/>
    </row>
    <row customHeight="1" ht="15.75" r="889" s="452" spans="1:57">
      <c r="A889" s="44" t="n"/>
      <c r="J889" s="404" t="n"/>
      <c r="N889" s="404" t="n"/>
      <c r="R889" s="404" t="n"/>
      <c r="V889" s="404" t="n"/>
      <c r="Z889" s="404" t="n"/>
      <c r="AN889" s="537" t="n"/>
      <c r="AO889" s="537" t="n"/>
      <c r="AR889" s="537" t="n"/>
      <c r="AS889" s="537" t="n"/>
    </row>
    <row customHeight="1" ht="15.75" r="890" s="452" spans="1:57">
      <c r="A890" s="44" t="n"/>
      <c r="J890" s="404" t="n"/>
      <c r="N890" s="404" t="n"/>
      <c r="R890" s="404" t="n"/>
      <c r="V890" s="404" t="n"/>
      <c r="Z890" s="404" t="n"/>
      <c r="AN890" s="537" t="n"/>
      <c r="AO890" s="537" t="n"/>
      <c r="AR890" s="537" t="n"/>
      <c r="AS890" s="537" t="n"/>
    </row>
    <row customHeight="1" ht="15.75" r="891" s="452" spans="1:57">
      <c r="A891" s="44" t="n"/>
      <c r="J891" s="404" t="n"/>
      <c r="N891" s="404" t="n"/>
      <c r="R891" s="404" t="n"/>
      <c r="V891" s="404" t="n"/>
      <c r="Z891" s="404" t="n"/>
      <c r="AN891" s="537" t="n"/>
      <c r="AO891" s="537" t="n"/>
      <c r="AR891" s="537" t="n"/>
      <c r="AS891" s="537" t="n"/>
    </row>
    <row customHeight="1" ht="15.75" r="892" s="452" spans="1:57">
      <c r="A892" s="44" t="n"/>
      <c r="J892" s="404" t="n"/>
      <c r="N892" s="404" t="n"/>
      <c r="R892" s="404" t="n"/>
      <c r="V892" s="404" t="n"/>
      <c r="Z892" s="404" t="n"/>
      <c r="AN892" s="537" t="n"/>
      <c r="AO892" s="537" t="n"/>
      <c r="AR892" s="537" t="n"/>
      <c r="AS892" s="537" t="n"/>
    </row>
    <row customHeight="1" ht="15.75" r="893" s="452" spans="1:57">
      <c r="A893" s="44" t="n"/>
      <c r="J893" s="404" t="n"/>
      <c r="N893" s="404" t="n"/>
      <c r="R893" s="404" t="n"/>
      <c r="V893" s="404" t="n"/>
      <c r="Z893" s="404" t="n"/>
      <c r="AN893" s="537" t="n"/>
      <c r="AO893" s="537" t="n"/>
      <c r="AR893" s="537" t="n"/>
      <c r="AS893" s="537" t="n"/>
    </row>
    <row customHeight="1" ht="15.75" r="894" s="452" spans="1:57">
      <c r="A894" s="44" t="n"/>
      <c r="J894" s="404" t="n"/>
      <c r="N894" s="404" t="n"/>
      <c r="R894" s="404" t="n"/>
      <c r="V894" s="404" t="n"/>
      <c r="Z894" s="404" t="n"/>
      <c r="AN894" s="537" t="n"/>
      <c r="AO894" s="537" t="n"/>
      <c r="AR894" s="537" t="n"/>
      <c r="AS894" s="537" t="n"/>
    </row>
    <row customHeight="1" ht="15.75" r="895" s="452" spans="1:57">
      <c r="A895" s="44" t="n"/>
      <c r="J895" s="404" t="n"/>
      <c r="N895" s="404" t="n"/>
      <c r="R895" s="404" t="n"/>
      <c r="V895" s="404" t="n"/>
      <c r="Z895" s="404" t="n"/>
      <c r="AN895" s="537" t="n"/>
      <c r="AO895" s="537" t="n"/>
      <c r="AR895" s="537" t="n"/>
      <c r="AS895" s="537" t="n"/>
    </row>
    <row customHeight="1" ht="15.75" r="896" s="452" spans="1:57">
      <c r="A896" s="44" t="n"/>
      <c r="J896" s="404" t="n"/>
      <c r="N896" s="404" t="n"/>
      <c r="R896" s="404" t="n"/>
      <c r="V896" s="404" t="n"/>
      <c r="Z896" s="404" t="n"/>
      <c r="AN896" s="537" t="n"/>
      <c r="AO896" s="537" t="n"/>
      <c r="AR896" s="537" t="n"/>
      <c r="AS896" s="537" t="n"/>
    </row>
    <row customHeight="1" ht="15.75" r="897" s="452" spans="1:57">
      <c r="A897" s="44" t="n"/>
      <c r="J897" s="404" t="n"/>
      <c r="N897" s="404" t="n"/>
      <c r="R897" s="404" t="n"/>
      <c r="V897" s="404" t="n"/>
      <c r="Z897" s="404" t="n"/>
      <c r="AN897" s="537" t="n"/>
      <c r="AO897" s="537" t="n"/>
      <c r="AR897" s="537" t="n"/>
      <c r="AS897" s="537" t="n"/>
    </row>
    <row customHeight="1" ht="15.75" r="898" s="452" spans="1:57">
      <c r="A898" s="44" t="n"/>
      <c r="J898" s="404" t="n"/>
      <c r="N898" s="404" t="n"/>
      <c r="R898" s="404" t="n"/>
      <c r="V898" s="404" t="n"/>
      <c r="Z898" s="404" t="n"/>
      <c r="AN898" s="537" t="n"/>
      <c r="AO898" s="537" t="n"/>
      <c r="AR898" s="537" t="n"/>
      <c r="AS898" s="537" t="n"/>
    </row>
    <row customHeight="1" ht="15.75" r="899" s="452" spans="1:57">
      <c r="A899" s="44" t="n"/>
      <c r="J899" s="404" t="n"/>
      <c r="N899" s="404" t="n"/>
      <c r="R899" s="404" t="n"/>
      <c r="V899" s="404" t="n"/>
      <c r="Z899" s="404" t="n"/>
      <c r="AN899" s="537" t="n"/>
      <c r="AO899" s="537" t="n"/>
      <c r="AR899" s="537" t="n"/>
      <c r="AS899" s="537" t="n"/>
    </row>
    <row customHeight="1" ht="15.75" r="900" s="452" spans="1:57">
      <c r="A900" s="44" t="n"/>
      <c r="J900" s="404" t="n"/>
      <c r="N900" s="404" t="n"/>
      <c r="R900" s="404" t="n"/>
      <c r="V900" s="404" t="n"/>
      <c r="Z900" s="404" t="n"/>
      <c r="AN900" s="537" t="n"/>
      <c r="AO900" s="537" t="n"/>
      <c r="AR900" s="537" t="n"/>
      <c r="AS900" s="537" t="n"/>
    </row>
    <row customHeight="1" ht="15.75" r="901" s="452" spans="1:57">
      <c r="A901" s="44" t="n"/>
      <c r="J901" s="404" t="n"/>
      <c r="N901" s="404" t="n"/>
      <c r="R901" s="404" t="n"/>
      <c r="V901" s="404" t="n"/>
      <c r="Z901" s="404" t="n"/>
      <c r="AN901" s="537" t="n"/>
      <c r="AO901" s="537" t="n"/>
      <c r="AR901" s="537" t="n"/>
      <c r="AS901" s="537" t="n"/>
    </row>
    <row customHeight="1" ht="15.75" r="902" s="452" spans="1:57">
      <c r="A902" s="44" t="n"/>
      <c r="J902" s="404" t="n"/>
      <c r="N902" s="404" t="n"/>
      <c r="R902" s="404" t="n"/>
      <c r="V902" s="404" t="n"/>
      <c r="Z902" s="404" t="n"/>
      <c r="AN902" s="537" t="n"/>
      <c r="AO902" s="537" t="n"/>
      <c r="AR902" s="537" t="n"/>
      <c r="AS902" s="537" t="n"/>
    </row>
    <row customHeight="1" ht="15.75" r="903" s="452" spans="1:57">
      <c r="A903" s="44" t="n"/>
      <c r="J903" s="404" t="n"/>
      <c r="N903" s="404" t="n"/>
      <c r="R903" s="404" t="n"/>
      <c r="V903" s="404" t="n"/>
      <c r="Z903" s="404" t="n"/>
      <c r="AN903" s="537" t="n"/>
      <c r="AO903" s="537" t="n"/>
      <c r="AR903" s="537" t="n"/>
      <c r="AS903" s="537" t="n"/>
    </row>
    <row customHeight="1" ht="15.75" r="904" s="452" spans="1:57">
      <c r="A904" s="44" t="n"/>
      <c r="J904" s="404" t="n"/>
      <c r="N904" s="404" t="n"/>
      <c r="R904" s="404" t="n"/>
      <c r="V904" s="404" t="n"/>
      <c r="Z904" s="404" t="n"/>
      <c r="AN904" s="537" t="n"/>
      <c r="AO904" s="537" t="n"/>
      <c r="AR904" s="537" t="n"/>
      <c r="AS904" s="537" t="n"/>
    </row>
    <row customHeight="1" ht="15.75" r="905" s="452" spans="1:57">
      <c r="A905" s="44" t="n"/>
      <c r="J905" s="404" t="n"/>
      <c r="N905" s="404" t="n"/>
      <c r="R905" s="404" t="n"/>
      <c r="V905" s="404" t="n"/>
      <c r="Z905" s="404" t="n"/>
      <c r="AN905" s="537" t="n"/>
      <c r="AO905" s="537" t="n"/>
      <c r="AR905" s="537" t="n"/>
      <c r="AS905" s="537" t="n"/>
    </row>
    <row customHeight="1" ht="15.75" r="906" s="452" spans="1:57">
      <c r="A906" s="44" t="n"/>
      <c r="J906" s="404" t="n"/>
      <c r="N906" s="404" t="n"/>
      <c r="R906" s="404" t="n"/>
      <c r="V906" s="404" t="n"/>
      <c r="Z906" s="404" t="n"/>
      <c r="AN906" s="537" t="n"/>
      <c r="AO906" s="537" t="n"/>
      <c r="AR906" s="537" t="n"/>
      <c r="AS906" s="537" t="n"/>
    </row>
    <row customHeight="1" ht="15.75" r="907" s="452" spans="1:57">
      <c r="A907" s="44" t="n"/>
      <c r="J907" s="404" t="n"/>
      <c r="N907" s="404" t="n"/>
      <c r="R907" s="404" t="n"/>
      <c r="V907" s="404" t="n"/>
      <c r="Z907" s="404" t="n"/>
      <c r="AN907" s="537" t="n"/>
      <c r="AO907" s="537" t="n"/>
      <c r="AR907" s="537" t="n"/>
      <c r="AS907" s="537" t="n"/>
    </row>
    <row customHeight="1" ht="15.75" r="908" s="452" spans="1:57">
      <c r="A908" s="44" t="n"/>
      <c r="J908" s="404" t="n"/>
      <c r="N908" s="404" t="n"/>
      <c r="R908" s="404" t="n"/>
      <c r="V908" s="404" t="n"/>
      <c r="Z908" s="404" t="n"/>
      <c r="AN908" s="537" t="n"/>
      <c r="AO908" s="537" t="n"/>
      <c r="AR908" s="537" t="n"/>
      <c r="AS908" s="537" t="n"/>
    </row>
    <row customHeight="1" ht="15.75" r="909" s="452" spans="1:57">
      <c r="A909" s="44" t="n"/>
      <c r="J909" s="404" t="n"/>
      <c r="N909" s="404" t="n"/>
      <c r="R909" s="404" t="n"/>
      <c r="V909" s="404" t="n"/>
      <c r="Z909" s="404" t="n"/>
      <c r="AN909" s="537" t="n"/>
      <c r="AO909" s="537" t="n"/>
      <c r="AR909" s="537" t="n"/>
      <c r="AS909" s="537" t="n"/>
    </row>
    <row customHeight="1" ht="15.75" r="910" s="452" spans="1:57">
      <c r="A910" s="44" t="n"/>
      <c r="J910" s="404" t="n"/>
      <c r="N910" s="404" t="n"/>
      <c r="R910" s="404" t="n"/>
      <c r="V910" s="404" t="n"/>
      <c r="Z910" s="404" t="n"/>
      <c r="AN910" s="537" t="n"/>
      <c r="AO910" s="537" t="n"/>
      <c r="AR910" s="537" t="n"/>
      <c r="AS910" s="537" t="n"/>
    </row>
    <row customHeight="1" ht="15.75" r="911" s="452" spans="1:57">
      <c r="A911" s="44" t="n"/>
      <c r="J911" s="404" t="n"/>
      <c r="N911" s="404" t="n"/>
      <c r="R911" s="404" t="n"/>
      <c r="V911" s="404" t="n"/>
      <c r="Z911" s="404" t="n"/>
      <c r="AN911" s="537" t="n"/>
      <c r="AO911" s="537" t="n"/>
      <c r="AR911" s="537" t="n"/>
      <c r="AS911" s="537" t="n"/>
    </row>
    <row customHeight="1" ht="15.75" r="912" s="452" spans="1:57">
      <c r="A912" s="44" t="n"/>
      <c r="J912" s="404" t="n"/>
      <c r="N912" s="404" t="n"/>
      <c r="R912" s="404" t="n"/>
      <c r="V912" s="404" t="n"/>
      <c r="Z912" s="404" t="n"/>
      <c r="AN912" s="537" t="n"/>
      <c r="AO912" s="537" t="n"/>
      <c r="AR912" s="537" t="n"/>
      <c r="AS912" s="537" t="n"/>
    </row>
    <row customHeight="1" ht="15.75" r="913" s="452" spans="1:57">
      <c r="A913" s="44" t="n"/>
      <c r="J913" s="404" t="n"/>
      <c r="N913" s="404" t="n"/>
      <c r="R913" s="404" t="n"/>
      <c r="V913" s="404" t="n"/>
      <c r="Z913" s="404" t="n"/>
      <c r="AN913" s="537" t="n"/>
      <c r="AO913" s="537" t="n"/>
      <c r="AR913" s="537" t="n"/>
      <c r="AS913" s="537" t="n"/>
    </row>
    <row customHeight="1" ht="15.75" r="914" s="452" spans="1:57">
      <c r="A914" s="44" t="n"/>
      <c r="J914" s="404" t="n"/>
      <c r="N914" s="404" t="n"/>
      <c r="R914" s="404" t="n"/>
      <c r="V914" s="404" t="n"/>
      <c r="Z914" s="404" t="n"/>
      <c r="AN914" s="537" t="n"/>
      <c r="AO914" s="537" t="n"/>
      <c r="AR914" s="537" t="n"/>
      <c r="AS914" s="537" t="n"/>
    </row>
    <row customHeight="1" ht="15.75" r="915" s="452" spans="1:57">
      <c r="A915" s="44" t="n"/>
      <c r="J915" s="404" t="n"/>
      <c r="N915" s="404" t="n"/>
      <c r="R915" s="404" t="n"/>
      <c r="V915" s="404" t="n"/>
      <c r="Z915" s="404" t="n"/>
      <c r="AN915" s="537" t="n"/>
      <c r="AO915" s="537" t="n"/>
      <c r="AR915" s="537" t="n"/>
      <c r="AS915" s="537" t="n"/>
    </row>
    <row customHeight="1" ht="15.75" r="916" s="452" spans="1:57">
      <c r="A916" s="44" t="n"/>
      <c r="J916" s="404" t="n"/>
      <c r="N916" s="404" t="n"/>
      <c r="R916" s="404" t="n"/>
      <c r="V916" s="404" t="n"/>
      <c r="Z916" s="404" t="n"/>
      <c r="AN916" s="537" t="n"/>
      <c r="AO916" s="537" t="n"/>
      <c r="AR916" s="537" t="n"/>
      <c r="AS916" s="537" t="n"/>
    </row>
    <row customHeight="1" ht="15.75" r="917" s="452" spans="1:57">
      <c r="A917" s="44" t="n"/>
      <c r="J917" s="404" t="n"/>
      <c r="N917" s="404" t="n"/>
      <c r="R917" s="404" t="n"/>
      <c r="V917" s="404" t="n"/>
      <c r="Z917" s="404" t="n"/>
      <c r="AN917" s="537" t="n"/>
      <c r="AO917" s="537" t="n"/>
      <c r="AR917" s="537" t="n"/>
      <c r="AS917" s="537" t="n"/>
    </row>
    <row customHeight="1" ht="15.75" r="918" s="452" spans="1:57">
      <c r="A918" s="44" t="n"/>
      <c r="J918" s="404" t="n"/>
      <c r="N918" s="404" t="n"/>
      <c r="R918" s="404" t="n"/>
      <c r="V918" s="404" t="n"/>
      <c r="Z918" s="404" t="n"/>
      <c r="AN918" s="537" t="n"/>
      <c r="AO918" s="537" t="n"/>
      <c r="AR918" s="537" t="n"/>
      <c r="AS918" s="537" t="n"/>
    </row>
    <row customHeight="1" ht="15.75" r="919" s="452" spans="1:57">
      <c r="A919" s="44" t="n"/>
      <c r="J919" s="404" t="n"/>
      <c r="N919" s="404" t="n"/>
      <c r="R919" s="404" t="n"/>
      <c r="V919" s="404" t="n"/>
      <c r="Z919" s="404" t="n"/>
      <c r="AN919" s="537" t="n"/>
      <c r="AO919" s="537" t="n"/>
      <c r="AR919" s="537" t="n"/>
      <c r="AS919" s="537" t="n"/>
    </row>
    <row customHeight="1" ht="15.75" r="920" s="452" spans="1:57">
      <c r="A920" s="44" t="n"/>
      <c r="J920" s="404" t="n"/>
      <c r="N920" s="404" t="n"/>
      <c r="R920" s="404" t="n"/>
      <c r="V920" s="404" t="n"/>
      <c r="Z920" s="404" t="n"/>
      <c r="AN920" s="537" t="n"/>
      <c r="AO920" s="537" t="n"/>
      <c r="AR920" s="537" t="n"/>
      <c r="AS920" s="537" t="n"/>
    </row>
    <row customHeight="1" ht="15.75" r="921" s="452" spans="1:57">
      <c r="A921" s="44" t="n"/>
      <c r="J921" s="404" t="n"/>
      <c r="N921" s="404" t="n"/>
      <c r="R921" s="404" t="n"/>
      <c r="V921" s="404" t="n"/>
      <c r="Z921" s="404" t="n"/>
      <c r="AN921" s="537" t="n"/>
      <c r="AO921" s="537" t="n"/>
      <c r="AR921" s="537" t="n"/>
      <c r="AS921" s="537" t="n"/>
    </row>
    <row customHeight="1" ht="15.75" r="922" s="452" spans="1:57">
      <c r="A922" s="44" t="n"/>
      <c r="J922" s="404" t="n"/>
      <c r="N922" s="404" t="n"/>
      <c r="R922" s="404" t="n"/>
      <c r="V922" s="404" t="n"/>
      <c r="Z922" s="404" t="n"/>
      <c r="AN922" s="537" t="n"/>
      <c r="AO922" s="537" t="n"/>
      <c r="AR922" s="537" t="n"/>
      <c r="AS922" s="537" t="n"/>
    </row>
    <row customHeight="1" ht="15.75" r="923" s="452" spans="1:57">
      <c r="A923" s="44" t="n"/>
      <c r="J923" s="404" t="n"/>
      <c r="N923" s="404" t="n"/>
      <c r="R923" s="404" t="n"/>
      <c r="V923" s="404" t="n"/>
      <c r="Z923" s="404" t="n"/>
      <c r="AN923" s="537" t="n"/>
      <c r="AO923" s="537" t="n"/>
      <c r="AR923" s="537" t="n"/>
      <c r="AS923" s="537" t="n"/>
    </row>
    <row customHeight="1" ht="15.75" r="924" s="452" spans="1:57">
      <c r="A924" s="44" t="n"/>
      <c r="J924" s="404" t="n"/>
      <c r="N924" s="404" t="n"/>
      <c r="R924" s="404" t="n"/>
      <c r="V924" s="404" t="n"/>
      <c r="Z924" s="404" t="n"/>
      <c r="AN924" s="537" t="n"/>
      <c r="AO924" s="537" t="n"/>
      <c r="AR924" s="537" t="n"/>
      <c r="AS924" s="537" t="n"/>
    </row>
    <row customHeight="1" ht="15.75" r="925" s="452" spans="1:57">
      <c r="A925" s="44" t="n"/>
      <c r="J925" s="404" t="n"/>
      <c r="N925" s="404" t="n"/>
      <c r="R925" s="404" t="n"/>
      <c r="V925" s="404" t="n"/>
      <c r="Z925" s="404" t="n"/>
      <c r="AN925" s="537" t="n"/>
      <c r="AO925" s="537" t="n"/>
      <c r="AR925" s="537" t="n"/>
      <c r="AS925" s="537" t="n"/>
    </row>
    <row customHeight="1" ht="15.75" r="926" s="452" spans="1:57">
      <c r="A926" s="44" t="n"/>
      <c r="J926" s="404" t="n"/>
      <c r="N926" s="404" t="n"/>
      <c r="R926" s="404" t="n"/>
      <c r="V926" s="404" t="n"/>
      <c r="Z926" s="404" t="n"/>
      <c r="AN926" s="537" t="n"/>
      <c r="AO926" s="537" t="n"/>
      <c r="AR926" s="537" t="n"/>
      <c r="AS926" s="537" t="n"/>
    </row>
    <row customHeight="1" ht="15.75" r="927" s="452" spans="1:57">
      <c r="A927" s="44" t="n"/>
      <c r="J927" s="404" t="n"/>
      <c r="N927" s="404" t="n"/>
      <c r="R927" s="404" t="n"/>
      <c r="V927" s="404" t="n"/>
      <c r="Z927" s="404" t="n"/>
      <c r="AN927" s="537" t="n"/>
      <c r="AO927" s="537" t="n"/>
      <c r="AR927" s="537" t="n"/>
      <c r="AS927" s="537" t="n"/>
    </row>
    <row customHeight="1" ht="15.75" r="928" s="452" spans="1:57">
      <c r="A928" s="44" t="n"/>
      <c r="J928" s="404" t="n"/>
      <c r="N928" s="404" t="n"/>
      <c r="R928" s="404" t="n"/>
      <c r="V928" s="404" t="n"/>
      <c r="Z928" s="404" t="n"/>
      <c r="AN928" s="537" t="n"/>
      <c r="AO928" s="537" t="n"/>
      <c r="AR928" s="537" t="n"/>
      <c r="AS928" s="537" t="n"/>
    </row>
    <row customHeight="1" ht="15.75" r="929" s="452" spans="1:57">
      <c r="A929" s="44" t="n"/>
      <c r="J929" s="404" t="n"/>
      <c r="N929" s="404" t="n"/>
      <c r="R929" s="404" t="n"/>
      <c r="V929" s="404" t="n"/>
      <c r="Z929" s="404" t="n"/>
      <c r="AN929" s="537" t="n"/>
      <c r="AO929" s="537" t="n"/>
      <c r="AR929" s="537" t="n"/>
      <c r="AS929" s="537" t="n"/>
    </row>
    <row customHeight="1" ht="15.75" r="930" s="452" spans="1:57">
      <c r="A930" s="44" t="n"/>
      <c r="J930" s="404" t="n"/>
      <c r="N930" s="404" t="n"/>
      <c r="R930" s="404" t="n"/>
      <c r="V930" s="404" t="n"/>
      <c r="Z930" s="404" t="n"/>
      <c r="AN930" s="537" t="n"/>
      <c r="AO930" s="537" t="n"/>
      <c r="AR930" s="537" t="n"/>
      <c r="AS930" s="537" t="n"/>
    </row>
    <row customHeight="1" ht="15.75" r="931" s="452" spans="1:57">
      <c r="A931" s="44" t="n"/>
      <c r="J931" s="404" t="n"/>
      <c r="N931" s="404" t="n"/>
      <c r="R931" s="404" t="n"/>
      <c r="V931" s="404" t="n"/>
      <c r="Z931" s="404" t="n"/>
      <c r="AN931" s="537" t="n"/>
      <c r="AO931" s="537" t="n"/>
      <c r="AR931" s="537" t="n"/>
      <c r="AS931" s="537" t="n"/>
    </row>
    <row customHeight="1" ht="15.75" r="932" s="452" spans="1:57">
      <c r="A932" s="44" t="n"/>
      <c r="J932" s="404" t="n"/>
      <c r="N932" s="404" t="n"/>
      <c r="R932" s="404" t="n"/>
      <c r="V932" s="404" t="n"/>
      <c r="Z932" s="404" t="n"/>
      <c r="AN932" s="537" t="n"/>
      <c r="AO932" s="537" t="n"/>
      <c r="AR932" s="537" t="n"/>
      <c r="AS932" s="537" t="n"/>
    </row>
    <row customHeight="1" ht="15.75" r="933" s="452" spans="1:57">
      <c r="A933" s="44" t="n"/>
      <c r="J933" s="404" t="n"/>
      <c r="N933" s="404" t="n"/>
      <c r="R933" s="404" t="n"/>
      <c r="V933" s="404" t="n"/>
      <c r="Z933" s="404" t="n"/>
      <c r="AN933" s="537" t="n"/>
      <c r="AO933" s="537" t="n"/>
      <c r="AR933" s="537" t="n"/>
      <c r="AS933" s="537" t="n"/>
    </row>
    <row customHeight="1" ht="15.75" r="934" s="452" spans="1:57">
      <c r="A934" s="44" t="n"/>
      <c r="J934" s="404" t="n"/>
      <c r="N934" s="404" t="n"/>
      <c r="R934" s="404" t="n"/>
      <c r="V934" s="404" t="n"/>
      <c r="Z934" s="404" t="n"/>
      <c r="AN934" s="537" t="n"/>
      <c r="AO934" s="537" t="n"/>
      <c r="AR934" s="537" t="n"/>
      <c r="AS934" s="537" t="n"/>
    </row>
    <row customHeight="1" ht="15.75" r="935" s="452" spans="1:57">
      <c r="A935" s="44" t="n"/>
      <c r="J935" s="404" t="n"/>
      <c r="N935" s="404" t="n"/>
      <c r="R935" s="404" t="n"/>
      <c r="V935" s="404" t="n"/>
      <c r="Z935" s="404" t="n"/>
      <c r="AN935" s="537" t="n"/>
      <c r="AO935" s="537" t="n"/>
      <c r="AR935" s="537" t="n"/>
      <c r="AS935" s="537" t="n"/>
    </row>
    <row customHeight="1" ht="15.75" r="936" s="452" spans="1:57">
      <c r="A936" s="44" t="n"/>
      <c r="J936" s="404" t="n"/>
      <c r="N936" s="404" t="n"/>
      <c r="R936" s="404" t="n"/>
      <c r="V936" s="404" t="n"/>
      <c r="Z936" s="404" t="n"/>
      <c r="AN936" s="537" t="n"/>
      <c r="AO936" s="537" t="n"/>
      <c r="AR936" s="537" t="n"/>
      <c r="AS936" s="537" t="n"/>
    </row>
    <row customHeight="1" ht="15.75" r="937" s="452" spans="1:57">
      <c r="A937" s="44" t="n"/>
      <c r="J937" s="404" t="n"/>
      <c r="N937" s="404" t="n"/>
      <c r="R937" s="404" t="n"/>
      <c r="V937" s="404" t="n"/>
      <c r="Z937" s="404" t="n"/>
      <c r="AN937" s="537" t="n"/>
      <c r="AO937" s="537" t="n"/>
      <c r="AR937" s="537" t="n"/>
      <c r="AS937" s="537" t="n"/>
    </row>
    <row customHeight="1" ht="15.75" r="938" s="452" spans="1:57">
      <c r="A938" s="44" t="n"/>
      <c r="J938" s="404" t="n"/>
      <c r="N938" s="404" t="n"/>
      <c r="R938" s="404" t="n"/>
      <c r="V938" s="404" t="n"/>
      <c r="Z938" s="404" t="n"/>
      <c r="AN938" s="537" t="n"/>
      <c r="AO938" s="537" t="n"/>
      <c r="AR938" s="537" t="n"/>
      <c r="AS938" s="537" t="n"/>
    </row>
    <row customHeight="1" ht="15.75" r="939" s="452" spans="1:57">
      <c r="A939" s="44" t="n"/>
      <c r="J939" s="404" t="n"/>
      <c r="N939" s="404" t="n"/>
      <c r="R939" s="404" t="n"/>
      <c r="V939" s="404" t="n"/>
      <c r="Z939" s="404" t="n"/>
      <c r="AN939" s="537" t="n"/>
      <c r="AO939" s="537" t="n"/>
      <c r="AR939" s="537" t="n"/>
      <c r="AS939" s="537" t="n"/>
    </row>
    <row customHeight="1" ht="15.75" r="940" s="452" spans="1:57">
      <c r="A940" s="44" t="n"/>
      <c r="J940" s="404" t="n"/>
      <c r="N940" s="404" t="n"/>
      <c r="R940" s="404" t="n"/>
      <c r="V940" s="404" t="n"/>
      <c r="Z940" s="404" t="n"/>
      <c r="AN940" s="537" t="n"/>
      <c r="AO940" s="537" t="n"/>
      <c r="AR940" s="537" t="n"/>
      <c r="AS940" s="537" t="n"/>
    </row>
    <row customHeight="1" ht="15.75" r="941" s="452" spans="1:57">
      <c r="A941" s="44" t="n"/>
      <c r="J941" s="404" t="n"/>
      <c r="N941" s="404" t="n"/>
      <c r="R941" s="404" t="n"/>
      <c r="V941" s="404" t="n"/>
      <c r="Z941" s="404" t="n"/>
      <c r="AN941" s="537" t="n"/>
      <c r="AO941" s="537" t="n"/>
      <c r="AR941" s="537" t="n"/>
      <c r="AS941" s="537" t="n"/>
    </row>
    <row customHeight="1" ht="15.75" r="942" s="452" spans="1:57">
      <c r="A942" s="44" t="n"/>
      <c r="J942" s="404" t="n"/>
      <c r="N942" s="404" t="n"/>
      <c r="R942" s="404" t="n"/>
      <c r="V942" s="404" t="n"/>
      <c r="Z942" s="404" t="n"/>
      <c r="AN942" s="537" t="n"/>
      <c r="AO942" s="537" t="n"/>
      <c r="AR942" s="537" t="n"/>
      <c r="AS942" s="537" t="n"/>
    </row>
    <row customHeight="1" ht="15.75" r="943" s="452" spans="1:57">
      <c r="A943" s="44" t="n"/>
      <c r="J943" s="404" t="n"/>
      <c r="N943" s="404" t="n"/>
      <c r="R943" s="404" t="n"/>
      <c r="V943" s="404" t="n"/>
      <c r="Z943" s="404" t="n"/>
      <c r="AN943" s="537" t="n"/>
      <c r="AO943" s="537" t="n"/>
      <c r="AR943" s="537" t="n"/>
      <c r="AS943" s="537" t="n"/>
    </row>
    <row customHeight="1" ht="15.75" r="944" s="452" spans="1:57">
      <c r="A944" s="44" t="n"/>
      <c r="J944" s="404" t="n"/>
      <c r="N944" s="404" t="n"/>
      <c r="R944" s="404" t="n"/>
      <c r="V944" s="404" t="n"/>
      <c r="Z944" s="404" t="n"/>
      <c r="AN944" s="537" t="n"/>
      <c r="AO944" s="537" t="n"/>
      <c r="AR944" s="537" t="n"/>
      <c r="AS944" s="537" t="n"/>
    </row>
    <row customHeight="1" ht="15.75" r="945" s="452" spans="1:57">
      <c r="A945" s="44" t="n"/>
      <c r="J945" s="404" t="n"/>
      <c r="N945" s="404" t="n"/>
      <c r="R945" s="404" t="n"/>
      <c r="V945" s="404" t="n"/>
      <c r="Z945" s="404" t="n"/>
      <c r="AN945" s="537" t="n"/>
      <c r="AO945" s="537" t="n"/>
      <c r="AR945" s="537" t="n"/>
      <c r="AS945" s="537" t="n"/>
    </row>
    <row customHeight="1" ht="15.75" r="946" s="452" spans="1:57">
      <c r="A946" s="44" t="n"/>
      <c r="J946" s="404" t="n"/>
      <c r="N946" s="404" t="n"/>
      <c r="R946" s="404" t="n"/>
      <c r="V946" s="404" t="n"/>
      <c r="Z946" s="404" t="n"/>
      <c r="AN946" s="537" t="n"/>
      <c r="AO946" s="537" t="n"/>
      <c r="AR946" s="537" t="n"/>
      <c r="AS946" s="537" t="n"/>
    </row>
    <row customHeight="1" ht="15.75" r="947" s="452" spans="1:57">
      <c r="A947" s="44" t="n"/>
      <c r="J947" s="404" t="n"/>
      <c r="N947" s="404" t="n"/>
      <c r="R947" s="404" t="n"/>
      <c r="V947" s="404" t="n"/>
      <c r="Z947" s="404" t="n"/>
      <c r="AN947" s="537" t="n"/>
      <c r="AO947" s="537" t="n"/>
      <c r="AR947" s="537" t="n"/>
      <c r="AS947" s="537" t="n"/>
    </row>
    <row customHeight="1" ht="15.75" r="948" s="452" spans="1:57">
      <c r="A948" s="44" t="n"/>
      <c r="J948" s="404" t="n"/>
      <c r="N948" s="404" t="n"/>
      <c r="R948" s="404" t="n"/>
      <c r="V948" s="404" t="n"/>
      <c r="Z948" s="404" t="n"/>
      <c r="AN948" s="537" t="n"/>
      <c r="AO948" s="537" t="n"/>
      <c r="AR948" s="537" t="n"/>
      <c r="AS948" s="537" t="n"/>
    </row>
    <row customHeight="1" ht="15.75" r="949" s="452" spans="1:57">
      <c r="A949" s="44" t="n"/>
      <c r="J949" s="404" t="n"/>
      <c r="N949" s="404" t="n"/>
      <c r="R949" s="404" t="n"/>
      <c r="V949" s="404" t="n"/>
      <c r="Z949" s="404" t="n"/>
      <c r="AN949" s="537" t="n"/>
      <c r="AO949" s="537" t="n"/>
      <c r="AR949" s="537" t="n"/>
      <c r="AS949" s="537" t="n"/>
    </row>
    <row customHeight="1" ht="15.75" r="950" s="452" spans="1:57">
      <c r="A950" s="44" t="n"/>
      <c r="J950" s="404" t="n"/>
      <c r="N950" s="404" t="n"/>
      <c r="R950" s="404" t="n"/>
      <c r="V950" s="404" t="n"/>
      <c r="Z950" s="404" t="n"/>
      <c r="AN950" s="537" t="n"/>
      <c r="AO950" s="537" t="n"/>
      <c r="AR950" s="537" t="n"/>
      <c r="AS950" s="537" t="n"/>
    </row>
    <row customHeight="1" ht="15.75" r="951" s="452" spans="1:57">
      <c r="A951" s="44" t="n"/>
      <c r="J951" s="404" t="n"/>
      <c r="N951" s="404" t="n"/>
      <c r="R951" s="404" t="n"/>
      <c r="V951" s="404" t="n"/>
      <c r="Z951" s="404" t="n"/>
      <c r="AN951" s="537" t="n"/>
      <c r="AO951" s="537" t="n"/>
      <c r="AR951" s="537" t="n"/>
      <c r="AS951" s="537" t="n"/>
    </row>
    <row customHeight="1" ht="15.75" r="952" s="452" spans="1:57">
      <c r="A952" s="44" t="n"/>
      <c r="J952" s="404" t="n"/>
      <c r="N952" s="404" t="n"/>
      <c r="R952" s="404" t="n"/>
      <c r="V952" s="404" t="n"/>
      <c r="Z952" s="404" t="n"/>
      <c r="AN952" s="537" t="n"/>
      <c r="AO952" s="537" t="n"/>
      <c r="AR952" s="537" t="n"/>
      <c r="AS952" s="537" t="n"/>
    </row>
    <row customHeight="1" ht="15.75" r="953" s="452" spans="1:57">
      <c r="A953" s="44" t="n"/>
      <c r="J953" s="404" t="n"/>
      <c r="N953" s="404" t="n"/>
      <c r="R953" s="404" t="n"/>
      <c r="V953" s="404" t="n"/>
      <c r="Z953" s="404" t="n"/>
      <c r="AN953" s="537" t="n"/>
      <c r="AO953" s="537" t="n"/>
      <c r="AR953" s="537" t="n"/>
      <c r="AS953" s="537" t="n"/>
    </row>
    <row customHeight="1" ht="15.75" r="954" s="452" spans="1:57">
      <c r="A954" s="44" t="n"/>
      <c r="J954" s="404" t="n"/>
      <c r="N954" s="404" t="n"/>
      <c r="R954" s="404" t="n"/>
      <c r="V954" s="404" t="n"/>
      <c r="Z954" s="404" t="n"/>
      <c r="AN954" s="537" t="n"/>
      <c r="AO954" s="537" t="n"/>
      <c r="AR954" s="537" t="n"/>
      <c r="AS954" s="537" t="n"/>
    </row>
    <row customHeight="1" ht="15.75" r="955" s="452" spans="1:57">
      <c r="A955" s="44" t="n"/>
      <c r="J955" s="404" t="n"/>
      <c r="N955" s="404" t="n"/>
      <c r="R955" s="404" t="n"/>
      <c r="V955" s="404" t="n"/>
      <c r="Z955" s="404" t="n"/>
      <c r="AN955" s="537" t="n"/>
      <c r="AO955" s="537" t="n"/>
      <c r="AR955" s="537" t="n"/>
      <c r="AS955" s="537" t="n"/>
    </row>
    <row customHeight="1" ht="15.75" r="956" s="452" spans="1:57">
      <c r="A956" s="44" t="n"/>
      <c r="J956" s="404" t="n"/>
      <c r="N956" s="404" t="n"/>
      <c r="R956" s="404" t="n"/>
      <c r="V956" s="404" t="n"/>
      <c r="Z956" s="404" t="n"/>
      <c r="AN956" s="537" t="n"/>
      <c r="AO956" s="537" t="n"/>
      <c r="AR956" s="537" t="n"/>
      <c r="AS956" s="537" t="n"/>
    </row>
    <row customHeight="1" ht="15.75" r="957" s="452" spans="1:57">
      <c r="A957" s="44" t="n"/>
      <c r="J957" s="404" t="n"/>
      <c r="N957" s="404" t="n"/>
      <c r="R957" s="404" t="n"/>
      <c r="V957" s="404" t="n"/>
      <c r="Z957" s="404" t="n"/>
      <c r="AN957" s="537" t="n"/>
      <c r="AO957" s="537" t="n"/>
      <c r="AR957" s="537" t="n"/>
      <c r="AS957" s="537" t="n"/>
    </row>
    <row customHeight="1" ht="15.75" r="958" s="452" spans="1:57">
      <c r="A958" s="44" t="n"/>
      <c r="J958" s="404" t="n"/>
      <c r="N958" s="404" t="n"/>
      <c r="R958" s="404" t="n"/>
      <c r="V958" s="404" t="n"/>
      <c r="Z958" s="404" t="n"/>
      <c r="AN958" s="537" t="n"/>
      <c r="AO958" s="537" t="n"/>
      <c r="AR958" s="537" t="n"/>
      <c r="AS958" s="537" t="n"/>
    </row>
    <row customHeight="1" ht="15.75" r="959" s="452" spans="1:57">
      <c r="A959" s="44" t="n"/>
      <c r="J959" s="404" t="n"/>
      <c r="N959" s="404" t="n"/>
      <c r="R959" s="404" t="n"/>
      <c r="V959" s="404" t="n"/>
      <c r="Z959" s="404" t="n"/>
      <c r="AN959" s="537" t="n"/>
      <c r="AO959" s="537" t="n"/>
      <c r="AR959" s="537" t="n"/>
      <c r="AS959" s="537" t="n"/>
    </row>
    <row customHeight="1" ht="15.75" r="960" s="452" spans="1:57">
      <c r="A960" s="44" t="n"/>
      <c r="J960" s="404" t="n"/>
      <c r="N960" s="404" t="n"/>
      <c r="R960" s="404" t="n"/>
      <c r="V960" s="404" t="n"/>
      <c r="Z960" s="404" t="n"/>
      <c r="AN960" s="537" t="n"/>
      <c r="AO960" s="537" t="n"/>
      <c r="AR960" s="537" t="n"/>
      <c r="AS960" s="537" t="n"/>
    </row>
    <row customHeight="1" ht="15.75" r="961" s="452" spans="1:57">
      <c r="A961" s="44" t="n"/>
      <c r="J961" s="404" t="n"/>
      <c r="N961" s="404" t="n"/>
      <c r="R961" s="404" t="n"/>
      <c r="V961" s="404" t="n"/>
      <c r="Z961" s="404" t="n"/>
      <c r="AN961" s="537" t="n"/>
      <c r="AO961" s="537" t="n"/>
      <c r="AR961" s="537" t="n"/>
      <c r="AS961" s="537" t="n"/>
    </row>
    <row customHeight="1" ht="15.75" r="962" s="452" spans="1:57">
      <c r="A962" s="44" t="n"/>
      <c r="J962" s="404" t="n"/>
      <c r="N962" s="404" t="n"/>
      <c r="R962" s="404" t="n"/>
      <c r="V962" s="404" t="n"/>
      <c r="Z962" s="404" t="n"/>
      <c r="AN962" s="537" t="n"/>
      <c r="AO962" s="537" t="n"/>
      <c r="AR962" s="537" t="n"/>
      <c r="AS962" s="537" t="n"/>
    </row>
    <row customHeight="1" ht="15.75" r="963" s="452" spans="1:57">
      <c r="A963" s="44" t="n"/>
      <c r="J963" s="404" t="n"/>
      <c r="N963" s="404" t="n"/>
      <c r="R963" s="404" t="n"/>
      <c r="V963" s="404" t="n"/>
      <c r="Z963" s="404" t="n"/>
      <c r="AN963" s="537" t="n"/>
      <c r="AO963" s="537" t="n"/>
      <c r="AR963" s="537" t="n"/>
      <c r="AS963" s="537" t="n"/>
    </row>
    <row customHeight="1" ht="15.75" r="964" s="452" spans="1:57">
      <c r="A964" s="44" t="n"/>
      <c r="J964" s="404" t="n"/>
      <c r="N964" s="404" t="n"/>
      <c r="R964" s="404" t="n"/>
      <c r="V964" s="404" t="n"/>
      <c r="Z964" s="404" t="n"/>
      <c r="AN964" s="537" t="n"/>
      <c r="AO964" s="537" t="n"/>
      <c r="AR964" s="537" t="n"/>
      <c r="AS964" s="537" t="n"/>
    </row>
    <row customHeight="1" ht="15.75" r="965" s="452" spans="1:57">
      <c r="A965" s="44" t="n"/>
      <c r="J965" s="404" t="n"/>
      <c r="N965" s="404" t="n"/>
      <c r="R965" s="404" t="n"/>
      <c r="V965" s="404" t="n"/>
      <c r="Z965" s="404" t="n"/>
      <c r="AN965" s="537" t="n"/>
      <c r="AO965" s="537" t="n"/>
      <c r="AR965" s="537" t="n"/>
      <c r="AS965" s="537" t="n"/>
    </row>
    <row customHeight="1" ht="15.75" r="966" s="452" spans="1:57">
      <c r="A966" s="44" t="n"/>
      <c r="J966" s="404" t="n"/>
      <c r="N966" s="404" t="n"/>
      <c r="R966" s="404" t="n"/>
      <c r="V966" s="404" t="n"/>
      <c r="Z966" s="404" t="n"/>
      <c r="AN966" s="537" t="n"/>
      <c r="AO966" s="537" t="n"/>
      <c r="AR966" s="537" t="n"/>
      <c r="AS966" s="537" t="n"/>
    </row>
    <row customHeight="1" ht="15.75" r="967" s="452" spans="1:57">
      <c r="A967" s="44" t="n"/>
      <c r="J967" s="404" t="n"/>
      <c r="N967" s="404" t="n"/>
      <c r="R967" s="404" t="n"/>
      <c r="V967" s="404" t="n"/>
      <c r="Z967" s="404" t="n"/>
      <c r="AN967" s="537" t="n"/>
      <c r="AO967" s="537" t="n"/>
      <c r="AR967" s="537" t="n"/>
      <c r="AS967" s="537" t="n"/>
    </row>
    <row customHeight="1" ht="15.75" r="968" s="452" spans="1:57">
      <c r="A968" s="44" t="n"/>
      <c r="J968" s="404" t="n"/>
      <c r="N968" s="404" t="n"/>
      <c r="R968" s="404" t="n"/>
      <c r="V968" s="404" t="n"/>
      <c r="Z968" s="404" t="n"/>
      <c r="AN968" s="537" t="n"/>
      <c r="AO968" s="537" t="n"/>
      <c r="AR968" s="537" t="n"/>
      <c r="AS968" s="537" t="n"/>
    </row>
    <row customHeight="1" ht="15.75" r="969" s="452" spans="1:57">
      <c r="A969" s="44" t="n"/>
      <c r="J969" s="404" t="n"/>
      <c r="N969" s="404" t="n"/>
      <c r="R969" s="404" t="n"/>
      <c r="V969" s="404" t="n"/>
      <c r="Z969" s="404" t="n"/>
      <c r="AN969" s="537" t="n"/>
      <c r="AO969" s="537" t="n"/>
      <c r="AR969" s="537" t="n"/>
      <c r="AS969" s="537" t="n"/>
    </row>
    <row customHeight="1" ht="15.75" r="970" s="452" spans="1:57">
      <c r="A970" s="44" t="n"/>
      <c r="J970" s="404" t="n"/>
      <c r="N970" s="404" t="n"/>
      <c r="R970" s="404" t="n"/>
      <c r="V970" s="404" t="n"/>
      <c r="Z970" s="404" t="n"/>
      <c r="AN970" s="537" t="n"/>
      <c r="AO970" s="537" t="n"/>
      <c r="AR970" s="537" t="n"/>
      <c r="AS970" s="537" t="n"/>
    </row>
    <row customHeight="1" ht="15.75" r="971" s="452" spans="1:57">
      <c r="A971" s="44" t="n"/>
      <c r="J971" s="404" t="n"/>
      <c r="N971" s="404" t="n"/>
      <c r="R971" s="404" t="n"/>
      <c r="V971" s="404" t="n"/>
      <c r="Z971" s="404" t="n"/>
      <c r="AN971" s="537" t="n"/>
      <c r="AO971" s="537" t="n"/>
      <c r="AR971" s="537" t="n"/>
      <c r="AS971" s="537" t="n"/>
    </row>
    <row customHeight="1" ht="15.75" r="972" s="452" spans="1:57">
      <c r="A972" s="44" t="n"/>
      <c r="J972" s="404" t="n"/>
      <c r="N972" s="404" t="n"/>
      <c r="R972" s="404" t="n"/>
      <c r="V972" s="404" t="n"/>
      <c r="Z972" s="404" t="n"/>
      <c r="AN972" s="537" t="n"/>
      <c r="AO972" s="537" t="n"/>
      <c r="AR972" s="537" t="n"/>
      <c r="AS972" s="537" t="n"/>
    </row>
    <row customHeight="1" ht="15.75" r="973" s="452" spans="1:57">
      <c r="A973" s="44" t="n"/>
      <c r="J973" s="404" t="n"/>
      <c r="N973" s="404" t="n"/>
      <c r="R973" s="404" t="n"/>
      <c r="V973" s="404" t="n"/>
      <c r="Z973" s="404" t="n"/>
      <c r="AN973" s="537" t="n"/>
      <c r="AO973" s="537" t="n"/>
      <c r="AR973" s="537" t="n"/>
      <c r="AS973" s="537" t="n"/>
    </row>
    <row customHeight="1" ht="15.75" r="974" s="452" spans="1:57">
      <c r="A974" s="44" t="n"/>
      <c r="J974" s="404" t="n"/>
      <c r="N974" s="404" t="n"/>
      <c r="R974" s="404" t="n"/>
      <c r="V974" s="404" t="n"/>
      <c r="Z974" s="404" t="n"/>
      <c r="AN974" s="537" t="n"/>
      <c r="AO974" s="537" t="n"/>
      <c r="AR974" s="537" t="n"/>
      <c r="AS974" s="537" t="n"/>
    </row>
    <row customHeight="1" ht="15.75" r="975" s="452" spans="1:57">
      <c r="A975" s="44" t="n"/>
      <c r="J975" s="404" t="n"/>
      <c r="N975" s="404" t="n"/>
      <c r="R975" s="404" t="n"/>
      <c r="V975" s="404" t="n"/>
      <c r="Z975" s="404" t="n"/>
      <c r="AN975" s="537" t="n"/>
      <c r="AO975" s="537" t="n"/>
      <c r="AR975" s="537" t="n"/>
      <c r="AS975" s="537" t="n"/>
    </row>
    <row customHeight="1" ht="15.75" r="976" s="452" spans="1:57">
      <c r="A976" s="44" t="n"/>
      <c r="J976" s="404" t="n"/>
      <c r="N976" s="404" t="n"/>
      <c r="R976" s="404" t="n"/>
      <c r="V976" s="404" t="n"/>
      <c r="Z976" s="404" t="n"/>
      <c r="AN976" s="537" t="n"/>
      <c r="AO976" s="537" t="n"/>
      <c r="AR976" s="537" t="n"/>
      <c r="AS976" s="537" t="n"/>
    </row>
    <row customHeight="1" ht="15.75" r="977" s="452" spans="1:57">
      <c r="A977" s="44" t="n"/>
      <c r="J977" s="404" t="n"/>
      <c r="N977" s="404" t="n"/>
      <c r="R977" s="404" t="n"/>
      <c r="V977" s="404" t="n"/>
      <c r="Z977" s="404" t="n"/>
      <c r="AN977" s="537" t="n"/>
      <c r="AO977" s="537" t="n"/>
      <c r="AR977" s="537" t="n"/>
      <c r="AS977" s="537" t="n"/>
    </row>
    <row customHeight="1" ht="15.75" r="978" s="452" spans="1:57">
      <c r="A978" s="44" t="n"/>
      <c r="J978" s="404" t="n"/>
      <c r="N978" s="404" t="n"/>
      <c r="R978" s="404" t="n"/>
      <c r="V978" s="404" t="n"/>
      <c r="Z978" s="404" t="n"/>
      <c r="AN978" s="537" t="n"/>
      <c r="AO978" s="537" t="n"/>
      <c r="AR978" s="537" t="n"/>
      <c r="AS978" s="537" t="n"/>
    </row>
    <row customHeight="1" ht="15.75" r="979" s="452" spans="1:57">
      <c r="A979" s="44" t="n"/>
      <c r="J979" s="404" t="n"/>
      <c r="N979" s="404" t="n"/>
      <c r="R979" s="404" t="n"/>
      <c r="V979" s="404" t="n"/>
      <c r="Z979" s="404" t="n"/>
      <c r="AN979" s="537" t="n"/>
      <c r="AO979" s="537" t="n"/>
      <c r="AR979" s="537" t="n"/>
      <c r="AS979" s="537" t="n"/>
    </row>
    <row customHeight="1" ht="15.75" r="980" s="452" spans="1:57">
      <c r="A980" s="44" t="n"/>
      <c r="J980" s="404" t="n"/>
      <c r="N980" s="404" t="n"/>
      <c r="R980" s="404" t="n"/>
      <c r="V980" s="404" t="n"/>
      <c r="Z980" s="404" t="n"/>
      <c r="AN980" s="537" t="n"/>
      <c r="AO980" s="537" t="n"/>
      <c r="AR980" s="537" t="n"/>
      <c r="AS980" s="537" t="n"/>
    </row>
    <row customHeight="1" ht="15.75" r="981" s="452" spans="1:57">
      <c r="A981" s="44" t="n"/>
      <c r="J981" s="404" t="n"/>
      <c r="N981" s="404" t="n"/>
      <c r="R981" s="404" t="n"/>
      <c r="V981" s="404" t="n"/>
      <c r="Z981" s="404" t="n"/>
      <c r="AN981" s="537" t="n"/>
      <c r="AO981" s="537" t="n"/>
      <c r="AR981" s="537" t="n"/>
      <c r="AS981" s="537" t="n"/>
    </row>
    <row customHeight="1" ht="15.75" r="982" s="452" spans="1:57">
      <c r="A982" s="44" t="n"/>
      <c r="J982" s="404" t="n"/>
      <c r="N982" s="404" t="n"/>
      <c r="R982" s="404" t="n"/>
      <c r="V982" s="404" t="n"/>
      <c r="Z982" s="404" t="n"/>
      <c r="AN982" s="537" t="n"/>
      <c r="AO982" s="537" t="n"/>
      <c r="AR982" s="537" t="n"/>
      <c r="AS982" s="537" t="n"/>
    </row>
    <row customHeight="1" ht="15.75" r="983" s="452" spans="1:57">
      <c r="A983" s="44" t="n"/>
      <c r="J983" s="404" t="n"/>
      <c r="N983" s="404" t="n"/>
      <c r="R983" s="404" t="n"/>
      <c r="V983" s="404" t="n"/>
      <c r="Z983" s="404" t="n"/>
      <c r="AN983" s="537" t="n"/>
      <c r="AO983" s="537" t="n"/>
      <c r="AR983" s="537" t="n"/>
      <c r="AS983" s="537" t="n"/>
    </row>
    <row customHeight="1" ht="15.75" r="984" s="452" spans="1:57">
      <c r="A984" s="44" t="n"/>
      <c r="J984" s="404" t="n"/>
      <c r="N984" s="404" t="n"/>
      <c r="R984" s="404" t="n"/>
      <c r="V984" s="404" t="n"/>
      <c r="Z984" s="404" t="n"/>
      <c r="AN984" s="537" t="n"/>
      <c r="AO984" s="537" t="n"/>
      <c r="AR984" s="537" t="n"/>
      <c r="AS984" s="537" t="n"/>
    </row>
    <row customHeight="1" ht="15.75" r="985" s="452" spans="1:57">
      <c r="A985" s="44" t="n"/>
      <c r="J985" s="404" t="n"/>
      <c r="N985" s="404" t="n"/>
      <c r="R985" s="404" t="n"/>
      <c r="V985" s="404" t="n"/>
      <c r="Z985" s="404" t="n"/>
      <c r="AN985" s="537" t="n"/>
      <c r="AO985" s="537" t="n"/>
      <c r="AR985" s="537" t="n"/>
      <c r="AS985" s="537" t="n"/>
    </row>
    <row customHeight="1" ht="15.75" r="986" s="452" spans="1:57">
      <c r="A986" s="44" t="n"/>
      <c r="J986" s="404" t="n"/>
      <c r="N986" s="404" t="n"/>
      <c r="R986" s="404" t="n"/>
      <c r="V986" s="404" t="n"/>
      <c r="Z986" s="404" t="n"/>
      <c r="AN986" s="537" t="n"/>
      <c r="AO986" s="537" t="n"/>
      <c r="AR986" s="537" t="n"/>
      <c r="AS986" s="537" t="n"/>
    </row>
    <row customHeight="1" ht="15.75" r="987" s="452" spans="1:57">
      <c r="A987" s="44" t="n"/>
      <c r="J987" s="404" t="n"/>
      <c r="N987" s="404" t="n"/>
      <c r="R987" s="404" t="n"/>
      <c r="V987" s="404" t="n"/>
      <c r="Z987" s="404" t="n"/>
      <c r="AN987" s="537" t="n"/>
      <c r="AO987" s="537" t="n"/>
      <c r="AR987" s="537" t="n"/>
      <c r="AS987" s="537" t="n"/>
    </row>
    <row customHeight="1" ht="15.75" r="988" s="452" spans="1:57">
      <c r="A988" s="44" t="n"/>
      <c r="J988" s="404" t="n"/>
      <c r="N988" s="404" t="n"/>
      <c r="R988" s="404" t="n"/>
      <c r="V988" s="404" t="n"/>
      <c r="Z988" s="404" t="n"/>
      <c r="AN988" s="537" t="n"/>
      <c r="AO988" s="537" t="n"/>
      <c r="AR988" s="537" t="n"/>
      <c r="AS988" s="537" t="n"/>
    </row>
    <row customHeight="1" ht="15.75" r="989" s="452" spans="1:57">
      <c r="A989" s="44" t="n"/>
      <c r="J989" s="404" t="n"/>
      <c r="N989" s="404" t="n"/>
      <c r="R989" s="404" t="n"/>
      <c r="V989" s="404" t="n"/>
      <c r="Z989" s="404" t="n"/>
      <c r="AN989" s="537" t="n"/>
      <c r="AO989" s="537" t="n"/>
      <c r="AR989" s="537" t="n"/>
      <c r="AS989" s="537" t="n"/>
    </row>
    <row customHeight="1" ht="15.75" r="990" s="452" spans="1:57">
      <c r="A990" s="44" t="n"/>
      <c r="J990" s="404" t="n"/>
      <c r="N990" s="404" t="n"/>
      <c r="R990" s="404" t="n"/>
      <c r="V990" s="404" t="n"/>
      <c r="Z990" s="404" t="n"/>
      <c r="AN990" s="537" t="n"/>
      <c r="AO990" s="537" t="n"/>
      <c r="AR990" s="537" t="n"/>
      <c r="AS990" s="537" t="n"/>
    </row>
    <row customHeight="1" ht="15.75" r="991" s="452" spans="1:57">
      <c r="A991" s="44" t="n"/>
      <c r="J991" s="404" t="n"/>
      <c r="N991" s="404" t="n"/>
      <c r="R991" s="404" t="n"/>
      <c r="V991" s="404" t="n"/>
      <c r="Z991" s="404" t="n"/>
      <c r="AN991" s="537" t="n"/>
      <c r="AO991" s="537" t="n"/>
      <c r="AR991" s="537" t="n"/>
      <c r="AS991" s="537" t="n"/>
    </row>
    <row customHeight="1" ht="15.75" r="992" s="452" spans="1:57">
      <c r="A992" s="44" t="n"/>
      <c r="J992" s="404" t="n"/>
      <c r="N992" s="404" t="n"/>
      <c r="R992" s="404" t="n"/>
      <c r="V992" s="404" t="n"/>
      <c r="Z992" s="404" t="n"/>
      <c r="AN992" s="537" t="n"/>
      <c r="AO992" s="537" t="n"/>
      <c r="AR992" s="537" t="n"/>
      <c r="AS992" s="537" t="n"/>
    </row>
    <row customHeight="1" ht="15.75" r="993" s="452" spans="1:57">
      <c r="A993" s="44" t="n"/>
      <c r="J993" s="404" t="n"/>
      <c r="N993" s="404" t="n"/>
      <c r="R993" s="404" t="n"/>
      <c r="V993" s="404" t="n"/>
      <c r="Z993" s="404" t="n"/>
      <c r="AN993" s="537" t="n"/>
      <c r="AO993" s="537" t="n"/>
      <c r="AR993" s="537" t="n"/>
      <c r="AS993" s="537" t="n"/>
    </row>
    <row customHeight="1" ht="15.75" r="994" s="452" spans="1:57">
      <c r="A994" s="44" t="n"/>
      <c r="J994" s="404" t="n"/>
      <c r="N994" s="404" t="n"/>
      <c r="R994" s="404" t="n"/>
      <c r="V994" s="404" t="n"/>
      <c r="Z994" s="404" t="n"/>
      <c r="AN994" s="537" t="n"/>
      <c r="AO994" s="537" t="n"/>
      <c r="AR994" s="537" t="n"/>
      <c r="AS994" s="537" t="n"/>
    </row>
    <row customHeight="1" ht="15.75" r="995" s="452" spans="1:57">
      <c r="A995" s="44" t="n"/>
      <c r="J995" s="404" t="n"/>
      <c r="N995" s="404" t="n"/>
      <c r="R995" s="404" t="n"/>
      <c r="V995" s="404" t="n"/>
      <c r="Z995" s="404" t="n"/>
      <c r="AN995" s="537" t="n"/>
      <c r="AO995" s="537" t="n"/>
      <c r="AR995" s="537" t="n"/>
      <c r="AS995" s="537" t="n"/>
    </row>
    <row customHeight="1" ht="15.75" r="996" s="452" spans="1:57">
      <c r="A996" s="44" t="n"/>
      <c r="J996" s="404" t="n"/>
      <c r="N996" s="404" t="n"/>
      <c r="R996" s="404" t="n"/>
      <c r="V996" s="404" t="n"/>
      <c r="Z996" s="404" t="n"/>
      <c r="AN996" s="537" t="n"/>
      <c r="AO996" s="537" t="n"/>
      <c r="AR996" s="537" t="n"/>
      <c r="AS996" s="537" t="n"/>
    </row>
    <row customHeight="1" ht="15.75" r="997" s="452" spans="1:57">
      <c r="A997" s="44" t="n"/>
      <c r="J997" s="404" t="n"/>
      <c r="N997" s="404" t="n"/>
      <c r="R997" s="404" t="n"/>
      <c r="V997" s="404" t="n"/>
      <c r="Z997" s="404" t="n"/>
      <c r="AN997" s="537" t="n"/>
      <c r="AO997" s="537" t="n"/>
      <c r="AR997" s="537" t="n"/>
      <c r="AS997" s="537" t="n"/>
    </row>
    <row customHeight="1" ht="15.75" r="998" s="452" spans="1:57">
      <c r="A998" s="44" t="n"/>
      <c r="J998" s="404" t="n"/>
      <c r="N998" s="404" t="n"/>
      <c r="R998" s="404" t="n"/>
      <c r="V998" s="404" t="n"/>
      <c r="Z998" s="404" t="n"/>
      <c r="AN998" s="537" t="n"/>
      <c r="AO998" s="537" t="n"/>
      <c r="AR998" s="537" t="n"/>
      <c r="AS998" s="537" t="n"/>
    </row>
    <row customHeight="1" ht="15.75" r="999" s="452" spans="1:57">
      <c r="A999" s="44" t="n"/>
      <c r="J999" s="404" t="n"/>
      <c r="N999" s="404" t="n"/>
      <c r="R999" s="404" t="n"/>
      <c r="V999" s="404" t="n"/>
      <c r="Z999" s="404" t="n"/>
      <c r="AN999" s="537" t="n"/>
      <c r="AO999" s="537" t="n"/>
      <c r="AR999" s="537" t="n"/>
      <c r="AS999" s="537" t="n"/>
    </row>
    <row customHeight="1" ht="15.75" r="1000" s="452" spans="1:57">
      <c r="A1000" s="44" t="n"/>
      <c r="J1000" s="404" t="n"/>
      <c r="N1000" s="404" t="n"/>
      <c r="R1000" s="404" t="n"/>
      <c r="V1000" s="404" t="n"/>
      <c r="Z1000" s="404" t="n"/>
      <c r="AN1000" s="537" t="n"/>
      <c r="AO1000" s="537" t="n"/>
      <c r="AR1000" s="537" t="n"/>
      <c r="AS1000" s="537" t="n"/>
    </row>
  </sheetData>
  <conditionalFormatting sqref="F2:F49 Z2:Z53 AD3:AD53">
    <cfRule dxfId="1" operator="lessThan" priority="85" type="cellIs">
      <formula>0</formula>
    </cfRule>
    <cfRule dxfId="0" operator="greaterThanOrEqual" priority="86" type="cellIs">
      <formula>0</formula>
    </cfRule>
  </conditionalFormatting>
  <conditionalFormatting sqref="N2:N3 N4:O53">
    <cfRule dxfId="0" operator="lessThanOrEqual" priority="87" type="cellIs">
      <formula>0</formula>
    </cfRule>
    <cfRule dxfId="1" operator="greaterThan" priority="88" type="cellIs">
      <formula>0</formula>
    </cfRule>
  </conditionalFormatting>
  <conditionalFormatting sqref="F53">
    <cfRule dxfId="1" operator="lessThan" priority="89" type="cellIs">
      <formula>0</formula>
    </cfRule>
    <cfRule dxfId="0" operator="greaterThanOrEqual" priority="90" type="cellIs">
      <formula>0</formula>
    </cfRule>
  </conditionalFormatting>
  <conditionalFormatting sqref="F50">
    <cfRule dxfId="1" operator="lessThan" priority="91" type="cellIs">
      <formula>0</formula>
    </cfRule>
    <cfRule dxfId="0" operator="greaterThanOrEqual" priority="92" type="cellIs">
      <formula>0</formula>
    </cfRule>
  </conditionalFormatting>
  <conditionalFormatting sqref="F51">
    <cfRule dxfId="1" operator="lessThan" priority="93" type="cellIs">
      <formula>0</formula>
    </cfRule>
    <cfRule dxfId="0" operator="greaterThanOrEqual" priority="94" type="cellIs">
      <formula>0</formula>
    </cfRule>
  </conditionalFormatting>
  <conditionalFormatting sqref="F52">
    <cfRule dxfId="1" operator="lessThan" priority="95" type="cellIs">
      <formula>0</formula>
    </cfRule>
    <cfRule dxfId="0" operator="greaterThanOrEqual" priority="96" type="cellIs">
      <formula>0</formula>
    </cfRule>
  </conditionalFormatting>
  <conditionalFormatting sqref="O2">
    <cfRule dxfId="1" operator="lessThan" priority="97" type="cellIs">
      <formula>0</formula>
    </cfRule>
    <cfRule dxfId="0" operator="greaterThanOrEqual" priority="98" type="cellIs">
      <formula>0</formula>
    </cfRule>
  </conditionalFormatting>
  <conditionalFormatting sqref="O3">
    <cfRule dxfId="1" operator="lessThan" priority="99" type="cellIs">
      <formula>0</formula>
    </cfRule>
    <cfRule dxfId="0" operator="greaterThanOrEqual" priority="100" type="cellIs">
      <formula>0</formula>
    </cfRule>
  </conditionalFormatting>
  <conditionalFormatting sqref="AP2:AP53">
    <cfRule dxfId="1" operator="lessThan" priority="101" type="cellIs">
      <formula>0</formula>
    </cfRule>
    <cfRule dxfId="0" operator="greaterThanOrEqual" priority="102" type="cellIs">
      <formula>0</formula>
    </cfRule>
  </conditionalFormatting>
  <conditionalFormatting sqref="AT2:AT3 AT4:AU53">
    <cfRule dxfId="1" operator="lessThan" priority="103" type="cellIs">
      <formula>0</formula>
    </cfRule>
    <cfRule dxfId="0" operator="greaterThanOrEqual" priority="104" type="cellIs">
      <formula>0</formula>
    </cfRule>
  </conditionalFormatting>
  <conditionalFormatting sqref="AU2">
    <cfRule dxfId="1" operator="lessThan" priority="105" type="cellIs">
      <formula>0</formula>
    </cfRule>
    <cfRule dxfId="0" operator="greaterThanOrEqual" priority="106" type="cellIs">
      <formula>0</formula>
    </cfRule>
  </conditionalFormatting>
  <conditionalFormatting sqref="AU3">
    <cfRule dxfId="1" operator="lessThan" priority="107" type="cellIs">
      <formula>0</formula>
    </cfRule>
    <cfRule dxfId="0" operator="greaterThanOrEqual" priority="108" type="cellIs">
      <formula>0</formula>
    </cfRule>
  </conditionalFormatting>
  <conditionalFormatting sqref="BB2:BB53">
    <cfRule dxfId="1" operator="lessThan" priority="83" type="cellIs">
      <formula>0</formula>
    </cfRule>
    <cfRule dxfId="0" operator="greaterThanOrEqual" priority="84" type="cellIs">
      <formula>0</formula>
    </cfRule>
  </conditionalFormatting>
  <conditionalFormatting sqref="G54">
    <cfRule dxfId="1" operator="lessThan" priority="51" type="cellIs">
      <formula>0</formula>
    </cfRule>
    <cfRule dxfId="0" operator="greaterThanOrEqual" priority="52" type="cellIs">
      <formula>0</formula>
    </cfRule>
  </conditionalFormatting>
  <conditionalFormatting sqref="G4:G53">
    <cfRule dxfId="1" operator="lessThan" priority="53" type="cellIs">
      <formula>0</formula>
    </cfRule>
    <cfRule dxfId="0" operator="greaterThanOrEqual" priority="54" type="cellIs">
      <formula>0</formula>
    </cfRule>
  </conditionalFormatting>
  <conditionalFormatting sqref="BC4:BC53">
    <cfRule dxfId="1" operator="lessThan" priority="77" type="cellIs">
      <formula>0</formula>
    </cfRule>
    <cfRule dxfId="0" operator="greaterThanOrEqual" priority="78" type="cellIs">
      <formula>0</formula>
    </cfRule>
  </conditionalFormatting>
  <conditionalFormatting sqref="BC2">
    <cfRule dxfId="1" operator="lessThan" priority="79" type="cellIs">
      <formula>0</formula>
    </cfRule>
    <cfRule dxfId="0" operator="greaterThanOrEqual" priority="80" type="cellIs">
      <formula>0</formula>
    </cfRule>
  </conditionalFormatting>
  <conditionalFormatting sqref="BC3">
    <cfRule dxfId="1" operator="lessThan" priority="81" type="cellIs">
      <formula>0</formula>
    </cfRule>
    <cfRule dxfId="0" operator="greaterThanOrEqual" priority="82" type="cellIs">
      <formula>0</formula>
    </cfRule>
  </conditionalFormatting>
  <conditionalFormatting sqref="AQ4:AQ53">
    <cfRule dxfId="1" operator="lessThan" priority="71" type="cellIs">
      <formula>0</formula>
    </cfRule>
    <cfRule dxfId="0" operator="greaterThanOrEqual" priority="72" type="cellIs">
      <formula>0</formula>
    </cfRule>
  </conditionalFormatting>
  <conditionalFormatting sqref="AQ2">
    <cfRule dxfId="1" operator="lessThan" priority="73" type="cellIs">
      <formula>0</formula>
    </cfRule>
    <cfRule dxfId="0" operator="greaterThanOrEqual" priority="74" type="cellIs">
      <formula>0</formula>
    </cfRule>
  </conditionalFormatting>
  <conditionalFormatting sqref="AQ3">
    <cfRule dxfId="1" operator="lessThan" priority="75" type="cellIs">
      <formula>0</formula>
    </cfRule>
    <cfRule dxfId="0" operator="greaterThanOrEqual" priority="76" type="cellIs">
      <formula>0</formula>
    </cfRule>
  </conditionalFormatting>
  <conditionalFormatting sqref="AE4:AE53">
    <cfRule dxfId="1" operator="lessThan" priority="65" type="cellIs">
      <formula>0</formula>
    </cfRule>
    <cfRule dxfId="0" operator="greaterThanOrEqual" priority="66" type="cellIs">
      <formula>0</formula>
    </cfRule>
  </conditionalFormatting>
  <conditionalFormatting sqref="AE3">
    <cfRule dxfId="1" operator="lessThan" priority="69" type="cellIs">
      <formula>0</formula>
    </cfRule>
    <cfRule dxfId="0" operator="greaterThanOrEqual" priority="70" type="cellIs">
      <formula>0</formula>
    </cfRule>
  </conditionalFormatting>
  <conditionalFormatting sqref="AA4:AA53">
    <cfRule dxfId="1" operator="lessThan" priority="59" type="cellIs">
      <formula>0</formula>
    </cfRule>
    <cfRule dxfId="0" operator="greaterThanOrEqual" priority="60" type="cellIs">
      <formula>0</formula>
    </cfRule>
  </conditionalFormatting>
  <conditionalFormatting sqref="AA2">
    <cfRule dxfId="1" operator="lessThan" priority="61" type="cellIs">
      <formula>0</formula>
    </cfRule>
    <cfRule dxfId="0" operator="greaterThanOrEqual" priority="62" type="cellIs">
      <formula>0</formula>
    </cfRule>
  </conditionalFormatting>
  <conditionalFormatting sqref="AA3">
    <cfRule dxfId="1" operator="lessThan" priority="63" type="cellIs">
      <formula>0</formula>
    </cfRule>
    <cfRule dxfId="0" operator="greaterThanOrEqual" priority="64" type="cellIs">
      <formula>0</formula>
    </cfRule>
  </conditionalFormatting>
  <conditionalFormatting sqref="G2">
    <cfRule dxfId="1" operator="lessThan" priority="55" type="cellIs">
      <formula>0</formula>
    </cfRule>
    <cfRule dxfId="0" operator="greaterThanOrEqual" priority="56" type="cellIs">
      <formula>0</formula>
    </cfRule>
  </conditionalFormatting>
  <conditionalFormatting sqref="G3">
    <cfRule dxfId="1" operator="lessThan" priority="57" type="cellIs">
      <formula>0</formula>
    </cfRule>
    <cfRule dxfId="0" operator="greaterThanOrEqual" priority="58" type="cellIs">
      <formula>0</formula>
    </cfRule>
  </conditionalFormatting>
  <conditionalFormatting sqref="AA54">
    <cfRule dxfId="1" operator="lessThan" priority="49" type="cellIs">
      <formula>0</formula>
    </cfRule>
    <cfRule dxfId="0" operator="greaterThanOrEqual" priority="50" type="cellIs">
      <formula>0</formula>
    </cfRule>
  </conditionalFormatting>
  <conditionalFormatting sqref="AE54">
    <cfRule dxfId="1" operator="lessThan" priority="47" type="cellIs">
      <formula>0</formula>
    </cfRule>
    <cfRule dxfId="0" operator="greaterThanOrEqual" priority="48" type="cellIs">
      <formula>0</formula>
    </cfRule>
  </conditionalFormatting>
  <conditionalFormatting sqref="AL3:AL53">
    <cfRule dxfId="1" operator="lessThan" priority="45" type="cellIs">
      <formula>0</formula>
    </cfRule>
    <cfRule dxfId="0" operator="greaterThanOrEqual" priority="46" type="cellIs">
      <formula>0</formula>
    </cfRule>
  </conditionalFormatting>
  <conditionalFormatting sqref="AM4:AM53">
    <cfRule dxfId="1" operator="lessThan" priority="39" type="cellIs">
      <formula>0</formula>
    </cfRule>
    <cfRule dxfId="0" operator="greaterThanOrEqual" priority="40" type="cellIs">
      <formula>0</formula>
    </cfRule>
  </conditionalFormatting>
  <conditionalFormatting sqref="AM2">
    <cfRule dxfId="1" operator="lessThan" priority="41" type="cellIs">
      <formula>0</formula>
    </cfRule>
    <cfRule dxfId="0" operator="greaterThanOrEqual" priority="42" type="cellIs">
      <formula>0</formula>
    </cfRule>
  </conditionalFormatting>
  <conditionalFormatting sqref="AM3">
    <cfRule dxfId="1" operator="lessThan" priority="43" type="cellIs">
      <formula>0</formula>
    </cfRule>
    <cfRule dxfId="0" operator="greaterThanOrEqual" priority="44" type="cellIs">
      <formula>0</formula>
    </cfRule>
  </conditionalFormatting>
  <conditionalFormatting sqref="AM54">
    <cfRule dxfId="1" operator="lessThan" priority="37" type="cellIs">
      <formula>0</formula>
    </cfRule>
    <cfRule dxfId="0" operator="greaterThanOrEqual" priority="38" type="cellIs">
      <formula>0</formula>
    </cfRule>
  </conditionalFormatting>
  <conditionalFormatting sqref="AQ54">
    <cfRule dxfId="1" operator="lessThan" priority="35" type="cellIs">
      <formula>0</formula>
    </cfRule>
    <cfRule dxfId="0" operator="greaterThanOrEqual" priority="36" type="cellIs">
      <formula>0</formula>
    </cfRule>
  </conditionalFormatting>
  <conditionalFormatting sqref="AU54">
    <cfRule dxfId="1" operator="lessThan" priority="33" type="cellIs">
      <formula>0</formula>
    </cfRule>
    <cfRule dxfId="0" operator="greaterThanOrEqual" priority="34" type="cellIs">
      <formula>0</formula>
    </cfRule>
  </conditionalFormatting>
  <conditionalFormatting sqref="BC54">
    <cfRule dxfId="1" operator="lessThan" priority="31" type="cellIs">
      <formula>0</formula>
    </cfRule>
    <cfRule dxfId="0" operator="greaterThanOrEqual" priority="32" type="cellIs">
      <formula>0</formula>
    </cfRule>
  </conditionalFormatting>
  <conditionalFormatting sqref="V2:V53">
    <cfRule dxfId="1" operator="lessThan" priority="29" type="cellIs">
      <formula>0</formula>
    </cfRule>
    <cfRule dxfId="0" operator="greaterThanOrEqual" priority="30" type="cellIs">
      <formula>0</formula>
    </cfRule>
  </conditionalFormatting>
  <conditionalFormatting sqref="W4:W53">
    <cfRule dxfId="1" operator="lessThan" priority="23" type="cellIs">
      <formula>0</formula>
    </cfRule>
    <cfRule dxfId="0" operator="greaterThanOrEqual" priority="24" type="cellIs">
      <formula>0</formula>
    </cfRule>
  </conditionalFormatting>
  <conditionalFormatting sqref="W2">
    <cfRule dxfId="1" operator="lessThan" priority="25" type="cellIs">
      <formula>0</formula>
    </cfRule>
    <cfRule dxfId="0" operator="greaterThanOrEqual" priority="26" type="cellIs">
      <formula>0</formula>
    </cfRule>
  </conditionalFormatting>
  <conditionalFormatting sqref="W3">
    <cfRule dxfId="1" operator="lessThan" priority="27" type="cellIs">
      <formula>0</formula>
    </cfRule>
    <cfRule dxfId="0" operator="greaterThanOrEqual" priority="28" type="cellIs">
      <formula>0</formula>
    </cfRule>
  </conditionalFormatting>
  <conditionalFormatting sqref="W54">
    <cfRule dxfId="1" operator="lessThan" priority="21" type="cellIs">
      <formula>0</formula>
    </cfRule>
    <cfRule dxfId="0" operator="greaterThanOrEqual" priority="22" type="cellIs">
      <formula>0</formula>
    </cfRule>
  </conditionalFormatting>
  <conditionalFormatting sqref="J2:J3 J4:K53">
    <cfRule dxfId="0" operator="lessThanOrEqual" priority="15" type="cellIs">
      <formula>0</formula>
    </cfRule>
    <cfRule dxfId="1" operator="greaterThan" priority="16" type="cellIs">
      <formula>0</formula>
    </cfRule>
  </conditionalFormatting>
  <conditionalFormatting sqref="K2">
    <cfRule dxfId="1" operator="lessThan" priority="17" type="cellIs">
      <formula>0</formula>
    </cfRule>
    <cfRule dxfId="0" operator="greaterThanOrEqual" priority="18" type="cellIs">
      <formula>0</formula>
    </cfRule>
  </conditionalFormatting>
  <conditionalFormatting sqref="K3">
    <cfRule dxfId="1" operator="lessThan" priority="19" type="cellIs">
      <formula>0</formula>
    </cfRule>
    <cfRule dxfId="0" operator="greaterThanOrEqual" priority="20" type="cellIs">
      <formula>0</formula>
    </cfRule>
  </conditionalFormatting>
  <conditionalFormatting sqref="R2:R53">
    <cfRule dxfId="1" operator="lessThan" priority="13" type="cellIs">
      <formula>0</formula>
    </cfRule>
    <cfRule dxfId="0" operator="greaterThanOrEqual" priority="14" type="cellIs">
      <formula>0</formula>
    </cfRule>
  </conditionalFormatting>
  <conditionalFormatting sqref="S4:S53">
    <cfRule dxfId="1" operator="lessThan" priority="7" type="cellIs">
      <formula>0</formula>
    </cfRule>
    <cfRule dxfId="0" operator="greaterThanOrEqual" priority="8" type="cellIs">
      <formula>0</formula>
    </cfRule>
  </conditionalFormatting>
  <conditionalFormatting sqref="S2">
    <cfRule dxfId="1" operator="lessThan" priority="9" type="cellIs">
      <formula>0</formula>
    </cfRule>
    <cfRule dxfId="0" operator="greaterThanOrEqual" priority="10" type="cellIs">
      <formula>0</formula>
    </cfRule>
  </conditionalFormatting>
  <conditionalFormatting sqref="S3">
    <cfRule dxfId="1" operator="lessThan" priority="11" type="cellIs">
      <formula>0</formula>
    </cfRule>
    <cfRule dxfId="0" operator="greaterThanOrEqual" priority="12" type="cellIs">
      <formula>0</formula>
    </cfRule>
  </conditionalFormatting>
  <conditionalFormatting sqref="S54">
    <cfRule dxfId="1" operator="lessThan" priority="5" type="cellIs">
      <formula>0</formula>
    </cfRule>
    <cfRule dxfId="0" operator="greaterThanOrEqual" priority="6" type="cellIs">
      <formula>0</formula>
    </cfRule>
  </conditionalFormatting>
  <conditionalFormatting sqref="AH3:AI1048576">
    <cfRule dxfId="663" operator="lessThan" priority="3" type="cellIs">
      <formula>0</formula>
    </cfRule>
    <cfRule dxfId="662" operator="greaterThan" priority="4" type="cellIs">
      <formula>0</formula>
    </cfRule>
  </conditionalFormatting>
  <conditionalFormatting sqref="AX2:AY1048576">
    <cfRule dxfId="663" operator="lessThan" priority="1" type="cellIs">
      <formula>0</formula>
    </cfRule>
    <cfRule dxfId="662" operator="greaterThan" priority="2" type="cellIs">
      <formula>0</formula>
    </cfRule>
  </conditionalFormatting>
  <pageMargins bottom="1" footer="0.5" header="0.5" left="0.75" right="0.75" top="1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Brad Abbott</dc:creator>
  <dcterms:created xsi:type="dcterms:W3CDTF">2017-01-18T23:00:42Z</dcterms:created>
  <dcterms:modified xsi:type="dcterms:W3CDTF">2017-12-04T18:21:16Z</dcterms:modified>
  <cp:lastModifiedBy>Nimisha Bhatia (LCL)</cp:lastModifiedBy>
</cp:coreProperties>
</file>