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전체 공정" sheetId="1" r:id="rId4"/>
    <sheet state="visible" name="업로드현황" sheetId="2" r:id="rId5"/>
    <sheet state="visible" name="수집(녹음시간)" sheetId="3" r:id="rId6"/>
    <sheet state="visible" name="수집" sheetId="4" r:id="rId7"/>
    <sheet state="visible" name="정제" sheetId="5" r:id="rId8"/>
    <sheet state="visible" name="전사(대본읽기)" sheetId="6" r:id="rId9"/>
    <sheet state="visible" name="전사3차(대본읽기)" sheetId="7" r:id="rId10"/>
    <sheet state="visible" name="전사(질의응답)" sheetId="8" r:id="rId11"/>
    <sheet state="visible" name="검수(질의응답)" sheetId="9" r:id="rId12"/>
    <sheet state="visible" name="모델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38">
      <text>
        <t xml:space="preserve">연한 노랑색 3 으로 채워진 부분만
변경 부탁드립니다.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38">
      <text>
        <t xml:space="preserve">연한 노랑색 3 으로 채워진 부분만
변경 부탁드립니다.</t>
      </text>
    </comment>
    <comment authorId="0" ref="G38">
      <text>
        <t xml:space="preserve">연한 노랑색 3 으로 채워진 부분만
변경 부탁드립니다.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38">
      <text>
        <t xml:space="preserve">연한 노랑색 3 으로 채워진 부분만
변경 부탁드립니다.</t>
      </text>
    </comment>
    <comment authorId="0" ref="G38">
      <text>
        <t xml:space="preserve">연한 노랑색 3 으로 채워진 부분만
변경 부탁드립니다.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38">
      <text>
        <t xml:space="preserve">연한 노랑색 3 으로 채워진 부분만
변경 부탁드립니다.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38">
      <text>
        <t xml:space="preserve">연한 노랑색 3 으로 채워진 부분만
변경 부탁드립니다.</t>
      </text>
    </comment>
  </commentList>
</comments>
</file>

<file path=xl/sharedStrings.xml><?xml version="1.0" encoding="utf-8"?>
<sst xmlns="http://schemas.openxmlformats.org/spreadsheetml/2006/main" count="1245" uniqueCount="153">
  <si>
    <t>전체 공정 현황</t>
  </si>
  <si>
    <t>실제 작업 현황(시간추정)</t>
  </si>
  <si>
    <t>모국어</t>
  </si>
  <si>
    <t>목표(시간)</t>
  </si>
  <si>
    <t>수집(녹음)</t>
  </si>
  <si>
    <t>정제</t>
  </si>
  <si>
    <t>전사</t>
  </si>
  <si>
    <t>검수</t>
  </si>
  <si>
    <t>모델개발</t>
  </si>
  <si>
    <t>수집율</t>
  </si>
  <si>
    <t>정제율</t>
  </si>
  <si>
    <t>전사율</t>
  </si>
  <si>
    <t>검수율</t>
  </si>
  <si>
    <t>베트남어</t>
  </si>
  <si>
    <t>영어</t>
  </si>
  <si>
    <t>일본어</t>
  </si>
  <si>
    <t>중국어</t>
  </si>
  <si>
    <t>태국어</t>
  </si>
  <si>
    <t>기타언어</t>
  </si>
  <si>
    <t>합계</t>
  </si>
  <si>
    <t>모국어별 작업 진척량</t>
  </si>
  <si>
    <t>일자</t>
  </si>
  <si>
    <t>모국어별 작업 진척율</t>
  </si>
  <si>
    <t>모국어별 작업자 수</t>
  </si>
  <si>
    <t>작업자당 작업수량</t>
  </si>
  <si>
    <t>기준 시각 2021-11-16-17:00</t>
  </si>
  <si>
    <t>언어</t>
  </si>
  <si>
    <t>업로드수량</t>
  </si>
  <si>
    <t>진척률</t>
  </si>
  <si>
    <t>주제</t>
  </si>
  <si>
    <t>한국문화l</t>
  </si>
  <si>
    <t>한국문화ll</t>
  </si>
  <si>
    <t>한국생활l</t>
  </si>
  <si>
    <t>한국생활ll</t>
  </si>
  <si>
    <t>한국일반</t>
  </si>
  <si>
    <t>한국문화l_2</t>
  </si>
  <si>
    <t>한국문화ll_2</t>
  </si>
  <si>
    <t>한국생활l_2</t>
  </si>
  <si>
    <t>한국생활ll_2</t>
  </si>
  <si>
    <t>한국일반_2</t>
  </si>
  <si>
    <t>한국문화l_3or4</t>
  </si>
  <si>
    <t>한국문화ll_3or4</t>
  </si>
  <si>
    <t>한국생활l_3or4</t>
  </si>
  <si>
    <t>한국생활ll_3or4</t>
  </si>
  <si>
    <t>한국일반_3or4</t>
  </si>
  <si>
    <t>번호</t>
  </si>
  <si>
    <t>프로젝트 명</t>
  </si>
  <si>
    <t>업로드 수량</t>
  </si>
  <si>
    <t>대본읽기</t>
  </si>
  <si>
    <t>질의응답</t>
  </si>
  <si>
    <t>대본통합본</t>
  </si>
  <si>
    <t>질답통합본</t>
  </si>
  <si>
    <t>비고</t>
  </si>
  <si>
    <t>[베트남어] 한국문화 I</t>
  </si>
  <si>
    <t>업로드 진행중</t>
  </si>
  <si>
    <t>[베트남어] 한국문화 II</t>
  </si>
  <si>
    <t>데이터 변경 대기</t>
  </si>
  <si>
    <t>질문에 답변하기 업로드 완료</t>
  </si>
  <si>
    <t>[베트남어] 한국생활 I</t>
  </si>
  <si>
    <t>[베트남어] 한국생활 II</t>
  </si>
  <si>
    <t>[베트남어] 한국일반</t>
  </si>
  <si>
    <t>[베트남어] 한국문화I_2</t>
  </si>
  <si>
    <t>[베트남어] 한국생활I_2</t>
  </si>
  <si>
    <t>[베트남어] 한국생활II_2</t>
  </si>
  <si>
    <t>[베트남어] 한국일반_2</t>
  </si>
  <si>
    <t>[베트남어] 한국문화I_4</t>
  </si>
  <si>
    <t>[베트남어] 한국문화II_4</t>
  </si>
  <si>
    <t>[베트남어] 한국생활 I_4</t>
  </si>
  <si>
    <t>[베트남어] 한국생활II_4</t>
  </si>
  <si>
    <t>[베트남어] 한국일반_4</t>
  </si>
  <si>
    <t>[태국어] 한국문화 I</t>
  </si>
  <si>
    <t>[태국어] 한국문화 II</t>
  </si>
  <si>
    <t>[태국어] 한국생활 I</t>
  </si>
  <si>
    <t>[태국어] 한국생활 II</t>
  </si>
  <si>
    <t>[태국어] 한국일반</t>
  </si>
  <si>
    <t>[태국어] 한국일반_2</t>
  </si>
  <si>
    <t>[태국어] 한국문화I_3</t>
  </si>
  <si>
    <t>[태국어] 한국문화II_3</t>
  </si>
  <si>
    <t>[태국어] 한국생활 I_3</t>
  </si>
  <si>
    <t>[태국어] 한국생활II_3</t>
  </si>
  <si>
    <t>[태국어] 한국일반_3</t>
  </si>
  <si>
    <t>[중국어] 한국문화 I</t>
  </si>
  <si>
    <t>[중국어] 한국문화 II</t>
  </si>
  <si>
    <t>[중국어] 한국생활 I</t>
  </si>
  <si>
    <t>[중국어] 한국생활 II</t>
  </si>
  <si>
    <t>[중국어] 한국일반</t>
  </si>
  <si>
    <t>[중국어] 한국문화 I_2</t>
  </si>
  <si>
    <t>[중국어] 한국문화 II_2</t>
  </si>
  <si>
    <t>[중국어] 한국생활 I_2</t>
  </si>
  <si>
    <t>[중국어] 한국생활 II_2</t>
  </si>
  <si>
    <t>[중국어] 한국일반_2</t>
  </si>
  <si>
    <t>[일본어] 한국문화 I</t>
  </si>
  <si>
    <t>[일본어] 한국문화 II</t>
  </si>
  <si>
    <t>[일본어] 한국생활 I</t>
  </si>
  <si>
    <t>[일본어] 한국생활 II</t>
  </si>
  <si>
    <t>[일본어] 한국일반</t>
  </si>
  <si>
    <t>[일본어] 한국문화 I_2</t>
  </si>
  <si>
    <t>[일본어] 한국문화 II_2</t>
  </si>
  <si>
    <t>[일본어] 한국생활 I_2</t>
  </si>
  <si>
    <t>[일본어] 한국생활 II_2</t>
  </si>
  <si>
    <t>[일본어] 한국일반_2</t>
  </si>
  <si>
    <t>[일본어] 한국문화I_3</t>
  </si>
  <si>
    <t>[일본어] 한국문화II_3</t>
  </si>
  <si>
    <t>[일본어] 한국생활 I_3</t>
  </si>
  <si>
    <t>[일본어] 한국생활II_3</t>
  </si>
  <si>
    <t>[일본어] 한국일반_3</t>
  </si>
  <si>
    <t>[영어] 한국문화 I</t>
  </si>
  <si>
    <t>[영어] 한국문화 II</t>
  </si>
  <si>
    <t>[영어] 한국생활 I</t>
  </si>
  <si>
    <t>[영어] 한국생활 II</t>
  </si>
  <si>
    <t>[영어] 한국일반</t>
  </si>
  <si>
    <t>[기타언어] 한국문화 I</t>
  </si>
  <si>
    <t>[기타언어] 한국문화 II</t>
  </si>
  <si>
    <t>[기타언어] 한국생활 I</t>
  </si>
  <si>
    <t>[기타언어] 한국생활 II</t>
  </si>
  <si>
    <t>[기타언어] 한국일반</t>
  </si>
  <si>
    <t>[기타언어] 한국문화I_2</t>
  </si>
  <si>
    <t>[기타언어] 한국문화II_2</t>
  </si>
  <si>
    <t>[기타언어] 한국생활 I_2</t>
  </si>
  <si>
    <t>[기타언어] 한국생활II_2</t>
  </si>
  <si>
    <t>[기타언어] 한국일반_2</t>
  </si>
  <si>
    <t>수집시간</t>
  </si>
  <si>
    <t>베트남_3</t>
  </si>
  <si>
    <t>영어 자유</t>
  </si>
  <si>
    <t>수집 목표(105%)</t>
  </si>
  <si>
    <t>작업량</t>
  </si>
  <si>
    <t>녹음시간</t>
  </si>
  <si>
    <t>시간</t>
  </si>
  <si>
    <t>분</t>
  </si>
  <si>
    <t>초</t>
  </si>
  <si>
    <t>[베트남어]한국생활II_3</t>
  </si>
  <si>
    <t>[베트남어]한국문화II_3</t>
  </si>
  <si>
    <t>[베트남어]한국일반_3</t>
  </si>
  <si>
    <t>기준 시각 2021-11-22-10:30</t>
  </si>
  <si>
    <t>납품건수</t>
  </si>
  <si>
    <t>[베트남어] 한국생활II_3</t>
  </si>
  <si>
    <t>기준 시각 2021-11-23-17:00</t>
  </si>
  <si>
    <t>검수량</t>
  </si>
  <si>
    <t>총량 대비 언어별 비율</t>
  </si>
  <si>
    <t>수정 목표</t>
  </si>
  <si>
    <t>기준 시각 2021-12-14-18:00</t>
  </si>
  <si>
    <t>전사작업량</t>
  </si>
  <si>
    <t>프로젝트번호</t>
  </si>
  <si>
    <t>전사불가</t>
  </si>
  <si>
    <t>4차</t>
  </si>
  <si>
    <t>5차</t>
  </si>
  <si>
    <t>6차</t>
  </si>
  <si>
    <t>7차</t>
  </si>
  <si>
    <t>기준 시각 2021-12-15-09:00</t>
  </si>
  <si>
    <t>3차 미반영</t>
  </si>
  <si>
    <t>전사불가(제외)</t>
  </si>
  <si>
    <t>전사불가(삭제)</t>
  </si>
  <si>
    <t>기준 시각 2021-12-07-18:00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</si>
</sst>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"/>
    <numFmt numFmtId="165" formatCode="#,##0.0"/>
    <numFmt numFmtId="166" formatCode="m/d h:mm"/>
  </numFmts>
  <fonts count="49">
    <font>
      <sz val="10.0"/>
      <color rgb="FF000000"/>
      <name val="Arial"/>
      <scheme val="minor"/>
    </font>
    <font>
      <b/>
      <sz val="20.0"/>
      <color theme="0"/>
      <name val="Impact"/>
    </font>
    <font/>
    <font>
      <b/>
      <sz val="16.0"/>
      <color theme="0"/>
      <name val="Arial"/>
      <scheme val="minor"/>
    </font>
    <font>
      <sz val="14.0"/>
      <color theme="1"/>
      <name val="Arial"/>
      <scheme val="minor"/>
    </font>
    <font>
      <b/>
      <sz val="14.0"/>
      <color theme="0"/>
      <name val="&quot;KoPubWorld돋움체 Medium&quot;"/>
    </font>
    <font>
      <b/>
      <sz val="14.0"/>
      <color rgb="FF000000"/>
      <name val="&quot;KoPubWorld돋움체 Medium&quot;"/>
    </font>
    <font>
      <b/>
      <sz val="14.0"/>
      <color theme="0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  <scheme val="minor"/>
    </font>
    <font>
      <sz val="14.0"/>
      <color rgb="FF1155CC"/>
      <name val="Arial"/>
      <scheme val="minor"/>
    </font>
    <font>
      <b/>
      <sz val="14.0"/>
      <color rgb="FFFFFFFF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b/>
      <sz val="14.0"/>
      <color rgb="FFFFFFFF"/>
      <name val="&quot;KoPubWorld돋움체 Medium&quot;"/>
    </font>
    <font>
      <sz val="11.0"/>
      <color theme="0"/>
      <name val="Arial"/>
      <scheme val="minor"/>
    </font>
    <font>
      <sz val="11.0"/>
      <color theme="1"/>
      <name val="&quot;KoPubWorld돋움체 Medium&quot;"/>
    </font>
    <font>
      <sz val="11.0"/>
      <color rgb="FFFFFFFF"/>
      <name val="Arial"/>
      <scheme val="minor"/>
    </font>
    <font>
      <b/>
      <sz val="12.0"/>
      <color rgb="FF000000"/>
      <name val="&quot;KoPubWorld돋움체 Medium&quot;"/>
    </font>
    <font>
      <b/>
      <sz val="12.0"/>
      <color rgb="FFFFFFFF"/>
      <name val="&quot;KoPubWorld돋움체 Medium&quot;"/>
    </font>
    <font>
      <b/>
      <sz val="11.0"/>
      <color theme="1"/>
      <name val="&quot;KoPubWorld돋움체 Medium&quot;"/>
    </font>
    <font>
      <b/>
      <sz val="12.0"/>
      <color rgb="FF252D3A"/>
      <name val="&quot;KoPub돋움체 Bold&quot;"/>
    </font>
    <font>
      <b/>
      <sz val="10.0"/>
      <color rgb="FFFFFFFF"/>
      <name val="Impact"/>
    </font>
    <font>
      <sz val="10.0"/>
      <color theme="1"/>
      <name val="&quot;KoPubWorld돋움체 Medium&quot;"/>
    </font>
    <font>
      <b/>
      <sz val="11.0"/>
      <color rgb="FF000000"/>
      <name val="Arial"/>
    </font>
    <font>
      <sz val="11.0"/>
      <color rgb="FF000000"/>
      <name val="Arial"/>
    </font>
    <font>
      <sz val="10.0"/>
      <color rgb="FFFFFFFF"/>
      <name val="&quot;KoPubWorld돋움체 Medium&quot;"/>
    </font>
    <font>
      <sz val="10.0"/>
      <color theme="0"/>
      <name val="&quot;KoPubWorld돋움체 Medium&quot;"/>
    </font>
    <font>
      <b/>
      <sz val="11.0"/>
      <color rgb="FFFFFFFF"/>
      <name val="Arial"/>
    </font>
    <font>
      <sz val="10.0"/>
      <color rgb="FF000000"/>
      <name val="&quot;맑은 고딕&quot;"/>
    </font>
    <font>
      <b/>
      <sz val="11.0"/>
      <color theme="1"/>
      <name val="Arial"/>
    </font>
    <font>
      <sz val="11.0"/>
      <color rgb="FF000000"/>
      <name val="&quot;맑은 고딕&quot;"/>
    </font>
    <font>
      <b/>
      <sz val="11.0"/>
      <color theme="1"/>
      <name val="&quot;맑은 고딕&quot;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color theme="1"/>
      <name val="&quot;KoPubWorld돋움체 Medium&quot;"/>
    </font>
    <font>
      <color theme="0"/>
      <name val="&quot;KoPubWorld돋움체 Medium&quot;"/>
    </font>
    <font>
      <b/>
      <sz val="11.0"/>
      <color theme="0"/>
      <name val="&quot;맑은 고딕&quot;"/>
    </font>
    <font>
      <sz val="11.0"/>
      <color theme="0"/>
      <name val="&quot;맑은 고딕&quot;"/>
    </font>
    <font>
      <color rgb="FFFFFFFF"/>
      <name val="&quot;KoPubWorld돋움체 Medium&quot;"/>
    </font>
    <font>
      <b/>
      <sz val="11.0"/>
      <color rgb="FF000000"/>
      <name val="&quot;맑은 고딕&quot;"/>
    </font>
    <font>
      <color rgb="FF252D3A"/>
      <name val="&quot;KoPubWorld돋움체 Medium&quot;"/>
    </font>
    <font>
      <b/>
      <sz val="12.0"/>
      <color rgb="FFFFFFFF"/>
      <name val="Impact"/>
    </font>
    <font>
      <b/>
      <sz val="12.0"/>
      <color theme="0"/>
      <name val="Impact"/>
    </font>
    <font>
      <b/>
      <sz val="12.0"/>
      <color rgb="FF000000"/>
      <name val="Impact"/>
    </font>
    <font>
      <sz val="11.0"/>
      <color rgb="FF000000"/>
      <name val="Arial"/>
      <scheme val="minor"/>
    </font>
    <font>
      <sz val="11.0"/>
      <color rgb="FF000000"/>
      <name val="&quot;KoPubWorld돋움체 Medium&quot;"/>
    </font>
    <font>
      <color theme="1"/>
      <name val="Arial"/>
    </font>
    <font>
      <b/>
      <sz val="11.0"/>
      <color rgb="FF000000"/>
      <name val="Arial"/>
      <scheme val="minor"/>
    </font>
  </fonts>
  <fills count="1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666666"/>
        <bgColor rgb="FF666666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F4B084"/>
        <bgColor rgb="FFF4B084"/>
      </patternFill>
    </fill>
    <fill>
      <patternFill patternType="solid">
        <fgColor rgb="FF0070C0"/>
        <bgColor rgb="FF0070C0"/>
      </patternFill>
    </fill>
    <fill>
      <patternFill patternType="solid">
        <fgColor rgb="FFF4C7C3"/>
        <bgColor rgb="FFF4C7C3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00B050"/>
        <bgColor rgb="FF00B050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</fills>
  <borders count="71">
    <border/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n">
        <color rgb="FF000000"/>
      </right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EA4335"/>
      </left>
      <top style="thick">
        <color rgb="FFEA4335"/>
      </top>
    </border>
    <border>
      <right style="thick">
        <color rgb="FFEA4335"/>
      </right>
      <top style="thick">
        <color rgb="FFEA4335"/>
      </top>
    </border>
    <border>
      <left style="thin">
        <color rgb="FF000000"/>
      </left>
    </border>
    <border>
      <left style="thick">
        <color rgb="FFEA4335"/>
      </left>
      <bottom style="thin">
        <color rgb="FF000000"/>
      </bottom>
    </border>
    <border>
      <right style="thick">
        <color rgb="FFEA4335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EA4335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EA4335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ck">
        <color rgb="FFEA4335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EA4335"/>
      </right>
      <top style="thin">
        <color rgb="FF000000"/>
      </top>
    </border>
    <border>
      <left style="thick">
        <color rgb="FFEA4335"/>
      </left>
      <top style="thick">
        <color rgb="FFEA4335"/>
      </top>
      <bottom style="thick">
        <color rgb="FFEA4335"/>
      </bottom>
    </border>
    <border>
      <right style="thin">
        <color rgb="FF000000"/>
      </right>
      <top style="thick">
        <color rgb="FFEA4335"/>
      </top>
      <bottom style="thick">
        <color rgb="FFEA4335"/>
      </bottom>
    </border>
    <border>
      <left style="thin">
        <color rgb="FF000000"/>
      </left>
      <right style="thin">
        <color rgb="FF000000"/>
      </right>
      <top style="thick">
        <color rgb="FFEA4335"/>
      </top>
      <bottom style="thick">
        <color rgb="FFEA4335"/>
      </bottom>
    </border>
    <border>
      <left style="thin">
        <color rgb="FF000000"/>
      </left>
      <top style="thick">
        <color rgb="FFEA4335"/>
      </top>
      <bottom style="thick">
        <color rgb="FFEA4335"/>
      </bottom>
    </border>
    <border>
      <left style="thick">
        <color rgb="FFEA4335"/>
      </left>
      <right style="thin">
        <color rgb="FF000000"/>
      </right>
      <top style="thick">
        <color rgb="FFEA4335"/>
      </top>
      <bottom style="thick">
        <color rgb="FFEA4335"/>
      </bottom>
    </border>
    <border>
      <left style="thin">
        <color rgb="FF000000"/>
      </left>
      <right style="thick">
        <color rgb="FFEA4335"/>
      </right>
      <top style="thick">
        <color rgb="FFEA4335"/>
      </top>
      <bottom style="thick">
        <color rgb="FFEA4335"/>
      </bottom>
    </border>
  </borders>
  <cellStyleXfs count="1">
    <xf borderId="0" fillId="0" fontId="0" numFmtId="0" applyAlignment="1" applyFont="1"/>
  </cellStyleXfs>
  <cellXfs count="3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 vertical="center"/>
    </xf>
    <xf borderId="5" fillId="0" fontId="2" numFmtId="0" xfId="0" applyBorder="1" applyFont="1"/>
    <xf borderId="6" fillId="0" fontId="2" numFmtId="0" xfId="0" applyBorder="1" applyFont="1"/>
    <xf borderId="4" fillId="0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readingOrder="0" vertical="center"/>
    </xf>
    <xf borderId="6" fillId="0" fontId="4" numFmtId="0" xfId="0" applyAlignment="1" applyBorder="1" applyFont="1">
      <alignment horizontal="center" readingOrder="0" vertical="center"/>
    </xf>
    <xf borderId="7" fillId="2" fontId="5" numFmtId="0" xfId="0" applyAlignment="1" applyBorder="1" applyFont="1">
      <alignment horizontal="center" readingOrder="0"/>
    </xf>
    <xf borderId="8" fillId="4" fontId="6" numFmtId="0" xfId="0" applyAlignment="1" applyBorder="1" applyFill="1" applyFont="1">
      <alignment horizontal="center" readingOrder="0"/>
    </xf>
    <xf borderId="9" fillId="4" fontId="6" numFmtId="0" xfId="0" applyAlignment="1" applyBorder="1" applyFont="1">
      <alignment horizontal="center" readingOrder="0"/>
    </xf>
    <xf borderId="10" fillId="4" fontId="6" numFmtId="0" xfId="0" applyAlignment="1" applyBorder="1" applyFont="1">
      <alignment horizontal="center" readingOrder="0"/>
    </xf>
    <xf borderId="11" fillId="4" fontId="6" numFmtId="0" xfId="0" applyAlignment="1" applyBorder="1" applyFont="1">
      <alignment horizontal="center" readingOrder="0"/>
    </xf>
    <xf borderId="7" fillId="2" fontId="7" numFmtId="0" xfId="0" applyAlignment="1" applyBorder="1" applyFont="1">
      <alignment horizontal="center" readingOrder="0"/>
    </xf>
    <xf borderId="7" fillId="5" fontId="8" numFmtId="0" xfId="0" applyAlignment="1" applyBorder="1" applyFill="1" applyFont="1">
      <alignment horizontal="right" readingOrder="0"/>
    </xf>
    <xf borderId="8" fillId="0" fontId="4" numFmtId="10" xfId="0" applyAlignment="1" applyBorder="1" applyFont="1" applyNumberFormat="1">
      <alignment horizontal="right"/>
    </xf>
    <xf borderId="12" fillId="0" fontId="4" numFmtId="10" xfId="0" applyAlignment="1" applyBorder="1" applyFont="1" applyNumberFormat="1">
      <alignment horizontal="right"/>
    </xf>
    <xf borderId="13" fillId="0" fontId="4" numFmtId="0" xfId="0" applyAlignment="1" applyBorder="1" applyFont="1">
      <alignment horizontal="right"/>
    </xf>
    <xf borderId="5" fillId="2" fontId="7" numFmtId="0" xfId="0" applyAlignment="1" applyBorder="1" applyFont="1">
      <alignment horizontal="center" readingOrder="0"/>
    </xf>
    <xf borderId="11" fillId="0" fontId="9" numFmtId="3" xfId="0" applyAlignment="1" applyBorder="1" applyFont="1" applyNumberFormat="1">
      <alignment readingOrder="0"/>
    </xf>
    <xf borderId="11" fillId="0" fontId="9" numFmtId="10" xfId="0" applyAlignment="1" applyBorder="1" applyFont="1" applyNumberFormat="1">
      <alignment readingOrder="0"/>
    </xf>
    <xf borderId="14" fillId="0" fontId="4" numFmtId="10" xfId="0" applyAlignment="1" applyBorder="1" applyFont="1" applyNumberFormat="1">
      <alignment horizontal="right"/>
    </xf>
    <xf borderId="11" fillId="0" fontId="4" numFmtId="10" xfId="0" applyAlignment="1" applyBorder="1" applyFont="1" applyNumberFormat="1">
      <alignment horizontal="right"/>
    </xf>
    <xf borderId="11" fillId="6" fontId="10" numFmtId="10" xfId="0" applyBorder="1" applyFill="1" applyFont="1" applyNumberFormat="1"/>
    <xf borderId="15" fillId="0" fontId="4" numFmtId="0" xfId="0" applyAlignment="1" applyBorder="1" applyFont="1">
      <alignment horizontal="right"/>
    </xf>
    <xf borderId="11" fillId="0" fontId="9" numFmtId="3" xfId="0" applyBorder="1" applyFont="1" applyNumberFormat="1"/>
    <xf borderId="16" fillId="2" fontId="11" numFmtId="0" xfId="0" applyAlignment="1" applyBorder="1" applyFont="1">
      <alignment horizontal="center" readingOrder="0"/>
    </xf>
    <xf borderId="16" fillId="5" fontId="8" numFmtId="0" xfId="0" applyAlignment="1" applyBorder="1" applyFont="1">
      <alignment horizontal="right" readingOrder="0"/>
    </xf>
    <xf borderId="17" fillId="0" fontId="4" numFmtId="10" xfId="0" applyAlignment="1" applyBorder="1" applyFont="1" applyNumberFormat="1">
      <alignment horizontal="right"/>
    </xf>
    <xf borderId="18" fillId="0" fontId="4" numFmtId="10" xfId="0" applyAlignment="1" applyBorder="1" applyFont="1" applyNumberFormat="1">
      <alignment horizontal="right"/>
    </xf>
    <xf borderId="18" fillId="6" fontId="10" numFmtId="10" xfId="0" applyBorder="1" applyFont="1" applyNumberFormat="1"/>
    <xf borderId="19" fillId="0" fontId="4" numFmtId="0" xfId="0" applyAlignment="1" applyBorder="1" applyFont="1">
      <alignment horizontal="right"/>
    </xf>
    <xf borderId="20" fillId="2" fontId="11" numFmtId="0" xfId="0" applyAlignment="1" applyBorder="1" applyFont="1">
      <alignment horizontal="center" readingOrder="0"/>
    </xf>
    <xf borderId="0" fillId="0" fontId="12" numFmtId="1" xfId="0" applyFont="1" applyNumberFormat="1"/>
    <xf borderId="0" fillId="0" fontId="13" numFmtId="0" xfId="0" applyAlignment="1" applyFont="1">
      <alignment readingOrder="0"/>
    </xf>
    <xf borderId="0" fillId="0" fontId="4" numFmtId="0" xfId="0" applyAlignment="1" applyFont="1">
      <alignment readingOrder="0"/>
    </xf>
    <xf borderId="7" fillId="2" fontId="14" numFmtId="0" xfId="0" applyAlignment="1" applyBorder="1" applyFont="1">
      <alignment horizontal="center" readingOrder="0"/>
    </xf>
    <xf borderId="0" fillId="3" fontId="15" numFmtId="164" xfId="0" applyAlignment="1" applyFont="1" applyNumberFormat="1">
      <alignment horizontal="center" readingOrder="0"/>
    </xf>
    <xf borderId="7" fillId="2" fontId="7" numFmtId="3" xfId="0" applyAlignment="1" applyBorder="1" applyFont="1" applyNumberFormat="1">
      <alignment horizontal="center" readingOrder="0"/>
    </xf>
    <xf borderId="11" fillId="0" fontId="16" numFmtId="3" xfId="0" applyAlignment="1" applyBorder="1" applyFont="1" applyNumberFormat="1">
      <alignment horizontal="center" readingOrder="0"/>
    </xf>
    <xf borderId="11" fillId="0" fontId="13" numFmtId="3" xfId="0" applyAlignment="1" applyBorder="1" applyFont="1" applyNumberFormat="1">
      <alignment readingOrder="0"/>
    </xf>
    <xf borderId="16" fillId="2" fontId="11" numFmtId="3" xfId="0" applyAlignment="1" applyBorder="1" applyFont="1" applyNumberFormat="1">
      <alignment horizontal="center" readingOrder="0"/>
    </xf>
    <xf borderId="11" fillId="0" fontId="13" numFmtId="3" xfId="0" applyAlignment="1" applyBorder="1" applyFont="1" applyNumberFormat="1">
      <alignment horizontal="center"/>
    </xf>
    <xf borderId="11" fillId="0" fontId="13" numFmtId="3" xfId="0" applyBorder="1" applyFont="1" applyNumberFormat="1"/>
    <xf borderId="11" fillId="0" fontId="16" numFmtId="10" xfId="0" applyAlignment="1" applyBorder="1" applyFont="1" applyNumberFormat="1">
      <alignment horizontal="center" readingOrder="0"/>
    </xf>
    <xf borderId="11" fillId="0" fontId="13" numFmtId="0" xfId="0" applyAlignment="1" applyBorder="1" applyFont="1">
      <alignment horizontal="center" readingOrder="0"/>
    </xf>
    <xf borderId="0" fillId="3" fontId="17" numFmtId="164" xfId="0" applyAlignment="1" applyFont="1" applyNumberFormat="1">
      <alignment horizontal="center" readingOrder="0"/>
    </xf>
    <xf borderId="11" fillId="0" fontId="16" numFmtId="165" xfId="0" applyAlignment="1" applyBorder="1" applyFont="1" applyNumberFormat="1">
      <alignment horizontal="center" readingOrder="0"/>
    </xf>
    <xf borderId="21" fillId="7" fontId="18" numFmtId="0" xfId="0" applyAlignment="1" applyBorder="1" applyFill="1" applyFont="1">
      <alignment horizontal="center" readingOrder="0" vertical="center"/>
    </xf>
    <xf borderId="22" fillId="0" fontId="2" numFmtId="0" xfId="0" applyBorder="1" applyFont="1"/>
    <xf borderId="2" fillId="8" fontId="19" numFmtId="0" xfId="0" applyAlignment="1" applyBorder="1" applyFill="1" applyFont="1">
      <alignment horizontal="center" readingOrder="0" vertical="center"/>
    </xf>
    <xf borderId="21" fillId="8" fontId="19" numFmtId="0" xfId="0" applyAlignment="1" applyBorder="1" applyFont="1">
      <alignment horizontal="center" readingOrder="0" vertical="center"/>
    </xf>
    <xf borderId="2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5" fillId="8" fontId="19" numFmtId="0" xfId="0" applyAlignment="1" applyBorder="1" applyFont="1">
      <alignment horizontal="center" readingOrder="0" vertical="center"/>
    </xf>
    <xf borderId="26" fillId="0" fontId="2" numFmtId="0" xfId="0" applyBorder="1" applyFont="1"/>
    <xf borderId="27" fillId="0" fontId="2" numFmtId="0" xfId="0" applyBorder="1" applyFont="1"/>
    <xf borderId="28" fillId="0" fontId="2" numFmtId="0" xfId="0" applyBorder="1" applyFont="1"/>
    <xf borderId="29" fillId="0" fontId="2" numFmtId="0" xfId="0" applyBorder="1" applyFont="1"/>
    <xf borderId="30" fillId="0" fontId="2" numFmtId="0" xfId="0" applyBorder="1" applyFont="1"/>
    <xf borderId="18" fillId="8" fontId="19" numFmtId="0" xfId="0" applyAlignment="1" applyBorder="1" applyFont="1">
      <alignment horizontal="center" readingOrder="0" vertical="center"/>
    </xf>
    <xf borderId="30" fillId="8" fontId="19" numFmtId="0" xfId="0" applyAlignment="1" applyBorder="1" applyFont="1">
      <alignment horizontal="center" readingOrder="0" vertical="center"/>
    </xf>
    <xf borderId="31" fillId="8" fontId="19" numFmtId="0" xfId="0" applyAlignment="1" applyBorder="1" applyFont="1">
      <alignment horizontal="center" readingOrder="0" vertical="center"/>
    </xf>
    <xf borderId="32" fillId="8" fontId="19" numFmtId="0" xfId="0" applyAlignment="1" applyBorder="1" applyFont="1">
      <alignment horizontal="center" readingOrder="0" vertical="center"/>
    </xf>
    <xf borderId="33" fillId="4" fontId="18" numFmtId="0" xfId="0" applyAlignment="1" applyBorder="1" applyFont="1">
      <alignment horizontal="center" readingOrder="0" vertical="center"/>
    </xf>
    <xf borderId="34" fillId="4" fontId="18" numFmtId="0" xfId="0" applyAlignment="1" applyBorder="1" applyFont="1">
      <alignment horizontal="center" readingOrder="0" vertical="center"/>
    </xf>
    <xf borderId="35" fillId="0" fontId="20" numFmtId="3" xfId="0" applyAlignment="1" applyBorder="1" applyFont="1" applyNumberFormat="1">
      <alignment readingOrder="0" shrinkToFit="0" vertical="center" wrapText="0"/>
    </xf>
    <xf borderId="34" fillId="0" fontId="20" numFmtId="10" xfId="0" applyAlignment="1" applyBorder="1" applyFont="1" applyNumberFormat="1">
      <alignment horizontal="right" readingOrder="0" shrinkToFit="0" wrapText="0"/>
    </xf>
    <xf borderId="36" fillId="0" fontId="20" numFmtId="10" xfId="0" applyAlignment="1" applyBorder="1" applyFont="1" applyNumberFormat="1">
      <alignment horizontal="right" readingOrder="0" shrinkToFit="0" wrapText="0"/>
    </xf>
    <xf borderId="37" fillId="0" fontId="20" numFmtId="3" xfId="0" applyAlignment="1" applyBorder="1" applyFont="1" applyNumberFormat="1">
      <alignment readingOrder="0" shrinkToFit="0" vertical="center" wrapText="0"/>
    </xf>
    <xf borderId="33" fillId="0" fontId="2" numFmtId="0" xfId="0" applyBorder="1" applyFont="1"/>
    <xf borderId="11" fillId="4" fontId="18" numFmtId="0" xfId="0" applyAlignment="1" applyBorder="1" applyFont="1">
      <alignment horizontal="center" readingOrder="0" vertical="center"/>
    </xf>
    <xf borderId="6" fillId="0" fontId="20" numFmtId="3" xfId="0" applyAlignment="1" applyBorder="1" applyFont="1" applyNumberFormat="1">
      <alignment readingOrder="0" shrinkToFit="0" vertical="center" wrapText="0"/>
    </xf>
    <xf borderId="11" fillId="0" fontId="20" numFmtId="10" xfId="0" applyAlignment="1" applyBorder="1" applyFont="1" applyNumberFormat="1">
      <alignment horizontal="right" readingOrder="0" shrinkToFit="0" wrapText="0"/>
    </xf>
    <xf borderId="15" fillId="0" fontId="20" numFmtId="10" xfId="0" applyAlignment="1" applyBorder="1" applyFont="1" applyNumberFormat="1">
      <alignment horizontal="right" readingOrder="0" shrinkToFit="0" wrapText="0"/>
    </xf>
    <xf borderId="14" fillId="0" fontId="20" numFmtId="3" xfId="0" applyAlignment="1" applyBorder="1" applyFont="1" applyNumberFormat="1">
      <alignment readingOrder="0" shrinkToFit="0" vertical="center" wrapText="0"/>
    </xf>
    <xf borderId="6" fillId="9" fontId="20" numFmtId="3" xfId="0" applyAlignment="1" applyBorder="1" applyFill="1" applyFont="1" applyNumberFormat="1">
      <alignment readingOrder="0" shrinkToFit="0" vertical="center" wrapText="0"/>
    </xf>
    <xf borderId="34" fillId="9" fontId="20" numFmtId="10" xfId="0" applyAlignment="1" applyBorder="1" applyFont="1" applyNumberFormat="1">
      <alignment horizontal="right" readingOrder="0" shrinkToFit="0" wrapText="0"/>
    </xf>
    <xf borderId="11" fillId="9" fontId="20" numFmtId="10" xfId="0" applyAlignment="1" applyBorder="1" applyFont="1" applyNumberFormat="1">
      <alignment horizontal="right" readingOrder="0" shrinkToFit="0" wrapText="0"/>
    </xf>
    <xf borderId="15" fillId="9" fontId="20" numFmtId="10" xfId="0" applyAlignment="1" applyBorder="1" applyFont="1" applyNumberFormat="1">
      <alignment horizontal="right" readingOrder="0" shrinkToFit="0" wrapText="0"/>
    </xf>
    <xf borderId="38" fillId="0" fontId="2" numFmtId="0" xfId="0" applyBorder="1" applyFont="1"/>
    <xf borderId="18" fillId="4" fontId="18" numFmtId="0" xfId="0" applyAlignment="1" applyBorder="1" applyFont="1">
      <alignment horizontal="center" readingOrder="0" vertical="center"/>
    </xf>
    <xf borderId="39" fillId="0" fontId="20" numFmtId="3" xfId="0" applyAlignment="1" applyBorder="1" applyFont="1" applyNumberFormat="1">
      <alignment readingOrder="0" shrinkToFit="0" vertical="center" wrapText="0"/>
    </xf>
    <xf borderId="39" fillId="9" fontId="20" numFmtId="3" xfId="0" applyAlignment="1" applyBorder="1" applyFont="1" applyNumberFormat="1">
      <alignment readingOrder="0" shrinkToFit="0" vertical="center" wrapText="0"/>
    </xf>
    <xf borderId="18" fillId="9" fontId="20" numFmtId="10" xfId="0" applyAlignment="1" applyBorder="1" applyFont="1" applyNumberFormat="1">
      <alignment horizontal="right" readingOrder="0" shrinkToFit="0" wrapText="0"/>
    </xf>
    <xf borderId="19" fillId="9" fontId="20" numFmtId="10" xfId="0" applyAlignment="1" applyBorder="1" applyFont="1" applyNumberFormat="1">
      <alignment horizontal="right" readingOrder="0" shrinkToFit="0" wrapText="0"/>
    </xf>
    <xf borderId="40" fillId="0" fontId="20" numFmtId="3" xfId="0" applyAlignment="1" applyBorder="1" applyFont="1" applyNumberFormat="1">
      <alignment readingOrder="0" shrinkToFit="0" vertical="center" wrapText="0"/>
    </xf>
    <xf borderId="41" fillId="0" fontId="20" numFmtId="10" xfId="0" applyAlignment="1" applyBorder="1" applyFont="1" applyNumberFormat="1">
      <alignment horizontal="right" readingOrder="0" shrinkToFit="0" wrapText="0"/>
    </xf>
    <xf borderId="42" fillId="4" fontId="18" numFmtId="0" xfId="0" applyAlignment="1" applyBorder="1" applyFont="1">
      <alignment horizontal="center" readingOrder="0" vertical="center"/>
    </xf>
    <xf borderId="43" fillId="0" fontId="2" numFmtId="0" xfId="0" applyBorder="1" applyFont="1"/>
    <xf borderId="44" fillId="0" fontId="20" numFmtId="3" xfId="0" applyAlignment="1" applyBorder="1" applyFont="1" applyNumberFormat="1">
      <alignment readingOrder="0" shrinkToFit="0" vertical="center" wrapText="0"/>
    </xf>
    <xf borderId="45" fillId="0" fontId="20" numFmtId="10" xfId="0" applyAlignment="1" applyBorder="1" applyFont="1" applyNumberFormat="1">
      <alignment horizontal="right" readingOrder="0" shrinkToFit="0" wrapText="0"/>
    </xf>
    <xf borderId="46" fillId="0" fontId="20" numFmtId="10" xfId="0" applyAlignment="1" applyBorder="1" applyFont="1" applyNumberFormat="1">
      <alignment horizontal="right" readingOrder="0" shrinkToFit="0" wrapText="0"/>
    </xf>
    <xf borderId="47" fillId="0" fontId="20" numFmtId="3" xfId="0" applyAlignment="1" applyBorder="1" applyFont="1" applyNumberFormat="1">
      <alignment readingOrder="0" shrinkToFit="0" vertical="center" wrapText="0"/>
    </xf>
    <xf borderId="48" fillId="0" fontId="20" numFmtId="10" xfId="0" applyAlignment="1" applyBorder="1" applyFont="1" applyNumberFormat="1">
      <alignment horizontal="right" readingOrder="0" shrinkToFit="0" wrapText="0"/>
    </xf>
    <xf borderId="0" fillId="0" fontId="12" numFmtId="3" xfId="0" applyFont="1" applyNumberFormat="1"/>
    <xf borderId="0" fillId="0" fontId="12" numFmtId="10" xfId="0" applyFont="1" applyNumberFormat="1"/>
    <xf borderId="0" fillId="0" fontId="13" numFmtId="3" xfId="0" applyAlignment="1" applyFont="1" applyNumberFormat="1">
      <alignment readingOrder="0"/>
    </xf>
    <xf borderId="49" fillId="0" fontId="2" numFmtId="0" xfId="0" applyBorder="1" applyFont="1"/>
    <xf borderId="50" fillId="8" fontId="19" numFmtId="0" xfId="0" applyAlignment="1" applyBorder="1" applyFont="1">
      <alignment horizontal="center" readingOrder="0" vertical="center"/>
    </xf>
    <xf borderId="19" fillId="8" fontId="19" numFmtId="0" xfId="0" applyAlignment="1" applyBorder="1" applyFont="1">
      <alignment horizontal="center" readingOrder="0" vertical="center"/>
    </xf>
    <xf borderId="24" fillId="4" fontId="18" numFmtId="0" xfId="0" applyAlignment="1" applyBorder="1" applyFont="1">
      <alignment horizontal="center" readingOrder="0" vertical="center"/>
    </xf>
    <xf borderId="8" fillId="4" fontId="18" numFmtId="0" xfId="0" applyAlignment="1" applyBorder="1" applyFont="1">
      <alignment horizontal="center" readingOrder="0" vertical="center"/>
    </xf>
    <xf borderId="49" fillId="0" fontId="20" numFmtId="3" xfId="0" applyAlignment="1" applyBorder="1" applyFont="1" applyNumberFormat="1">
      <alignment readingOrder="0" shrinkToFit="0" wrapText="0"/>
    </xf>
    <xf borderId="12" fillId="0" fontId="20" numFmtId="10" xfId="0" applyAlignment="1" applyBorder="1" applyFont="1" applyNumberFormat="1">
      <alignment horizontal="right" readingOrder="0" shrinkToFit="0" wrapText="0"/>
    </xf>
    <xf borderId="49" fillId="9" fontId="20" numFmtId="3" xfId="0" applyAlignment="1" applyBorder="1" applyFont="1" applyNumberFormat="1">
      <alignment readingOrder="0" shrinkToFit="0" wrapText="0"/>
    </xf>
    <xf borderId="12" fillId="9" fontId="20" numFmtId="10" xfId="0" applyAlignment="1" applyBorder="1" applyFont="1" applyNumberFormat="1">
      <alignment horizontal="right" readingOrder="0" shrinkToFit="0" wrapText="0"/>
    </xf>
    <xf borderId="13" fillId="9" fontId="20" numFmtId="10" xfId="0" applyAlignment="1" applyBorder="1" applyFont="1" applyNumberFormat="1">
      <alignment horizontal="right" readingOrder="0" shrinkToFit="0" wrapText="0"/>
    </xf>
    <xf borderId="37" fillId="0" fontId="20" numFmtId="3" xfId="0" applyAlignment="1" applyBorder="1" applyFont="1" applyNumberFormat="1">
      <alignment readingOrder="0" shrinkToFit="0" wrapText="0"/>
    </xf>
    <xf borderId="14" fillId="4" fontId="18" numFmtId="0" xfId="0" applyAlignment="1" applyBorder="1" applyFont="1">
      <alignment horizontal="center" readingOrder="0" vertical="center"/>
    </xf>
    <xf borderId="6" fillId="0" fontId="20" numFmtId="3" xfId="0" applyAlignment="1" applyBorder="1" applyFont="1" applyNumberFormat="1">
      <alignment readingOrder="0" shrinkToFit="0" wrapText="0"/>
    </xf>
    <xf borderId="35" fillId="0" fontId="20" numFmtId="3" xfId="0" applyAlignment="1" applyBorder="1" applyFont="1" applyNumberFormat="1">
      <alignment readingOrder="0" shrinkToFit="0" wrapText="0"/>
    </xf>
    <xf borderId="6" fillId="9" fontId="20" numFmtId="3" xfId="0" applyAlignment="1" applyBorder="1" applyFont="1" applyNumberFormat="1">
      <alignment readingOrder="0" shrinkToFit="0" wrapText="0"/>
    </xf>
    <xf borderId="35" fillId="9" fontId="20" numFmtId="3" xfId="0" applyAlignment="1" applyBorder="1" applyFont="1" applyNumberFormat="1">
      <alignment readingOrder="0" shrinkToFit="0" wrapText="0"/>
    </xf>
    <xf borderId="14" fillId="0" fontId="20" numFmtId="3" xfId="0" applyAlignment="1" applyBorder="1" applyFont="1" applyNumberFormat="1">
      <alignment readingOrder="0" shrinkToFit="0" wrapText="0"/>
    </xf>
    <xf borderId="17" fillId="4" fontId="18" numFmtId="0" xfId="0" applyAlignment="1" applyBorder="1" applyFont="1">
      <alignment horizontal="center" readingOrder="0" vertical="center"/>
    </xf>
    <xf borderId="39" fillId="9" fontId="20" numFmtId="3" xfId="0" applyAlignment="1" applyBorder="1" applyFont="1" applyNumberFormat="1">
      <alignment readingOrder="0" shrinkToFit="0" wrapText="0"/>
    </xf>
    <xf borderId="30" fillId="9" fontId="20" numFmtId="3" xfId="0" applyAlignment="1" applyBorder="1" applyFont="1" applyNumberFormat="1">
      <alignment readingOrder="0" shrinkToFit="0" wrapText="0"/>
    </xf>
    <xf borderId="49" fillId="2" fontId="20" numFmtId="0" xfId="0" applyAlignment="1" applyBorder="1" applyFont="1">
      <alignment shrinkToFit="0" wrapText="0"/>
    </xf>
    <xf borderId="13" fillId="0" fontId="20" numFmtId="10" xfId="0" applyAlignment="1" applyBorder="1" applyFont="1" applyNumberFormat="1">
      <alignment horizontal="right" readingOrder="0" shrinkToFit="0" wrapText="0"/>
    </xf>
    <xf borderId="35" fillId="2" fontId="20" numFmtId="0" xfId="0" applyAlignment="1" applyBorder="1" applyFont="1">
      <alignment shrinkToFit="0" wrapText="0"/>
    </xf>
    <xf borderId="30" fillId="2" fontId="20" numFmtId="0" xfId="0" applyAlignment="1" applyBorder="1" applyFont="1">
      <alignment shrinkToFit="0" wrapText="0"/>
    </xf>
    <xf borderId="30" fillId="0" fontId="20" numFmtId="3" xfId="0" applyAlignment="1" applyBorder="1" applyFont="1" applyNumberFormat="1">
      <alignment readingOrder="0" shrinkToFit="0" wrapText="0"/>
    </xf>
    <xf borderId="18" fillId="0" fontId="20" numFmtId="10" xfId="0" applyAlignment="1" applyBorder="1" applyFont="1" applyNumberFormat="1">
      <alignment horizontal="right" readingOrder="0" shrinkToFit="0" wrapText="0"/>
    </xf>
    <xf borderId="44" fillId="0" fontId="2" numFmtId="0" xfId="0" applyBorder="1" applyFont="1"/>
    <xf borderId="45" fillId="0" fontId="20" numFmtId="3" xfId="0" applyAlignment="1" applyBorder="1" applyFont="1" applyNumberFormat="1">
      <alignment horizontal="right" readingOrder="0" vertical="bottom"/>
    </xf>
    <xf borderId="45" fillId="0" fontId="20" numFmtId="10" xfId="0" applyAlignment="1" applyBorder="1" applyFont="1" applyNumberFormat="1">
      <alignment horizontal="right" readingOrder="0" vertical="bottom"/>
    </xf>
    <xf borderId="46" fillId="0" fontId="20" numFmtId="10" xfId="0" applyAlignment="1" applyBorder="1" applyFont="1" applyNumberFormat="1">
      <alignment horizontal="right" readingOrder="0" vertical="bottom"/>
    </xf>
    <xf borderId="47" fillId="0" fontId="20" numFmtId="3" xfId="0" applyAlignment="1" applyBorder="1" applyFont="1" applyNumberFormat="1">
      <alignment horizontal="right" readingOrder="0" vertical="bottom"/>
    </xf>
    <xf borderId="48" fillId="0" fontId="20" numFmtId="10" xfId="0" applyAlignment="1" applyBorder="1" applyFont="1" applyNumberFormat="1">
      <alignment horizontal="right" readingOrder="0" vertical="bottom"/>
    </xf>
    <xf borderId="11" fillId="0" fontId="21" numFmtId="0" xfId="0" applyAlignment="1" applyBorder="1" applyFont="1">
      <alignment horizontal="center" readingOrder="0"/>
    </xf>
    <xf borderId="11" fillId="10" fontId="21" numFmtId="0" xfId="0" applyAlignment="1" applyBorder="1" applyFill="1" applyFont="1">
      <alignment horizontal="center" readingOrder="0"/>
    </xf>
    <xf borderId="4" fillId="8" fontId="22" numFmtId="0" xfId="0" applyAlignment="1" applyBorder="1" applyFont="1">
      <alignment horizontal="center" readingOrder="0"/>
    </xf>
    <xf borderId="5" fillId="8" fontId="22" numFmtId="0" xfId="0" applyAlignment="1" applyBorder="1" applyFont="1">
      <alignment horizontal="center" readingOrder="0"/>
    </xf>
    <xf borderId="11" fillId="11" fontId="23" numFmtId="0" xfId="0" applyAlignment="1" applyBorder="1" applyFill="1" applyFont="1">
      <alignment horizontal="right" readingOrder="0"/>
    </xf>
    <xf borderId="11" fillId="11" fontId="23" numFmtId="0" xfId="0" applyAlignment="1" applyBorder="1" applyFont="1">
      <alignment readingOrder="0"/>
    </xf>
    <xf borderId="11" fillId="11" fontId="24" numFmtId="3" xfId="0" applyAlignment="1" applyBorder="1" applyFont="1" applyNumberFormat="1">
      <alignment horizontal="right" readingOrder="0" vertical="bottom"/>
    </xf>
    <xf borderId="6" fillId="11" fontId="25" numFmtId="0" xfId="0" applyAlignment="1" applyBorder="1" applyFont="1">
      <alignment horizontal="center" readingOrder="0" vertical="bottom"/>
    </xf>
    <xf borderId="11" fillId="11" fontId="25" numFmtId="0" xfId="0" applyAlignment="1" applyBorder="1" applyFont="1">
      <alignment horizontal="center" readingOrder="0" vertical="bottom"/>
    </xf>
    <xf borderId="11" fillId="0" fontId="12" numFmtId="0" xfId="0" applyBorder="1" applyFont="1"/>
    <xf borderId="4" fillId="0" fontId="12" numFmtId="0" xfId="0" applyAlignment="1" applyBorder="1" applyFont="1">
      <alignment readingOrder="0"/>
    </xf>
    <xf borderId="5" fillId="0" fontId="12" numFmtId="0" xfId="0" applyAlignment="1" applyBorder="1" applyFont="1">
      <alignment readingOrder="0"/>
    </xf>
    <xf borderId="35" fillId="11" fontId="25" numFmtId="0" xfId="0" applyAlignment="1" applyBorder="1" applyFont="1">
      <alignment horizontal="center" readingOrder="0" vertical="bottom"/>
    </xf>
    <xf borderId="11" fillId="10" fontId="23" numFmtId="0" xfId="0" applyAlignment="1" applyBorder="1" applyFont="1">
      <alignment horizontal="right" readingOrder="0"/>
    </xf>
    <xf borderId="11" fillId="10" fontId="23" numFmtId="0" xfId="0" applyAlignment="1" applyBorder="1" applyFont="1">
      <alignment readingOrder="0"/>
    </xf>
    <xf borderId="11" fillId="10" fontId="24" numFmtId="3" xfId="0" applyAlignment="1" applyBorder="1" applyFont="1" applyNumberFormat="1">
      <alignment horizontal="right" readingOrder="0" vertical="bottom"/>
    </xf>
    <xf borderId="35" fillId="10" fontId="25" numFmtId="0" xfId="0" applyAlignment="1" applyBorder="1" applyFont="1">
      <alignment horizontal="center" readingOrder="0" vertical="bottom"/>
    </xf>
    <xf borderId="11" fillId="10" fontId="25" numFmtId="0" xfId="0" applyAlignment="1" applyBorder="1" applyFont="1">
      <alignment horizontal="center" readingOrder="0" vertical="bottom"/>
    </xf>
    <xf borderId="11" fillId="0" fontId="12" numFmtId="0" xfId="0" applyAlignment="1" applyBorder="1" applyFont="1">
      <alignment readingOrder="0"/>
    </xf>
    <xf borderId="11" fillId="12" fontId="26" numFmtId="0" xfId="0" applyAlignment="1" applyBorder="1" applyFill="1" applyFont="1">
      <alignment horizontal="right" readingOrder="0"/>
    </xf>
    <xf borderId="11" fillId="12" fontId="26" numFmtId="0" xfId="0" applyAlignment="1" applyBorder="1" applyFont="1">
      <alignment readingOrder="0"/>
    </xf>
    <xf borderId="11" fillId="12" fontId="24" numFmtId="3" xfId="0" applyAlignment="1" applyBorder="1" applyFont="1" applyNumberFormat="1">
      <alignment horizontal="right" readingOrder="0" vertical="bottom"/>
    </xf>
    <xf borderId="35" fillId="12" fontId="25" numFmtId="0" xfId="0" applyAlignment="1" applyBorder="1" applyFont="1">
      <alignment horizontal="center" readingOrder="0" vertical="bottom"/>
    </xf>
    <xf borderId="11" fillId="12" fontId="25" numFmtId="0" xfId="0" applyAlignment="1" applyBorder="1" applyFont="1">
      <alignment horizontal="center" readingOrder="0" vertical="bottom"/>
    </xf>
    <xf borderId="35" fillId="11" fontId="25" numFmtId="0" xfId="0" applyAlignment="1" applyBorder="1" applyFont="1">
      <alignment horizontal="center" readingOrder="0"/>
    </xf>
    <xf borderId="11" fillId="12" fontId="27" numFmtId="0" xfId="0" applyAlignment="1" applyBorder="1" applyFont="1">
      <alignment horizontal="right" readingOrder="0"/>
    </xf>
    <xf borderId="11" fillId="12" fontId="27" numFmtId="0" xfId="0" applyAlignment="1" applyBorder="1" applyFont="1">
      <alignment readingOrder="0"/>
    </xf>
    <xf borderId="35" fillId="12" fontId="28" numFmtId="0" xfId="0" applyAlignment="1" applyBorder="1" applyFont="1">
      <alignment horizontal="center" readingOrder="0" vertical="bottom"/>
    </xf>
    <xf borderId="11" fillId="12" fontId="28" numFmtId="0" xfId="0" applyAlignment="1" applyBorder="1" applyFont="1">
      <alignment horizontal="center" readingOrder="0" vertical="bottom"/>
    </xf>
    <xf borderId="11" fillId="11" fontId="29" numFmtId="0" xfId="0" applyAlignment="1" applyBorder="1" applyFont="1">
      <alignment horizontal="right" readingOrder="0" shrinkToFit="0" wrapText="0"/>
    </xf>
    <xf borderId="11" fillId="10" fontId="29" numFmtId="0" xfId="0" applyAlignment="1" applyBorder="1" applyFont="1">
      <alignment horizontal="right" readingOrder="0" shrinkToFit="0" wrapText="0"/>
    </xf>
    <xf borderId="35" fillId="10" fontId="30" numFmtId="0" xfId="0" applyAlignment="1" applyBorder="1" applyFont="1">
      <alignment horizontal="center" readingOrder="0" vertical="bottom"/>
    </xf>
    <xf borderId="11" fillId="10" fontId="30" numFmtId="0" xfId="0" applyAlignment="1" applyBorder="1" applyFont="1">
      <alignment horizontal="center" readingOrder="0" vertical="bottom"/>
    </xf>
    <xf borderId="4" fillId="0" fontId="31" numFmtId="0" xfId="0" applyAlignment="1" applyBorder="1" applyFont="1">
      <alignment horizontal="center" readingOrder="0" shrinkToFit="0" wrapText="0"/>
    </xf>
    <xf borderId="11" fillId="0" fontId="32" numFmtId="3" xfId="0" applyAlignment="1" applyBorder="1" applyFont="1" applyNumberFormat="1">
      <alignment horizontal="right" readingOrder="0"/>
    </xf>
    <xf borderId="51" fillId="7" fontId="18" numFmtId="166" xfId="0" applyAlignment="1" applyBorder="1" applyFont="1" applyNumberFormat="1">
      <alignment horizontal="center" readingOrder="0" vertical="center"/>
    </xf>
    <xf borderId="52" fillId="0" fontId="2" numFmtId="0" xfId="0" applyBorder="1" applyFont="1"/>
    <xf borderId="4" fillId="8" fontId="19" numFmtId="0" xfId="0" applyAlignment="1" applyBorder="1" applyFont="1">
      <alignment horizontal="center" readingOrder="0" vertical="center"/>
    </xf>
    <xf borderId="53" fillId="8" fontId="19" numFmtId="0" xfId="0" applyAlignment="1" applyBorder="1" applyFont="1">
      <alignment horizontal="center" readingOrder="0" vertical="center"/>
    </xf>
    <xf borderId="54" fillId="0" fontId="2" numFmtId="0" xfId="0" applyBorder="1" applyFont="1"/>
    <xf borderId="55" fillId="0" fontId="2" numFmtId="0" xfId="0" applyBorder="1" applyFont="1"/>
    <xf borderId="56" fillId="0" fontId="2" numFmtId="0" xfId="0" applyBorder="1" applyFont="1"/>
    <xf borderId="57" fillId="0" fontId="2" numFmtId="0" xfId="0" applyBorder="1" applyFont="1"/>
    <xf borderId="58" fillId="0" fontId="2" numFmtId="0" xfId="0" applyBorder="1" applyFont="1"/>
    <xf borderId="35" fillId="0" fontId="2" numFmtId="0" xfId="0" applyBorder="1" applyFont="1"/>
    <xf borderId="11" fillId="8" fontId="19" numFmtId="0" xfId="0" applyAlignment="1" applyBorder="1" applyFont="1">
      <alignment horizontal="center" readingOrder="0" vertical="center"/>
    </xf>
    <xf borderId="59" fillId="8" fontId="19" numFmtId="0" xfId="0" applyAlignment="1" applyBorder="1" applyFont="1">
      <alignment horizontal="center" readingOrder="0" vertical="center"/>
    </xf>
    <xf borderId="60" fillId="8" fontId="19" numFmtId="0" xfId="0" applyAlignment="1" applyBorder="1" applyFont="1">
      <alignment horizontal="center" readingOrder="0" vertical="center"/>
    </xf>
    <xf borderId="61" fillId="4" fontId="18" numFmtId="0" xfId="0" applyAlignment="1" applyBorder="1" applyFont="1">
      <alignment horizontal="center" readingOrder="0" vertical="center"/>
    </xf>
    <xf borderId="35" fillId="13" fontId="20" numFmtId="4" xfId="0" applyAlignment="1" applyBorder="1" applyFill="1" applyFont="1" applyNumberFormat="1">
      <alignment readingOrder="0" shrinkToFit="0" vertical="center" wrapText="0"/>
    </xf>
    <xf borderId="34" fillId="13" fontId="20" numFmtId="10" xfId="0" applyAlignment="1" applyBorder="1" applyFont="1" applyNumberFormat="1">
      <alignment horizontal="right" readingOrder="0" shrinkToFit="0" wrapText="0"/>
    </xf>
    <xf borderId="35" fillId="13" fontId="20" numFmtId="3" xfId="0" applyAlignment="1" applyBorder="1" applyFont="1" applyNumberFormat="1">
      <alignment readingOrder="0" shrinkToFit="0" vertical="center" wrapText="0"/>
    </xf>
    <xf borderId="11" fillId="13" fontId="20" numFmtId="4" xfId="0" applyAlignment="1" applyBorder="1" applyFont="1" applyNumberFormat="1">
      <alignment readingOrder="0" shrinkToFit="0" vertical="center" wrapText="0"/>
    </xf>
    <xf borderId="11" fillId="13" fontId="20" numFmtId="10" xfId="0" applyAlignment="1" applyBorder="1" applyFont="1" applyNumberFormat="1">
      <alignment horizontal="right" readingOrder="0" shrinkToFit="0" wrapText="0"/>
    </xf>
    <xf borderId="4" fillId="13" fontId="20" numFmtId="10" xfId="0" applyAlignment="1" applyBorder="1" applyFont="1" applyNumberFormat="1">
      <alignment horizontal="right" readingOrder="0" shrinkToFit="0" wrapText="0"/>
    </xf>
    <xf borderId="59" fillId="13" fontId="20" numFmtId="4" xfId="0" applyAlignment="1" applyBorder="1" applyFont="1" applyNumberFormat="1">
      <alignment readingOrder="0" shrinkToFit="0" vertical="center" wrapText="0"/>
    </xf>
    <xf borderId="60" fillId="13" fontId="20" numFmtId="10" xfId="0" applyAlignment="1" applyBorder="1" applyFont="1" applyNumberFormat="1">
      <alignment horizontal="right" readingOrder="0" shrinkToFit="0" wrapText="0"/>
    </xf>
    <xf borderId="0" fillId="0" fontId="12" numFmtId="4" xfId="0" applyFont="1" applyNumberFormat="1"/>
    <xf borderId="62" fillId="0" fontId="2" numFmtId="0" xfId="0" applyBorder="1" applyFont="1"/>
    <xf borderId="0" fillId="0" fontId="13" numFmtId="4" xfId="0" applyAlignment="1" applyFont="1" applyNumberFormat="1">
      <alignment readingOrder="0"/>
    </xf>
    <xf borderId="11" fillId="14" fontId="20" numFmtId="4" xfId="0" applyAlignment="1" applyBorder="1" applyFill="1" applyFont="1" applyNumberFormat="1">
      <alignment readingOrder="0" shrinkToFit="0" vertical="center" wrapText="0"/>
    </xf>
    <xf borderId="11" fillId="14" fontId="20" numFmtId="10" xfId="0" applyAlignment="1" applyBorder="1" applyFont="1" applyNumberFormat="1">
      <alignment horizontal="right" readingOrder="0" shrinkToFit="0" wrapText="0"/>
    </xf>
    <xf borderId="34" fillId="0" fontId="2" numFmtId="0" xfId="0" applyBorder="1" applyFont="1"/>
    <xf borderId="61" fillId="13" fontId="20" numFmtId="4" xfId="0" applyAlignment="1" applyBorder="1" applyFont="1" applyNumberFormat="1">
      <alignment readingOrder="0" shrinkToFit="0" vertical="center" wrapText="0"/>
    </xf>
    <xf borderId="61" fillId="13" fontId="20" numFmtId="10" xfId="0" applyAlignment="1" applyBorder="1" applyFont="1" applyNumberFormat="1">
      <alignment horizontal="right" readingOrder="0" shrinkToFit="0" wrapText="0"/>
    </xf>
    <xf borderId="51" fillId="13" fontId="20" numFmtId="10" xfId="0" applyAlignment="1" applyBorder="1" applyFont="1" applyNumberFormat="1">
      <alignment horizontal="right" readingOrder="0" shrinkToFit="0" wrapText="0"/>
    </xf>
    <xf borderId="63" fillId="13" fontId="20" numFmtId="4" xfId="0" applyAlignment="1" applyBorder="1" applyFont="1" applyNumberFormat="1">
      <alignment readingOrder="0" shrinkToFit="0" vertical="center" wrapText="0"/>
    </xf>
    <xf borderId="64" fillId="13" fontId="20" numFmtId="10" xfId="0" applyAlignment="1" applyBorder="1" applyFont="1" applyNumberFormat="1">
      <alignment horizontal="right" readingOrder="0" shrinkToFit="0" wrapText="0"/>
    </xf>
    <xf borderId="65" fillId="4" fontId="18" numFmtId="0" xfId="0" applyAlignment="1" applyBorder="1" applyFont="1">
      <alignment horizontal="center" readingOrder="0" vertical="center"/>
    </xf>
    <xf borderId="66" fillId="0" fontId="2" numFmtId="0" xfId="0" applyBorder="1" applyFont="1"/>
    <xf borderId="67" fillId="14" fontId="20" numFmtId="4" xfId="0" applyAlignment="1" applyBorder="1" applyFont="1" applyNumberFormat="1">
      <alignment readingOrder="0" shrinkToFit="0" vertical="center" wrapText="0"/>
    </xf>
    <xf borderId="67" fillId="14" fontId="20" numFmtId="10" xfId="0" applyAlignment="1" applyBorder="1" applyFont="1" applyNumberFormat="1">
      <alignment horizontal="right" readingOrder="0" shrinkToFit="0" wrapText="0"/>
    </xf>
    <xf borderId="68" fillId="14" fontId="20" numFmtId="10" xfId="0" applyAlignment="1" applyBorder="1" applyFont="1" applyNumberFormat="1">
      <alignment horizontal="right" readingOrder="0" shrinkToFit="0" wrapText="0"/>
    </xf>
    <xf borderId="69" fillId="14" fontId="20" numFmtId="4" xfId="0" applyAlignment="1" applyBorder="1" applyFont="1" applyNumberFormat="1">
      <alignment readingOrder="0" shrinkToFit="0" vertical="center" wrapText="0"/>
    </xf>
    <xf borderId="70" fillId="14" fontId="20" numFmtId="10" xfId="0" applyAlignment="1" applyBorder="1" applyFont="1" applyNumberFormat="1">
      <alignment horizontal="right" readingOrder="0" shrinkToFit="0" wrapText="0"/>
    </xf>
    <xf borderId="58" fillId="0" fontId="33" numFmtId="0" xfId="0" applyAlignment="1" applyBorder="1" applyFont="1">
      <alignment horizontal="center" readingOrder="0"/>
    </xf>
    <xf borderId="34" fillId="0" fontId="33" numFmtId="3" xfId="0" applyAlignment="1" applyBorder="1" applyFont="1" applyNumberFormat="1">
      <alignment readingOrder="0"/>
    </xf>
    <xf borderId="34" fillId="0" fontId="34" numFmtId="3" xfId="0" applyBorder="1" applyFont="1" applyNumberFormat="1"/>
    <xf borderId="0" fillId="0" fontId="13" numFmtId="166" xfId="0" applyAlignment="1" applyFont="1" applyNumberFormat="1">
      <alignment readingOrder="0"/>
    </xf>
    <xf borderId="0" fillId="0" fontId="13" numFmtId="10" xfId="0" applyAlignment="1" applyFont="1" applyNumberFormat="1">
      <alignment readingOrder="0"/>
    </xf>
    <xf borderId="17" fillId="8" fontId="19" numFmtId="0" xfId="0" applyAlignment="1" applyBorder="1" applyFont="1">
      <alignment horizontal="center" readingOrder="0" vertical="center"/>
    </xf>
    <xf borderId="49" fillId="13" fontId="20" numFmtId="3" xfId="0" applyAlignment="1" applyBorder="1" applyFont="1" applyNumberFormat="1">
      <alignment readingOrder="0" shrinkToFit="0" wrapText="0"/>
    </xf>
    <xf borderId="12" fillId="13" fontId="20" numFmtId="10" xfId="0" applyAlignment="1" applyBorder="1" applyFont="1" applyNumberFormat="1">
      <alignment horizontal="right" readingOrder="0" shrinkToFit="0" wrapText="0"/>
    </xf>
    <xf borderId="13" fillId="13" fontId="20" numFmtId="10" xfId="0" applyAlignment="1" applyBorder="1" applyFont="1" applyNumberFormat="1">
      <alignment horizontal="right" readingOrder="0" shrinkToFit="0" wrapText="0"/>
    </xf>
    <xf borderId="37" fillId="14" fontId="20" numFmtId="3" xfId="0" applyAlignment="1" applyBorder="1" applyFont="1" applyNumberFormat="1">
      <alignment readingOrder="0" shrinkToFit="0" wrapText="0"/>
    </xf>
    <xf borderId="36" fillId="14" fontId="20" numFmtId="10" xfId="0" applyAlignment="1" applyBorder="1" applyFont="1" applyNumberFormat="1">
      <alignment horizontal="right" readingOrder="0" shrinkToFit="0" wrapText="0"/>
    </xf>
    <xf borderId="6" fillId="13" fontId="20" numFmtId="3" xfId="0" applyAlignment="1" applyBorder="1" applyFont="1" applyNumberFormat="1">
      <alignment readingOrder="0" shrinkToFit="0" wrapText="0"/>
    </xf>
    <xf borderId="35" fillId="13" fontId="20" numFmtId="3" xfId="0" applyAlignment="1" applyBorder="1" applyFont="1" applyNumberFormat="1">
      <alignment readingOrder="0" shrinkToFit="0" wrapText="0"/>
    </xf>
    <xf borderId="15" fillId="13" fontId="20" numFmtId="10" xfId="0" applyAlignment="1" applyBorder="1" applyFont="1" applyNumberFormat="1">
      <alignment horizontal="right" readingOrder="0" shrinkToFit="0" wrapText="0"/>
    </xf>
    <xf borderId="14" fillId="14" fontId="20" numFmtId="3" xfId="0" applyAlignment="1" applyBorder="1" applyFont="1" applyNumberFormat="1">
      <alignment readingOrder="0" shrinkToFit="0" wrapText="0"/>
    </xf>
    <xf borderId="15" fillId="14" fontId="20" numFmtId="10" xfId="0" applyAlignment="1" applyBorder="1" applyFont="1" applyNumberFormat="1">
      <alignment horizontal="right" readingOrder="0" shrinkToFit="0" wrapText="0"/>
    </xf>
    <xf borderId="35" fillId="14" fontId="20" numFmtId="3" xfId="0" applyAlignment="1" applyBorder="1" applyFont="1" applyNumberFormat="1">
      <alignment readingOrder="0" shrinkToFit="0" wrapText="0"/>
    </xf>
    <xf borderId="39" fillId="13" fontId="20" numFmtId="3" xfId="0" applyAlignment="1" applyBorder="1" applyFont="1" applyNumberFormat="1">
      <alignment readingOrder="0" shrinkToFit="0" wrapText="0"/>
    </xf>
    <xf borderId="18" fillId="13" fontId="20" numFmtId="10" xfId="0" applyAlignment="1" applyBorder="1" applyFont="1" applyNumberFormat="1">
      <alignment horizontal="right" readingOrder="0" shrinkToFit="0" wrapText="0"/>
    </xf>
    <xf borderId="30" fillId="13" fontId="20" numFmtId="3" xfId="0" applyAlignment="1" applyBorder="1" applyFont="1" applyNumberFormat="1">
      <alignment readingOrder="0" shrinkToFit="0" wrapText="0"/>
    </xf>
    <xf borderId="19" fillId="13" fontId="20" numFmtId="10" xfId="0" applyAlignment="1" applyBorder="1" applyFont="1" applyNumberFormat="1">
      <alignment horizontal="right" readingOrder="0" shrinkToFit="0" wrapText="0"/>
    </xf>
    <xf borderId="49" fillId="14" fontId="20" numFmtId="0" xfId="0" applyAlignment="1" applyBorder="1" applyFont="1">
      <alignment shrinkToFit="0" wrapText="0"/>
    </xf>
    <xf borderId="35" fillId="14" fontId="20" numFmtId="0" xfId="0" applyAlignment="1" applyBorder="1" applyFont="1">
      <alignment shrinkToFit="0" wrapText="0"/>
    </xf>
    <xf borderId="30" fillId="14" fontId="20" numFmtId="0" xfId="0" applyAlignment="1" applyBorder="1" applyFont="1">
      <alignment shrinkToFit="0" wrapText="0"/>
    </xf>
    <xf borderId="3" fillId="14" fontId="20" numFmtId="0" xfId="0" applyAlignment="1" applyBorder="1" applyFont="1">
      <alignment shrinkToFit="0" wrapText="0"/>
    </xf>
    <xf borderId="28" fillId="14" fontId="20" numFmtId="0" xfId="0" applyAlignment="1" applyBorder="1" applyFont="1">
      <alignment shrinkToFit="0" wrapText="0"/>
    </xf>
    <xf borderId="31" fillId="14" fontId="20" numFmtId="0" xfId="0" applyAlignment="1" applyBorder="1" applyFont="1">
      <alignment shrinkToFit="0" wrapText="0"/>
    </xf>
    <xf borderId="41" fillId="14" fontId="20" numFmtId="10" xfId="0" applyAlignment="1" applyBorder="1" applyFont="1" applyNumberFormat="1">
      <alignment horizontal="right" readingOrder="0" shrinkToFit="0" wrapText="0"/>
    </xf>
    <xf borderId="45" fillId="14" fontId="20" numFmtId="3" xfId="0" applyAlignment="1" applyBorder="1" applyFont="1" applyNumberFormat="1">
      <alignment horizontal="right" readingOrder="0" vertical="bottom"/>
    </xf>
    <xf borderId="45" fillId="14" fontId="20" numFmtId="10" xfId="0" applyAlignment="1" applyBorder="1" applyFont="1" applyNumberFormat="1">
      <alignment horizontal="right" readingOrder="0" vertical="bottom"/>
    </xf>
    <xf borderId="46" fillId="14" fontId="20" numFmtId="10" xfId="0" applyAlignment="1" applyBorder="1" applyFont="1" applyNumberFormat="1">
      <alignment horizontal="right" readingOrder="0" vertical="bottom"/>
    </xf>
    <xf borderId="47" fillId="14" fontId="20" numFmtId="3" xfId="0" applyAlignment="1" applyBorder="1" applyFont="1" applyNumberFormat="1">
      <alignment horizontal="right" readingOrder="0" vertical="bottom"/>
    </xf>
    <xf borderId="48" fillId="14" fontId="20" numFmtId="10" xfId="0" applyAlignment="1" applyBorder="1" applyFont="1" applyNumberFormat="1">
      <alignment horizontal="right" readingOrder="0" vertical="bottom"/>
    </xf>
    <xf borderId="6" fillId="0" fontId="21" numFmtId="0" xfId="0" applyAlignment="1" applyBorder="1" applyFont="1">
      <alignment horizontal="center" readingOrder="0"/>
    </xf>
    <xf borderId="6" fillId="10" fontId="21" numFmtId="0" xfId="0" applyAlignment="1" applyBorder="1" applyFont="1">
      <alignment horizontal="center" readingOrder="0"/>
    </xf>
    <xf borderId="0" fillId="0" fontId="13" numFmtId="0" xfId="0" applyAlignment="1" applyFont="1">
      <alignment horizontal="center" readingOrder="0"/>
    </xf>
    <xf borderId="0" fillId="0" fontId="13" numFmtId="1" xfId="0" applyAlignment="1" applyFont="1" applyNumberFormat="1">
      <alignment horizontal="center" readingOrder="0"/>
    </xf>
    <xf borderId="11" fillId="13" fontId="35" numFmtId="0" xfId="0" applyAlignment="1" applyBorder="1" applyFont="1">
      <alignment horizontal="right" readingOrder="0"/>
    </xf>
    <xf borderId="11" fillId="13" fontId="35" numFmtId="0" xfId="0" applyAlignment="1" applyBorder="1" applyFont="1">
      <alignment readingOrder="0"/>
    </xf>
    <xf borderId="11" fillId="7" fontId="32" numFmtId="4" xfId="0" applyAlignment="1" applyBorder="1" applyFont="1" applyNumberFormat="1">
      <alignment horizontal="right" readingOrder="0"/>
    </xf>
    <xf borderId="11" fillId="0" fontId="35" numFmtId="0" xfId="0" applyAlignment="1" applyBorder="1" applyFont="1">
      <alignment horizontal="right" readingOrder="0"/>
    </xf>
    <xf borderId="11" fillId="0" fontId="35" numFmtId="0" xfId="0" applyAlignment="1" applyBorder="1" applyFont="1">
      <alignment readingOrder="0"/>
    </xf>
    <xf borderId="34" fillId="7" fontId="32" numFmtId="4" xfId="0" applyAlignment="1" applyBorder="1" applyFont="1" applyNumberFormat="1">
      <alignment horizontal="right" readingOrder="0"/>
    </xf>
    <xf borderId="11" fillId="12" fontId="36" numFmtId="0" xfId="0" applyAlignment="1" applyBorder="1" applyFont="1">
      <alignment horizontal="right" readingOrder="0"/>
    </xf>
    <xf borderId="11" fillId="12" fontId="36" numFmtId="0" xfId="0" applyAlignment="1" applyBorder="1" applyFont="1">
      <alignment readingOrder="0"/>
    </xf>
    <xf borderId="34" fillId="12" fontId="37" numFmtId="4" xfId="0" applyAlignment="1" applyBorder="1" applyFont="1" applyNumberFormat="1">
      <alignment horizontal="right" readingOrder="0"/>
    </xf>
    <xf borderId="11" fillId="13" fontId="31" numFmtId="0" xfId="0" applyAlignment="1" applyBorder="1" applyFont="1">
      <alignment horizontal="right" readingOrder="0" shrinkToFit="0" wrapText="0"/>
    </xf>
    <xf borderId="11" fillId="12" fontId="38" numFmtId="0" xfId="0" applyAlignment="1" applyBorder="1" applyFont="1">
      <alignment horizontal="right" readingOrder="0" shrinkToFit="0" wrapText="0"/>
    </xf>
    <xf borderId="11" fillId="12" fontId="39" numFmtId="0" xfId="0" applyAlignment="1" applyBorder="1" applyFont="1">
      <alignment horizontal="right" readingOrder="0"/>
    </xf>
    <xf borderId="11" fillId="12" fontId="39" numFmtId="0" xfId="0" applyAlignment="1" applyBorder="1" applyFont="1">
      <alignment readingOrder="0"/>
    </xf>
    <xf borderId="34" fillId="12" fontId="37" numFmtId="4" xfId="0" applyAlignment="1" applyBorder="1" applyFont="1" applyNumberFormat="1">
      <alignment horizontal="right" readingOrder="0" shrinkToFit="0" wrapText="0"/>
    </xf>
    <xf borderId="0" fillId="12" fontId="37" numFmtId="4" xfId="0" applyAlignment="1" applyFont="1" applyNumberFormat="1">
      <alignment horizontal="right" readingOrder="0"/>
    </xf>
    <xf borderId="11" fillId="0" fontId="32" numFmtId="4" xfId="0" applyAlignment="1" applyBorder="1" applyFont="1" applyNumberFormat="1">
      <alignment horizontal="right" readingOrder="0"/>
    </xf>
    <xf borderId="0" fillId="0" fontId="12" numFmtId="0" xfId="0" applyFont="1"/>
    <xf borderId="36" fillId="13" fontId="20" numFmtId="10" xfId="0" applyAlignment="1" applyBorder="1" applyFont="1" applyNumberFormat="1">
      <alignment horizontal="right" readingOrder="0" shrinkToFit="0" wrapText="0"/>
    </xf>
    <xf borderId="37" fillId="13" fontId="20" numFmtId="3" xfId="0" applyAlignment="1" applyBorder="1" applyFont="1" applyNumberFormat="1">
      <alignment readingOrder="0" shrinkToFit="0" vertical="center" wrapText="0"/>
    </xf>
    <xf borderId="6" fillId="13" fontId="20" numFmtId="3" xfId="0" applyAlignment="1" applyBorder="1" applyFont="1" applyNumberFormat="1">
      <alignment readingOrder="0" shrinkToFit="0" vertical="center" wrapText="0"/>
    </xf>
    <xf borderId="14" fillId="13" fontId="20" numFmtId="3" xfId="0" applyAlignment="1" applyBorder="1" applyFont="1" applyNumberFormat="1">
      <alignment readingOrder="0" shrinkToFit="0" vertical="center" wrapText="0"/>
    </xf>
    <xf borderId="6" fillId="14" fontId="20" numFmtId="3" xfId="0" applyAlignment="1" applyBorder="1" applyFont="1" applyNumberFormat="1">
      <alignment readingOrder="0" shrinkToFit="0" vertical="center" wrapText="0"/>
    </xf>
    <xf borderId="34" fillId="14" fontId="20" numFmtId="10" xfId="0" applyAlignment="1" applyBorder="1" applyFont="1" applyNumberFormat="1">
      <alignment horizontal="right" readingOrder="0" shrinkToFit="0" wrapText="0"/>
    </xf>
    <xf borderId="14" fillId="14" fontId="20" numFmtId="3" xfId="0" applyAlignment="1" applyBorder="1" applyFont="1" applyNumberFormat="1">
      <alignment readingOrder="0" shrinkToFit="0" vertical="center" wrapText="0"/>
    </xf>
    <xf borderId="39" fillId="13" fontId="20" numFmtId="3" xfId="0" applyAlignment="1" applyBorder="1" applyFont="1" applyNumberFormat="1">
      <alignment readingOrder="0" shrinkToFit="0" vertical="center" wrapText="0"/>
    </xf>
    <xf borderId="40" fillId="13" fontId="20" numFmtId="3" xfId="0" applyAlignment="1" applyBorder="1" applyFont="1" applyNumberFormat="1">
      <alignment readingOrder="0" shrinkToFit="0" vertical="center" wrapText="0"/>
    </xf>
    <xf borderId="41" fillId="13" fontId="20" numFmtId="10" xfId="0" applyAlignment="1" applyBorder="1" applyFont="1" applyNumberFormat="1">
      <alignment horizontal="right" readingOrder="0" shrinkToFit="0" wrapText="0"/>
    </xf>
    <xf borderId="44" fillId="14" fontId="20" numFmtId="3" xfId="0" applyAlignment="1" applyBorder="1" applyFont="1" applyNumberFormat="1">
      <alignment readingOrder="0" shrinkToFit="0" vertical="center" wrapText="0"/>
    </xf>
    <xf borderId="45" fillId="14" fontId="20" numFmtId="10" xfId="0" applyAlignment="1" applyBorder="1" applyFont="1" applyNumberFormat="1">
      <alignment horizontal="right" readingOrder="0" shrinkToFit="0" wrapText="0"/>
    </xf>
    <xf borderId="46" fillId="14" fontId="20" numFmtId="10" xfId="0" applyAlignment="1" applyBorder="1" applyFont="1" applyNumberFormat="1">
      <alignment horizontal="right" readingOrder="0" shrinkToFit="0" wrapText="0"/>
    </xf>
    <xf borderId="47" fillId="14" fontId="20" numFmtId="3" xfId="0" applyAlignment="1" applyBorder="1" applyFont="1" applyNumberFormat="1">
      <alignment readingOrder="0" shrinkToFit="0" vertical="center" wrapText="0"/>
    </xf>
    <xf borderId="48" fillId="14" fontId="20" numFmtId="10" xfId="0" applyAlignment="1" applyBorder="1" applyFont="1" applyNumberFormat="1">
      <alignment horizontal="right" readingOrder="0" shrinkToFit="0" wrapText="0"/>
    </xf>
    <xf borderId="0" fillId="0" fontId="13" numFmtId="166" xfId="0" applyAlignment="1" applyFont="1" applyNumberFormat="1">
      <alignment horizontal="center" readingOrder="0"/>
    </xf>
    <xf borderId="6" fillId="15" fontId="20" numFmtId="3" xfId="0" applyAlignment="1" applyBorder="1" applyFill="1" applyFont="1" applyNumberFormat="1">
      <alignment readingOrder="0" shrinkToFit="0" wrapText="0"/>
    </xf>
    <xf borderId="11" fillId="15" fontId="20" numFmtId="10" xfId="0" applyAlignment="1" applyBorder="1" applyFont="1" applyNumberFormat="1">
      <alignment horizontal="right" readingOrder="0" shrinkToFit="0" wrapText="0"/>
    </xf>
    <xf borderId="11" fillId="7" fontId="32" numFmtId="3" xfId="0" applyAlignment="1" applyBorder="1" applyFont="1" applyNumberFormat="1">
      <alignment horizontal="right" readingOrder="0"/>
    </xf>
    <xf borderId="34" fillId="7" fontId="32" numFmtId="3" xfId="0" applyAlignment="1" applyBorder="1" applyFont="1" applyNumberFormat="1">
      <alignment horizontal="right" readingOrder="0"/>
    </xf>
    <xf borderId="34" fillId="7" fontId="31" numFmtId="3" xfId="0" applyAlignment="1" applyBorder="1" applyFont="1" applyNumberFormat="1">
      <alignment horizontal="right" readingOrder="0" shrinkToFit="0" wrapText="0"/>
    </xf>
    <xf borderId="34" fillId="7" fontId="40" numFmtId="3" xfId="0" applyAlignment="1" applyBorder="1" applyFont="1" applyNumberFormat="1">
      <alignment horizontal="right" readingOrder="0" shrinkToFit="0" wrapText="0"/>
    </xf>
    <xf borderId="34" fillId="7" fontId="32" numFmtId="3" xfId="0" applyAlignment="1" applyBorder="1" applyFont="1" applyNumberFormat="1">
      <alignment horizontal="right" readingOrder="0" shrinkToFit="0" wrapText="0"/>
    </xf>
    <xf borderId="11" fillId="0" fontId="13" numFmtId="0" xfId="0" applyAlignment="1" applyBorder="1" applyFont="1">
      <alignment readingOrder="0"/>
    </xf>
    <xf borderId="11" fillId="0" fontId="13" numFmtId="10" xfId="0" applyBorder="1" applyFont="1" applyNumberFormat="1"/>
    <xf borderId="34" fillId="13" fontId="20" numFmtId="3" xfId="0" applyAlignment="1" applyBorder="1" applyFont="1" applyNumberFormat="1">
      <alignment horizontal="right" readingOrder="0" shrinkToFit="0" wrapText="0"/>
    </xf>
    <xf borderId="45" fillId="14" fontId="20" numFmtId="3" xfId="0" applyAlignment="1" applyBorder="1" applyFont="1" applyNumberFormat="1">
      <alignment horizontal="right" readingOrder="0" shrinkToFit="0" wrapText="0"/>
    </xf>
    <xf borderId="34" fillId="16" fontId="20" numFmtId="10" xfId="0" applyAlignment="1" applyBorder="1" applyFill="1" applyFont="1" applyNumberFormat="1">
      <alignment horizontal="right" readingOrder="0" shrinkToFit="0" wrapText="0"/>
    </xf>
    <xf borderId="36" fillId="16" fontId="20" numFmtId="10" xfId="0" applyAlignment="1" applyBorder="1" applyFont="1" applyNumberFormat="1">
      <alignment horizontal="right" readingOrder="0" shrinkToFit="0" wrapText="0"/>
    </xf>
    <xf borderId="11" fillId="16" fontId="20" numFmtId="10" xfId="0" applyAlignment="1" applyBorder="1" applyFont="1" applyNumberFormat="1">
      <alignment horizontal="right" readingOrder="0" shrinkToFit="0" wrapText="0"/>
    </xf>
    <xf borderId="15" fillId="16" fontId="20" numFmtId="10" xfId="0" applyAlignment="1" applyBorder="1" applyFont="1" applyNumberFormat="1">
      <alignment horizontal="right" readingOrder="0" shrinkToFit="0" wrapText="0"/>
    </xf>
    <xf borderId="18" fillId="16" fontId="20" numFmtId="10" xfId="0" applyAlignment="1" applyBorder="1" applyFont="1" applyNumberFormat="1">
      <alignment horizontal="right" readingOrder="0" shrinkToFit="0" wrapText="0"/>
    </xf>
    <xf borderId="19" fillId="16" fontId="20" numFmtId="10" xfId="0" applyAlignment="1" applyBorder="1" applyFont="1" applyNumberFormat="1">
      <alignment horizontal="right" readingOrder="0" shrinkToFit="0" wrapText="0"/>
    </xf>
    <xf borderId="41" fillId="16" fontId="20" numFmtId="10" xfId="0" applyAlignment="1" applyBorder="1" applyFont="1" applyNumberFormat="1">
      <alignment horizontal="right" readingOrder="0" shrinkToFit="0" wrapText="0"/>
    </xf>
    <xf borderId="45" fillId="16" fontId="20" numFmtId="10" xfId="0" applyAlignment="1" applyBorder="1" applyFont="1" applyNumberFormat="1">
      <alignment horizontal="right" readingOrder="0" shrinkToFit="0" wrapText="0"/>
    </xf>
    <xf borderId="46" fillId="16" fontId="20" numFmtId="10" xfId="0" applyAlignment="1" applyBorder="1" applyFont="1" applyNumberFormat="1">
      <alignment horizontal="right" readingOrder="0" shrinkToFit="0" wrapText="0"/>
    </xf>
    <xf borderId="48" fillId="16" fontId="20" numFmtId="10" xfId="0" applyAlignment="1" applyBorder="1" applyFont="1" applyNumberFormat="1">
      <alignment horizontal="right" readingOrder="0" shrinkToFit="0" wrapText="0"/>
    </xf>
    <xf borderId="12" fillId="16" fontId="20" numFmtId="10" xfId="0" applyAlignment="1" applyBorder="1" applyFont="1" applyNumberFormat="1">
      <alignment horizontal="right" readingOrder="0" shrinkToFit="0" wrapText="0"/>
    </xf>
    <xf borderId="13" fillId="16" fontId="20" numFmtId="10" xfId="0" applyAlignment="1" applyBorder="1" applyFont="1" applyNumberFormat="1">
      <alignment horizontal="right" readingOrder="0" shrinkToFit="0" wrapText="0"/>
    </xf>
    <xf borderId="39" fillId="0" fontId="20" numFmtId="3" xfId="0" applyAlignment="1" applyBorder="1" applyFont="1" applyNumberFormat="1">
      <alignment readingOrder="0" shrinkToFit="0" wrapText="0"/>
    </xf>
    <xf borderId="18" fillId="17" fontId="20" numFmtId="10" xfId="0" applyAlignment="1" applyBorder="1" applyFill="1" applyFont="1" applyNumberFormat="1">
      <alignment horizontal="right" readingOrder="0" shrinkToFit="0" wrapText="0"/>
    </xf>
    <xf borderId="3" fillId="2" fontId="20" numFmtId="0" xfId="0" applyAlignment="1" applyBorder="1" applyFont="1">
      <alignment shrinkToFit="0" wrapText="0"/>
    </xf>
    <xf borderId="28" fillId="2" fontId="20" numFmtId="0" xfId="0" applyAlignment="1" applyBorder="1" applyFont="1">
      <alignment shrinkToFit="0" wrapText="0"/>
    </xf>
    <xf borderId="31" fillId="2" fontId="20" numFmtId="0" xfId="0" applyAlignment="1" applyBorder="1" applyFont="1">
      <alignment shrinkToFit="0" wrapText="0"/>
    </xf>
    <xf borderId="45" fillId="16" fontId="20" numFmtId="10" xfId="0" applyAlignment="1" applyBorder="1" applyFont="1" applyNumberFormat="1">
      <alignment horizontal="right" readingOrder="0" vertical="bottom"/>
    </xf>
    <xf borderId="46" fillId="16" fontId="20" numFmtId="10" xfId="0" applyAlignment="1" applyBorder="1" applyFont="1" applyNumberFormat="1">
      <alignment horizontal="right" readingOrder="0" vertical="bottom"/>
    </xf>
    <xf borderId="48" fillId="16" fontId="20" numFmtId="10" xfId="0" applyAlignment="1" applyBorder="1" applyFont="1" applyNumberFormat="1">
      <alignment horizontal="right" readingOrder="0" vertical="bottom"/>
    </xf>
    <xf borderId="0" fillId="14" fontId="12" numFmtId="0" xfId="0" applyFont="1"/>
    <xf borderId="11" fillId="0" fontId="31" numFmtId="0" xfId="0" applyAlignment="1" applyBorder="1" applyFont="1">
      <alignment horizontal="right" readingOrder="0" shrinkToFit="0" wrapText="0"/>
    </xf>
    <xf borderId="11" fillId="6" fontId="41" numFmtId="0" xfId="0" applyAlignment="1" applyBorder="1" applyFont="1">
      <alignment horizontal="right" readingOrder="0"/>
    </xf>
    <xf borderId="11" fillId="6" fontId="41" numFmtId="0" xfId="0" applyAlignment="1" applyBorder="1" applyFont="1">
      <alignment readingOrder="0"/>
    </xf>
    <xf borderId="4" fillId="8" fontId="42" numFmtId="0" xfId="0" applyAlignment="1" applyBorder="1" applyFont="1">
      <alignment horizontal="center" readingOrder="0" shrinkToFit="0" vertical="center" wrapText="0"/>
    </xf>
    <xf borderId="51" fillId="8" fontId="43" numFmtId="0" xfId="0" applyAlignment="1" applyBorder="1" applyFont="1">
      <alignment horizontal="center" readingOrder="0" shrinkToFit="0" vertical="center" wrapText="0"/>
    </xf>
    <xf borderId="11" fillId="8" fontId="42" numFmtId="0" xfId="0" applyAlignment="1" applyBorder="1" applyFont="1">
      <alignment horizontal="center" readingOrder="0" shrinkToFit="0" vertical="center" wrapText="0"/>
    </xf>
    <xf borderId="11" fillId="8" fontId="43" numFmtId="0" xfId="0" applyAlignment="1" applyBorder="1" applyFont="1">
      <alignment horizontal="center" readingOrder="0" shrinkToFit="0" vertical="center" wrapText="0"/>
    </xf>
    <xf borderId="61" fillId="4" fontId="44" numFmtId="0" xfId="0" applyAlignment="1" applyBorder="1" applyFont="1">
      <alignment horizontal="center" readingOrder="0" shrinkToFit="0" vertical="center" wrapText="0"/>
    </xf>
    <xf borderId="11" fillId="4" fontId="44" numFmtId="0" xfId="0" applyAlignment="1" applyBorder="1" applyFont="1">
      <alignment horizontal="center" readingOrder="0" shrinkToFit="0" wrapText="0"/>
    </xf>
    <xf borderId="11" fillId="0" fontId="20" numFmtId="3" xfId="0" applyAlignment="1" applyBorder="1" applyFont="1" applyNumberFormat="1">
      <alignment readingOrder="0" shrinkToFit="0" vertical="center" wrapText="0"/>
    </xf>
    <xf borderId="4" fillId="4" fontId="44" numFmtId="0" xfId="0" applyAlignment="1" applyBorder="1" applyFont="1">
      <alignment horizontal="center" readingOrder="0" shrinkToFit="0" wrapText="0"/>
    </xf>
    <xf borderId="0" fillId="0" fontId="43" numFmtId="0" xfId="0" applyAlignment="1" applyFont="1">
      <alignment horizontal="center" readingOrder="0"/>
    </xf>
    <xf borderId="0" fillId="0" fontId="42" numFmtId="0" xfId="0" applyAlignment="1" applyFont="1">
      <alignment horizontal="center" readingOrder="0" shrinkToFit="0" vertical="center" wrapText="0"/>
    </xf>
    <xf borderId="0" fillId="0" fontId="32" numFmtId="0" xfId="0" applyAlignment="1" applyFont="1">
      <alignment horizontal="right"/>
    </xf>
    <xf borderId="51" fillId="8" fontId="19" numFmtId="0" xfId="0" applyAlignment="1" applyBorder="1" applyFont="1">
      <alignment horizontal="center" readingOrder="0" vertical="center"/>
    </xf>
    <xf borderId="11" fillId="0" fontId="20" numFmtId="3" xfId="0" applyAlignment="1" applyBorder="1" applyFont="1" applyNumberFormat="1">
      <alignment readingOrder="0" shrinkToFit="0" wrapText="0"/>
    </xf>
    <xf borderId="11" fillId="2" fontId="20" numFmtId="0" xfId="0" applyAlignment="1" applyBorder="1" applyFont="1">
      <alignment shrinkToFit="0" wrapText="0"/>
    </xf>
    <xf borderId="4" fillId="4" fontId="18" numFmtId="0" xfId="0" applyAlignment="1" applyBorder="1" applyFont="1">
      <alignment horizontal="center" readingOrder="0" vertical="center"/>
    </xf>
    <xf borderId="11" fillId="0" fontId="20" numFmtId="3" xfId="0" applyAlignment="1" applyBorder="1" applyFont="1" applyNumberFormat="1">
      <alignment horizontal="right" readingOrder="0" vertical="bottom"/>
    </xf>
    <xf borderId="11" fillId="16" fontId="20" numFmtId="10" xfId="0" applyAlignment="1" applyBorder="1" applyFont="1" applyNumberFormat="1">
      <alignment horizontal="right" readingOrder="0" vertical="bottom"/>
    </xf>
    <xf borderId="0" fillId="0" fontId="45" numFmtId="0" xfId="0" applyAlignment="1" applyFont="1">
      <alignment horizontal="center" readingOrder="0"/>
    </xf>
    <xf borderId="0" fillId="0" fontId="40" numFmtId="0" xfId="0" applyAlignment="1" applyFont="1">
      <alignment horizontal="right"/>
    </xf>
    <xf borderId="0" fillId="0" fontId="46" numFmtId="0" xfId="0" applyAlignment="1" applyFont="1">
      <alignment horizontal="center" readingOrder="0" shrinkToFit="0" wrapText="0"/>
    </xf>
    <xf borderId="11" fillId="8" fontId="42" numFmtId="0" xfId="0" applyAlignment="1" applyBorder="1" applyFont="1">
      <alignment horizontal="center" readingOrder="0"/>
    </xf>
    <xf borderId="11" fillId="8" fontId="43" numFmtId="0" xfId="0" applyAlignment="1" applyBorder="1" applyFont="1">
      <alignment horizontal="center" readingOrder="0"/>
    </xf>
    <xf borderId="11" fillId="7" fontId="32" numFmtId="0" xfId="0" applyAlignment="1" applyBorder="1" applyFont="1">
      <alignment horizontal="right" readingOrder="0"/>
    </xf>
    <xf borderId="0" fillId="18" fontId="12" numFmtId="0" xfId="0" applyAlignment="1" applyFill="1" applyFont="1">
      <alignment readingOrder="0"/>
    </xf>
    <xf borderId="0" fillId="18" fontId="12" numFmtId="0" xfId="0" applyFont="1"/>
    <xf borderId="11" fillId="7" fontId="40" numFmtId="0" xfId="0" applyAlignment="1" applyBorder="1" applyFont="1">
      <alignment horizontal="right" readingOrder="0"/>
    </xf>
    <xf borderId="0" fillId="0" fontId="12" numFmtId="0" xfId="0" applyAlignment="1" applyFont="1">
      <alignment readingOrder="0"/>
    </xf>
    <xf borderId="0" fillId="0" fontId="31" numFmtId="3" xfId="0" applyAlignment="1" applyFont="1" applyNumberFormat="1">
      <alignment readingOrder="0" shrinkToFit="0" wrapText="0"/>
    </xf>
    <xf borderId="0" fillId="0" fontId="31" numFmtId="0" xfId="0" applyAlignment="1" applyFont="1">
      <alignment readingOrder="0" shrinkToFit="0" wrapText="0"/>
    </xf>
    <xf borderId="11" fillId="0" fontId="12" numFmtId="0" xfId="0" applyBorder="1" applyFont="1"/>
    <xf borderId="11" fillId="0" fontId="12" numFmtId="0" xfId="0" applyAlignment="1" applyBorder="1" applyFont="1">
      <alignment readingOrder="0"/>
    </xf>
    <xf borderId="0" fillId="7" fontId="12" numFmtId="0" xfId="0" applyAlignment="1" applyFont="1">
      <alignment readingOrder="0"/>
    </xf>
    <xf borderId="0" fillId="7" fontId="12" numFmtId="0" xfId="0" applyFont="1"/>
    <xf borderId="0" fillId="0" fontId="32" numFmtId="0" xfId="0" applyAlignment="1" applyFont="1">
      <alignment horizontal="right" readingOrder="0"/>
    </xf>
    <xf borderId="11" fillId="7" fontId="47" numFmtId="0" xfId="0" applyAlignment="1" applyBorder="1" applyFont="1">
      <alignment horizontal="right" readingOrder="0" vertical="bottom"/>
    </xf>
    <xf borderId="11" fillId="14" fontId="47" numFmtId="0" xfId="0" applyAlignment="1" applyBorder="1" applyFont="1">
      <alignment horizontal="right" vertical="bottom"/>
    </xf>
    <xf borderId="11" fillId="14" fontId="47" numFmtId="0" xfId="0" applyAlignment="1" applyBorder="1" applyFont="1">
      <alignment horizontal="right" vertical="bottom"/>
    </xf>
    <xf borderId="0" fillId="6" fontId="12" numFmtId="0" xfId="0" applyFont="1"/>
    <xf borderId="0" fillId="0" fontId="48" numFmtId="10" xfId="0" applyAlignment="1" applyFont="1" applyNumberFormat="1">
      <alignment horizontal="right" readingOrder="0" shrinkToFit="0" wrapText="0"/>
    </xf>
    <xf borderId="11" fillId="7" fontId="40" numFmtId="0" xfId="0" applyAlignment="1" applyBorder="1" applyFont="1">
      <alignment horizontal="right"/>
    </xf>
    <xf borderId="11" fillId="7" fontId="32" numFmtId="0" xfId="0" applyAlignment="1" applyBorder="1" applyFont="1">
      <alignment horizontal="right"/>
    </xf>
  </cellXfs>
  <cellStyles count="1">
    <cellStyle xfId="0" name="Normal" builtinId="0"/>
  </cellStyles>
  <dxfs count="5">
    <dxf>
      <font>
        <color rgb="FF000000"/>
      </font>
      <fill>
        <patternFill patternType="solid">
          <fgColor rgb="FFF4CCCC"/>
          <bgColor rgb="FFF4CCCC"/>
        </patternFill>
      </fill>
      <border/>
    </dxf>
    <dxf>
      <font>
        <color rgb="FF000000"/>
      </font>
      <fill>
        <patternFill patternType="solid">
          <fgColor rgb="FFFFF2CC"/>
          <bgColor rgb="FFFFF2CC"/>
        </patternFill>
      </fill>
      <border/>
    </dxf>
    <dxf>
      <font>
        <b/>
        <color theme="1"/>
      </font>
      <fill>
        <patternFill patternType="solid">
          <fgColor rgb="FFB6D7A8"/>
          <bgColor rgb="FFB6D7A8"/>
        </patternFill>
      </fill>
      <border/>
    </dxf>
    <dxf>
      <font>
        <b/>
        <color rgb="FF000000"/>
      </font>
      <fill>
        <patternFill patternType="solid">
          <fgColor rgb="FFF4CCCC"/>
          <bgColor rgb="FFF4CCCC"/>
        </patternFill>
      </fill>
      <border/>
    </dxf>
    <dxf>
      <font>
        <b/>
        <color rgb="FF000000"/>
      </font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모국어별 작업 진척 추이(건수)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'전체 공정'!$A$17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'전체 공정'!$B$16:$R$16</c:f>
            </c:strRef>
          </c:cat>
          <c:val>
            <c:numRef>
              <c:f>'전체 공정'!$B$17:$R$17</c:f>
              <c:numCache/>
            </c:numRef>
          </c:val>
          <c:smooth val="0"/>
        </c:ser>
        <c:ser>
          <c:idx val="1"/>
          <c:order val="1"/>
          <c:tx>
            <c:strRef>
              <c:f>'전체 공정'!$A$18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'전체 공정'!$B$16:$R$16</c:f>
            </c:strRef>
          </c:cat>
          <c:val>
            <c:numRef>
              <c:f>'전체 공정'!$B$18:$R$18</c:f>
              <c:numCache/>
            </c:numRef>
          </c:val>
          <c:smooth val="0"/>
        </c:ser>
        <c:ser>
          <c:idx val="2"/>
          <c:order val="2"/>
          <c:tx>
            <c:strRef>
              <c:f>'전체 공정'!$A$19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'전체 공정'!$B$16:$R$16</c:f>
            </c:strRef>
          </c:cat>
          <c:val>
            <c:numRef>
              <c:f>'전체 공정'!$B$19:$R$19</c:f>
              <c:numCache/>
            </c:numRef>
          </c:val>
          <c:smooth val="0"/>
        </c:ser>
        <c:ser>
          <c:idx val="3"/>
          <c:order val="3"/>
          <c:tx>
            <c:strRef>
              <c:f>'전체 공정'!$A$20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'전체 공정'!$B$16:$R$16</c:f>
            </c:strRef>
          </c:cat>
          <c:val>
            <c:numRef>
              <c:f>'전체 공정'!$B$20:$R$20</c:f>
              <c:numCache/>
            </c:numRef>
          </c:val>
          <c:smooth val="0"/>
        </c:ser>
        <c:ser>
          <c:idx val="4"/>
          <c:order val="4"/>
          <c:tx>
            <c:strRef>
              <c:f>'전체 공정'!$A$21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'전체 공정'!$B$16:$R$16</c:f>
            </c:strRef>
          </c:cat>
          <c:val>
            <c:numRef>
              <c:f>'전체 공정'!$B$21:$R$21</c:f>
              <c:numCache/>
            </c:numRef>
          </c:val>
          <c:smooth val="0"/>
        </c:ser>
        <c:ser>
          <c:idx val="5"/>
          <c:order val="5"/>
          <c:tx>
            <c:strRef>
              <c:f>'전체 공정'!$A$22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'전체 공정'!$B$16:$R$16</c:f>
            </c:strRef>
          </c:cat>
          <c:val>
            <c:numRef>
              <c:f>'전체 공정'!$B$22:$R$22</c:f>
              <c:numCache/>
            </c:numRef>
          </c:val>
          <c:smooth val="0"/>
        </c:ser>
        <c:axId val="1248686981"/>
        <c:axId val="106933525"/>
      </c:lineChart>
      <c:catAx>
        <c:axId val="1248686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일자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933525"/>
      </c:catAx>
      <c:valAx>
        <c:axId val="1069335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86869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모국어별 작업 진척율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'전체 공정'!$A$44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'전체 공정'!$B$43:$R$43</c:f>
            </c:strRef>
          </c:cat>
          <c:val>
            <c:numRef>
              <c:f>'전체 공정'!$B$44:$R$44</c:f>
              <c:numCache/>
            </c:numRef>
          </c:val>
          <c:smooth val="0"/>
        </c:ser>
        <c:ser>
          <c:idx val="1"/>
          <c:order val="1"/>
          <c:tx>
            <c:strRef>
              <c:f>'전체 공정'!$A$45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'전체 공정'!$B$43:$R$43</c:f>
            </c:strRef>
          </c:cat>
          <c:val>
            <c:numRef>
              <c:f>'전체 공정'!$B$45:$R$45</c:f>
              <c:numCache/>
            </c:numRef>
          </c:val>
          <c:smooth val="0"/>
        </c:ser>
        <c:ser>
          <c:idx val="2"/>
          <c:order val="2"/>
          <c:tx>
            <c:strRef>
              <c:f>'전체 공정'!$A$46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'전체 공정'!$B$43:$R$43</c:f>
            </c:strRef>
          </c:cat>
          <c:val>
            <c:numRef>
              <c:f>'전체 공정'!$B$46:$R$46</c:f>
              <c:numCache/>
            </c:numRef>
          </c:val>
          <c:smooth val="0"/>
        </c:ser>
        <c:ser>
          <c:idx val="3"/>
          <c:order val="3"/>
          <c:tx>
            <c:strRef>
              <c:f>'전체 공정'!$A$47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'전체 공정'!$B$43:$R$43</c:f>
            </c:strRef>
          </c:cat>
          <c:val>
            <c:numRef>
              <c:f>'전체 공정'!$B$47:$R$47</c:f>
              <c:numCache/>
            </c:numRef>
          </c:val>
          <c:smooth val="0"/>
        </c:ser>
        <c:ser>
          <c:idx val="4"/>
          <c:order val="4"/>
          <c:tx>
            <c:strRef>
              <c:f>'전체 공정'!$A$48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'전체 공정'!$B$43:$R$43</c:f>
            </c:strRef>
          </c:cat>
          <c:val>
            <c:numRef>
              <c:f>'전체 공정'!$B$48:$R$48</c:f>
              <c:numCache/>
            </c:numRef>
          </c:val>
          <c:smooth val="0"/>
        </c:ser>
        <c:ser>
          <c:idx val="5"/>
          <c:order val="5"/>
          <c:tx>
            <c:strRef>
              <c:f>'전체 공정'!$A$49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'전체 공정'!$B$43:$R$43</c:f>
            </c:strRef>
          </c:cat>
          <c:val>
            <c:numRef>
              <c:f>'전체 공정'!$B$49:$R$49</c:f>
              <c:numCache/>
            </c:numRef>
          </c:val>
          <c:smooth val="0"/>
        </c:ser>
        <c:axId val="348283045"/>
        <c:axId val="814561365"/>
      </c:lineChart>
      <c:catAx>
        <c:axId val="3482830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일자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4561365"/>
      </c:catAx>
      <c:valAx>
        <c:axId val="8145613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82830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작업자 증가 추이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'전체 공정'!$A$71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'전체 공정'!$B$70:$P$70</c:f>
            </c:strRef>
          </c:cat>
          <c:val>
            <c:numRef>
              <c:f>'전체 공정'!$B$71:$P$71</c:f>
              <c:numCache/>
            </c:numRef>
          </c:val>
          <c:smooth val="0"/>
        </c:ser>
        <c:ser>
          <c:idx val="1"/>
          <c:order val="1"/>
          <c:tx>
            <c:strRef>
              <c:f>'전체 공정'!$A$72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'전체 공정'!$B$70:$P$70</c:f>
            </c:strRef>
          </c:cat>
          <c:val>
            <c:numRef>
              <c:f>'전체 공정'!$B$72:$P$72</c:f>
              <c:numCache/>
            </c:numRef>
          </c:val>
          <c:smooth val="0"/>
        </c:ser>
        <c:ser>
          <c:idx val="2"/>
          <c:order val="2"/>
          <c:tx>
            <c:strRef>
              <c:f>'전체 공정'!$A$73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'전체 공정'!$B$70:$P$70</c:f>
            </c:strRef>
          </c:cat>
          <c:val>
            <c:numRef>
              <c:f>'전체 공정'!$B$73:$P$73</c:f>
              <c:numCache/>
            </c:numRef>
          </c:val>
          <c:smooth val="0"/>
        </c:ser>
        <c:ser>
          <c:idx val="3"/>
          <c:order val="3"/>
          <c:tx>
            <c:strRef>
              <c:f>'전체 공정'!$A$74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'전체 공정'!$B$70:$P$70</c:f>
            </c:strRef>
          </c:cat>
          <c:val>
            <c:numRef>
              <c:f>'전체 공정'!$B$74:$P$74</c:f>
              <c:numCache/>
            </c:numRef>
          </c:val>
          <c:smooth val="0"/>
        </c:ser>
        <c:ser>
          <c:idx val="4"/>
          <c:order val="4"/>
          <c:tx>
            <c:strRef>
              <c:f>'전체 공정'!$A$75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'전체 공정'!$B$70:$P$70</c:f>
            </c:strRef>
          </c:cat>
          <c:val>
            <c:numRef>
              <c:f>'전체 공정'!$B$75:$P$75</c:f>
              <c:numCache/>
            </c:numRef>
          </c:val>
          <c:smooth val="0"/>
        </c:ser>
        <c:ser>
          <c:idx val="5"/>
          <c:order val="5"/>
          <c:tx>
            <c:strRef>
              <c:f>'전체 공정'!$A$76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'전체 공정'!$B$70:$P$70</c:f>
            </c:strRef>
          </c:cat>
          <c:val>
            <c:numRef>
              <c:f>'전체 공정'!$B$76:$P$76</c:f>
              <c:numCache/>
            </c:numRef>
          </c:val>
          <c:smooth val="0"/>
        </c:ser>
        <c:axId val="350858461"/>
        <c:axId val="847508773"/>
      </c:lineChart>
      <c:catAx>
        <c:axId val="3508584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일자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7508773"/>
      </c:catAx>
      <c:valAx>
        <c:axId val="8475087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08584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23</xdr:row>
      <xdr:rowOff>19050</xdr:rowOff>
    </xdr:from>
    <xdr:ext cx="17078325" cy="3533775"/>
    <xdr:graphicFrame>
      <xdr:nvGraphicFramePr>
        <xdr:cNvPr id="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95250</xdr:colOff>
      <xdr:row>50</xdr:row>
      <xdr:rowOff>9525</xdr:rowOff>
    </xdr:from>
    <xdr:ext cx="17078325" cy="3648075"/>
    <xdr:graphicFrame>
      <xdr:nvGraphicFramePr>
        <xdr:cNvPr id="2" name="Chart 2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76</xdr:row>
      <xdr:rowOff>247650</xdr:rowOff>
    </xdr:from>
    <xdr:ext cx="15630525" cy="3533775"/>
    <xdr:graphicFrame>
      <xdr:nvGraphicFramePr>
        <xdr:cNvPr id="3" name="Chart 3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3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4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11.63"/>
    <col customWidth="1" min="8" max="8" width="10.88"/>
    <col customWidth="1" min="9" max="17" width="11.63"/>
    <col customWidth="1" min="18" max="18" width="11.13"/>
    <col customWidth="1" min="19" max="21" width="11.63"/>
    <col customWidth="1" min="22" max="22" width="9.63"/>
    <col customWidth="1" min="23" max="23" width="13.63"/>
    <col customWidth="1" min="24" max="24" width="31.63"/>
  </cols>
  <sheetData>
    <row r="1">
      <c r="A1" s="1" t="s">
        <v>0</v>
      </c>
      <c r="B1" s="2"/>
      <c r="C1" s="2"/>
      <c r="D1" s="2"/>
      <c r="E1" s="2"/>
      <c r="F1" s="2"/>
      <c r="G1" s="3"/>
      <c r="I1" s="4" t="s">
        <v>1</v>
      </c>
      <c r="J1" s="5"/>
      <c r="K1" s="5"/>
      <c r="L1" s="5"/>
      <c r="M1" s="5"/>
      <c r="N1" s="5"/>
      <c r="O1" s="5"/>
      <c r="P1" s="6"/>
      <c r="Q1" s="7"/>
      <c r="R1" s="8"/>
      <c r="S1" s="8"/>
      <c r="T1" s="8"/>
      <c r="U1" s="8"/>
      <c r="V1" s="8"/>
      <c r="W1" s="9"/>
    </row>
    <row r="2">
      <c r="A2" s="10" t="s">
        <v>2</v>
      </c>
      <c r="B2" s="11" t="s">
        <v>3</v>
      </c>
      <c r="C2" s="12" t="s">
        <v>4</v>
      </c>
      <c r="D2" s="12" t="s">
        <v>5</v>
      </c>
      <c r="E2" s="12" t="s">
        <v>6</v>
      </c>
      <c r="F2" s="12" t="s">
        <v>7</v>
      </c>
      <c r="G2" s="13" t="s">
        <v>8</v>
      </c>
      <c r="H2" s="10" t="s">
        <v>2</v>
      </c>
      <c r="I2" s="14" t="s">
        <v>4</v>
      </c>
      <c r="J2" s="14" t="s">
        <v>9</v>
      </c>
      <c r="K2" s="14" t="s">
        <v>5</v>
      </c>
      <c r="L2" s="14" t="s">
        <v>10</v>
      </c>
      <c r="M2" s="14" t="s">
        <v>6</v>
      </c>
      <c r="N2" s="14" t="s">
        <v>11</v>
      </c>
      <c r="O2" s="14" t="s">
        <v>7</v>
      </c>
      <c r="P2" s="14" t="s">
        <v>12</v>
      </c>
    </row>
    <row r="3">
      <c r="A3" s="15" t="s">
        <v>13</v>
      </c>
      <c r="B3" s="16">
        <v>700.0</v>
      </c>
      <c r="C3" s="17">
        <f>'수집'!D9</f>
        <v>0.9513809524</v>
      </c>
      <c r="D3" s="18">
        <f>'정제'!D9</f>
        <v>0.9513809524</v>
      </c>
      <c r="E3" s="18">
        <f>((3*'전사(대본읽기)'!D$9)+'전사(질의응답)'!D$9)/4</f>
        <v>0.9955642865</v>
      </c>
      <c r="F3" s="18">
        <f>((3*'전사3차(대본읽기)'!D9)+'검수(질의응답)'!D9)/4</f>
        <v>0.1929444437</v>
      </c>
      <c r="G3" s="19"/>
      <c r="H3" s="20" t="s">
        <v>13</v>
      </c>
      <c r="I3" s="21">
        <f>'수집(녹음시간)'!C9</f>
        <v>790.5272222</v>
      </c>
      <c r="J3" s="22">
        <f t="shared" ref="J3:J9" si="1">I3/$B3</f>
        <v>1.129324603</v>
      </c>
      <c r="K3" s="21">
        <f t="shared" ref="K3:K8" si="2">I3*D3/C3</f>
        <v>790.5272222</v>
      </c>
      <c r="L3" s="22">
        <f t="shared" ref="L3:L9" si="3">K3/$B3</f>
        <v>1.129324603</v>
      </c>
      <c r="M3" s="21">
        <f t="shared" ref="M3:M9" si="4">K3*E3</f>
        <v>787.02067</v>
      </c>
      <c r="N3" s="22">
        <f t="shared" ref="N3:N9" si="5">M3/$B3</f>
        <v>1.124315243</v>
      </c>
      <c r="O3" s="21">
        <f t="shared" ref="O3:O9" si="6">I3*F3</f>
        <v>152.5278351</v>
      </c>
      <c r="P3" s="22">
        <f t="shared" ref="P3:P9" si="7">O3/$B3</f>
        <v>0.2178969073</v>
      </c>
    </row>
    <row r="4">
      <c r="A4" s="15" t="s">
        <v>14</v>
      </c>
      <c r="B4" s="16">
        <v>100.0</v>
      </c>
      <c r="C4" s="23">
        <f>'수집'!F9</f>
        <v>1.0594</v>
      </c>
      <c r="D4" s="24">
        <f>'정제'!F9</f>
        <v>1.0594</v>
      </c>
      <c r="E4" s="24">
        <f>((3*'전사(대본읽기)'!F$9)+'전사(질의응답)'!F$9)/4</f>
        <v>0.9632755813</v>
      </c>
      <c r="F4" s="25">
        <f>((3*'전사3차(대본읽기)'!F9)+'검수(질의응답)'!F9)/4</f>
        <v>0.1566059224</v>
      </c>
      <c r="G4" s="26"/>
      <c r="H4" s="20" t="s">
        <v>14</v>
      </c>
      <c r="I4" s="21">
        <f>'수집(녹음시간)'!E9</f>
        <v>125.9097222</v>
      </c>
      <c r="J4" s="22">
        <f t="shared" si="1"/>
        <v>1.259097222</v>
      </c>
      <c r="K4" s="21">
        <f t="shared" si="2"/>
        <v>125.9097222</v>
      </c>
      <c r="L4" s="22">
        <f t="shared" si="3"/>
        <v>1.259097222</v>
      </c>
      <c r="M4" s="21">
        <f t="shared" si="4"/>
        <v>121.2857609</v>
      </c>
      <c r="N4" s="22">
        <f t="shared" si="5"/>
        <v>1.212857609</v>
      </c>
      <c r="O4" s="21">
        <f t="shared" si="6"/>
        <v>19.71820819</v>
      </c>
      <c r="P4" s="22">
        <f t="shared" si="7"/>
        <v>0.1971820819</v>
      </c>
    </row>
    <row r="5">
      <c r="A5" s="15" t="s">
        <v>15</v>
      </c>
      <c r="B5" s="16">
        <v>700.0</v>
      </c>
      <c r="C5" s="23">
        <f>'수집'!H9</f>
        <v>1.03662381</v>
      </c>
      <c r="D5" s="24">
        <f>'정제'!H9</f>
        <v>1.03662381</v>
      </c>
      <c r="E5" s="24">
        <f>((3*'전사(대본읽기)'!H$9)+'전사(질의응답)'!H$9)/4</f>
        <v>0.9991397829</v>
      </c>
      <c r="F5" s="25">
        <f>((3*'전사3차(대본읽기)'!H9)+'검수(질의응답)'!H9)/4</f>
        <v>0.6495402489</v>
      </c>
      <c r="G5" s="26"/>
      <c r="H5" s="20" t="s">
        <v>15</v>
      </c>
      <c r="I5" s="21">
        <f>'수집(녹음시간)'!G9</f>
        <v>772.5130556</v>
      </c>
      <c r="J5" s="22">
        <f t="shared" si="1"/>
        <v>1.103590079</v>
      </c>
      <c r="K5" s="21">
        <f t="shared" si="2"/>
        <v>772.5130556</v>
      </c>
      <c r="L5" s="22">
        <f t="shared" si="3"/>
        <v>1.103590079</v>
      </c>
      <c r="M5" s="21">
        <f t="shared" si="4"/>
        <v>771.8485266</v>
      </c>
      <c r="N5" s="22">
        <f t="shared" si="5"/>
        <v>1.102640752</v>
      </c>
      <c r="O5" s="21">
        <f t="shared" si="6"/>
        <v>501.7783224</v>
      </c>
      <c r="P5" s="22">
        <f t="shared" si="7"/>
        <v>0.7168261748</v>
      </c>
    </row>
    <row r="6">
      <c r="A6" s="15" t="s">
        <v>16</v>
      </c>
      <c r="B6" s="16">
        <v>1000.0</v>
      </c>
      <c r="C6" s="23">
        <f>'수집'!J9</f>
        <v>0.9821133333</v>
      </c>
      <c r="D6" s="24">
        <f>'정제'!J9</f>
        <v>0.9821133333</v>
      </c>
      <c r="E6" s="24">
        <f>((3*'전사(대본읽기)'!J$9)+'전사(질의응답)'!J$9)/4</f>
        <v>0.9979606839</v>
      </c>
      <c r="F6" s="25">
        <f>((3*'전사3차(대본읽기)'!J9)+'검수(질의응답)'!J9)/4</f>
        <v>0.8108195394</v>
      </c>
      <c r="G6" s="26"/>
      <c r="H6" s="20" t="s">
        <v>16</v>
      </c>
      <c r="I6" s="21">
        <f>'수집(녹음시간)'!I9</f>
        <v>1071.378056</v>
      </c>
      <c r="J6" s="22">
        <f t="shared" si="1"/>
        <v>1.071378056</v>
      </c>
      <c r="K6" s="21">
        <f t="shared" si="2"/>
        <v>1071.378056</v>
      </c>
      <c r="L6" s="22">
        <f t="shared" si="3"/>
        <v>1.071378056</v>
      </c>
      <c r="M6" s="21">
        <f t="shared" si="4"/>
        <v>1069.193177</v>
      </c>
      <c r="N6" s="22">
        <f t="shared" si="5"/>
        <v>1.069193177</v>
      </c>
      <c r="O6" s="21">
        <f t="shared" si="6"/>
        <v>868.6942615</v>
      </c>
      <c r="P6" s="22">
        <f t="shared" si="7"/>
        <v>0.8686942615</v>
      </c>
    </row>
    <row r="7">
      <c r="A7" s="15" t="s">
        <v>17</v>
      </c>
      <c r="B7" s="16">
        <v>500.0</v>
      </c>
      <c r="C7" s="23">
        <f>'수집'!L9</f>
        <v>0.9350533333</v>
      </c>
      <c r="D7" s="24">
        <f>'정제'!L9</f>
        <v>0.9350533333</v>
      </c>
      <c r="E7" s="24">
        <f>((3*'전사(대본읽기)'!L$9)+'전사(질의응답)'!L$9)/4</f>
        <v>0.998782344</v>
      </c>
      <c r="F7" s="25">
        <f>((3*'전사3차(대본읽기)'!L9)+'검수(질의응답)'!L9)/4</f>
        <v>0.3379783909</v>
      </c>
      <c r="G7" s="26"/>
      <c r="H7" s="20" t="s">
        <v>17</v>
      </c>
      <c r="I7" s="27">
        <f>'수집(녹음시간)'!K9</f>
        <v>540.9125</v>
      </c>
      <c r="J7" s="22">
        <f t="shared" si="1"/>
        <v>1.081825</v>
      </c>
      <c r="K7" s="27">
        <f t="shared" si="2"/>
        <v>540.9125</v>
      </c>
      <c r="L7" s="22">
        <f t="shared" si="3"/>
        <v>1.081825</v>
      </c>
      <c r="M7" s="21">
        <f t="shared" si="4"/>
        <v>540.2538546</v>
      </c>
      <c r="N7" s="22">
        <f t="shared" si="5"/>
        <v>1.080507709</v>
      </c>
      <c r="O7" s="21">
        <f t="shared" si="6"/>
        <v>182.8167364</v>
      </c>
      <c r="P7" s="22">
        <f t="shared" si="7"/>
        <v>0.3656334727</v>
      </c>
    </row>
    <row r="8">
      <c r="A8" s="15" t="s">
        <v>18</v>
      </c>
      <c r="B8" s="16">
        <v>1000.0</v>
      </c>
      <c r="C8" s="23">
        <f>'수집'!N9</f>
        <v>0.9619733333</v>
      </c>
      <c r="D8" s="24">
        <f>'정제'!N9</f>
        <v>0.9619733333</v>
      </c>
      <c r="E8" s="24">
        <f>((3*'전사(대본읽기)'!N$9)+'전사(질의응답)'!N$9)/4</f>
        <v>0.9957547022</v>
      </c>
      <c r="F8" s="25">
        <f>((3*'전사3차(대본읽기)'!N9)+'검수(질의응답)'!N9)/4</f>
        <v>0.7261346065</v>
      </c>
      <c r="G8" s="26"/>
      <c r="H8" s="20" t="s">
        <v>18</v>
      </c>
      <c r="I8" s="27">
        <f>'수집(녹음시간)'!M9</f>
        <v>1073.501111</v>
      </c>
      <c r="J8" s="22">
        <f t="shared" si="1"/>
        <v>1.073501111</v>
      </c>
      <c r="K8" s="27">
        <f t="shared" si="2"/>
        <v>1073.501111</v>
      </c>
      <c r="L8" s="22">
        <f t="shared" si="3"/>
        <v>1.073501111</v>
      </c>
      <c r="M8" s="21">
        <f t="shared" si="4"/>
        <v>1068.943779</v>
      </c>
      <c r="N8" s="22">
        <f t="shared" si="5"/>
        <v>1.068943779</v>
      </c>
      <c r="O8" s="21">
        <f t="shared" si="6"/>
        <v>779.5063069</v>
      </c>
      <c r="P8" s="22">
        <f t="shared" si="7"/>
        <v>0.7795063069</v>
      </c>
    </row>
    <row r="9">
      <c r="A9" s="28" t="s">
        <v>19</v>
      </c>
      <c r="B9" s="29">
        <v>4000.0</v>
      </c>
      <c r="C9" s="30">
        <f>'수집'!P9</f>
        <v>0.9772891667</v>
      </c>
      <c r="D9" s="31">
        <f>'정제'!P9</f>
        <v>0.9772891667</v>
      </c>
      <c r="E9" s="31">
        <f>((3*'전사(대본읽기)'!P$9)+'전사(질의응답)'!P$9)/4</f>
        <v>0.9973794609</v>
      </c>
      <c r="F9" s="32">
        <f>((3*'전사3차(대본읽기)'!P9)+'검수(질의응답)'!P9)/4</f>
        <v>0.5806772247</v>
      </c>
      <c r="G9" s="33"/>
      <c r="H9" s="34" t="s">
        <v>19</v>
      </c>
      <c r="I9" s="27">
        <f>SUM(I3:I8)</f>
        <v>4374.741667</v>
      </c>
      <c r="J9" s="22">
        <f t="shared" si="1"/>
        <v>1.093685417</v>
      </c>
      <c r="K9" s="27">
        <f>SUM(K3:K8)</f>
        <v>4374.741667</v>
      </c>
      <c r="L9" s="22">
        <f t="shared" si="3"/>
        <v>1.093685417</v>
      </c>
      <c r="M9" s="21">
        <f t="shared" si="4"/>
        <v>4363.277485</v>
      </c>
      <c r="N9" s="22">
        <f t="shared" si="5"/>
        <v>1.090819371</v>
      </c>
      <c r="O9" s="21">
        <f t="shared" si="6"/>
        <v>2540.31285</v>
      </c>
      <c r="P9" s="22">
        <f t="shared" si="7"/>
        <v>0.6350782125</v>
      </c>
    </row>
    <row r="10">
      <c r="C10" s="35"/>
      <c r="D10" s="35"/>
      <c r="E10" s="35"/>
      <c r="F10" s="35"/>
    </row>
    <row r="11">
      <c r="P11" s="36"/>
      <c r="Q11" s="36"/>
    </row>
    <row r="12">
      <c r="P12" s="36"/>
      <c r="Q12" s="36"/>
    </row>
    <row r="13">
      <c r="P13" s="36"/>
      <c r="Q13" s="36"/>
    </row>
    <row r="14">
      <c r="P14" s="36"/>
      <c r="Q14" s="36"/>
    </row>
    <row r="15" ht="28.5" customHeight="1">
      <c r="A15" s="37" t="s">
        <v>20</v>
      </c>
    </row>
    <row r="16">
      <c r="A16" s="38" t="s">
        <v>21</v>
      </c>
      <c r="B16" s="39">
        <v>44405.0</v>
      </c>
      <c r="C16" s="39">
        <v>44412.0</v>
      </c>
      <c r="D16" s="39">
        <v>44419.0</v>
      </c>
      <c r="E16" s="39">
        <v>44426.0</v>
      </c>
      <c r="F16" s="39">
        <v>44433.0</v>
      </c>
      <c r="G16" s="39">
        <v>44440.0</v>
      </c>
      <c r="H16" s="39">
        <v>44447.0</v>
      </c>
      <c r="I16" s="39">
        <v>44454.0</v>
      </c>
      <c r="J16" s="39">
        <v>44461.0</v>
      </c>
      <c r="K16" s="39">
        <v>44468.0</v>
      </c>
      <c r="L16" s="39">
        <v>44475.0</v>
      </c>
      <c r="M16" s="39">
        <v>44482.0</v>
      </c>
      <c r="N16" s="39">
        <v>44489.0</v>
      </c>
      <c r="O16" s="39">
        <v>44496.0</v>
      </c>
      <c r="P16" s="39">
        <v>44503.0</v>
      </c>
      <c r="Q16" s="39">
        <v>44510.0</v>
      </c>
      <c r="R16" s="39">
        <f>today()</f>
        <v>45535</v>
      </c>
    </row>
    <row r="17">
      <c r="A17" s="40" t="s">
        <v>13</v>
      </c>
      <c r="B17" s="41">
        <v>2468.0</v>
      </c>
      <c r="C17" s="42">
        <v>22822.0</v>
      </c>
      <c r="D17" s="42">
        <v>41385.0</v>
      </c>
      <c r="E17" s="42">
        <v>54351.0</v>
      </c>
      <c r="F17" s="42">
        <v>68054.0</v>
      </c>
      <c r="G17" s="42">
        <v>93614.0</v>
      </c>
      <c r="H17" s="42">
        <v>100415.0</v>
      </c>
      <c r="I17" s="42">
        <v>107238.0</v>
      </c>
      <c r="J17" s="42">
        <v>121161.0</v>
      </c>
      <c r="K17" s="42">
        <v>126529.0</v>
      </c>
      <c r="L17" s="42">
        <v>132870.0</v>
      </c>
      <c r="M17" s="42">
        <v>139727.0</v>
      </c>
      <c r="N17" s="42">
        <v>142200.0</v>
      </c>
      <c r="O17" s="42">
        <v>146062.0</v>
      </c>
      <c r="P17" s="42">
        <v>158050.0</v>
      </c>
      <c r="Q17" s="42">
        <v>182961.0</v>
      </c>
      <c r="R17" s="42">
        <f>'수집'!C9</f>
        <v>199790</v>
      </c>
    </row>
    <row r="18">
      <c r="A18" s="40" t="s">
        <v>14</v>
      </c>
      <c r="B18" s="41">
        <v>142.0</v>
      </c>
      <c r="C18" s="42">
        <v>1389.0</v>
      </c>
      <c r="D18" s="42">
        <v>2273.0</v>
      </c>
      <c r="E18" s="42">
        <v>3625.0</v>
      </c>
      <c r="F18" s="42">
        <v>3902.0</v>
      </c>
      <c r="G18" s="42">
        <v>4905.0</v>
      </c>
      <c r="H18" s="42">
        <v>5505.0</v>
      </c>
      <c r="I18" s="42">
        <v>6035.0</v>
      </c>
      <c r="J18" s="42">
        <v>7320.0</v>
      </c>
      <c r="K18" s="42">
        <v>7384.0</v>
      </c>
      <c r="L18" s="42">
        <v>9087.0</v>
      </c>
      <c r="M18" s="42">
        <v>11419.0</v>
      </c>
      <c r="N18" s="42">
        <v>13358.0</v>
      </c>
      <c r="O18" s="42">
        <v>16998.0</v>
      </c>
      <c r="P18" s="42">
        <v>22006.0</v>
      </c>
      <c r="Q18" s="42">
        <v>28504.0</v>
      </c>
      <c r="R18" s="42">
        <f>'수집'!E9</f>
        <v>31782</v>
      </c>
    </row>
    <row r="19">
      <c r="A19" s="40" t="s">
        <v>15</v>
      </c>
      <c r="B19" s="41">
        <v>5463.0</v>
      </c>
      <c r="C19" s="42">
        <v>50445.0</v>
      </c>
      <c r="D19" s="42">
        <v>83118.0</v>
      </c>
      <c r="E19" s="42">
        <v>99700.0</v>
      </c>
      <c r="F19" s="42">
        <v>110328.0</v>
      </c>
      <c r="G19" s="42">
        <v>137541.0</v>
      </c>
      <c r="H19" s="42">
        <v>139314.0</v>
      </c>
      <c r="I19" s="42">
        <v>142070.0</v>
      </c>
      <c r="J19" s="42">
        <v>148533.0</v>
      </c>
      <c r="K19" s="42">
        <v>151315.0</v>
      </c>
      <c r="L19" s="42">
        <v>157279.0</v>
      </c>
      <c r="M19" s="42">
        <v>157900.0</v>
      </c>
      <c r="N19" s="42">
        <v>158906.0</v>
      </c>
      <c r="O19" s="42">
        <v>158997.0</v>
      </c>
      <c r="P19" s="42">
        <v>159454.0</v>
      </c>
      <c r="Q19" s="42">
        <v>166418.0</v>
      </c>
      <c r="R19" s="42">
        <f>'수집'!G9</f>
        <v>217691</v>
      </c>
    </row>
    <row r="20">
      <c r="A20" s="40" t="s">
        <v>16</v>
      </c>
      <c r="B20" s="41">
        <v>2335.0</v>
      </c>
      <c r="C20" s="42">
        <v>61175.0</v>
      </c>
      <c r="D20" s="42">
        <v>101841.0</v>
      </c>
      <c r="E20" s="42">
        <v>119958.0</v>
      </c>
      <c r="F20" s="42">
        <v>135594.0</v>
      </c>
      <c r="G20" s="42">
        <v>162549.0</v>
      </c>
      <c r="H20" s="42">
        <v>163515.0</v>
      </c>
      <c r="I20" s="42">
        <v>166458.0</v>
      </c>
      <c r="J20" s="42">
        <v>176944.0</v>
      </c>
      <c r="K20" s="42">
        <v>182582.0</v>
      </c>
      <c r="L20" s="42">
        <v>201001.0</v>
      </c>
      <c r="M20" s="42">
        <v>227353.0</v>
      </c>
      <c r="N20" s="42">
        <v>242995.0</v>
      </c>
      <c r="O20" s="42">
        <v>263881.0</v>
      </c>
      <c r="P20" s="42">
        <v>283003.0</v>
      </c>
      <c r="Q20" s="42">
        <v>288848.0</v>
      </c>
      <c r="R20" s="42">
        <f>'수집'!I9</f>
        <v>294634</v>
      </c>
    </row>
    <row r="21">
      <c r="A21" s="40" t="s">
        <v>17</v>
      </c>
      <c r="B21" s="41">
        <v>186.0</v>
      </c>
      <c r="C21" s="42">
        <v>9275.0</v>
      </c>
      <c r="D21" s="42">
        <v>17721.0</v>
      </c>
      <c r="E21" s="42">
        <v>21007.0</v>
      </c>
      <c r="F21" s="42">
        <v>26094.0</v>
      </c>
      <c r="G21" s="42">
        <v>39142.0</v>
      </c>
      <c r="H21" s="42">
        <v>40383.0</v>
      </c>
      <c r="I21" s="42">
        <v>41439.0</v>
      </c>
      <c r="J21" s="42">
        <v>46824.0</v>
      </c>
      <c r="K21" s="42">
        <v>48232.0</v>
      </c>
      <c r="L21" s="42">
        <v>51416.0</v>
      </c>
      <c r="M21" s="42">
        <v>53236.0</v>
      </c>
      <c r="N21" s="42">
        <v>60674.0</v>
      </c>
      <c r="O21" s="42">
        <v>107330.0</v>
      </c>
      <c r="P21" s="42">
        <v>113772.0</v>
      </c>
      <c r="Q21" s="42">
        <v>124993.0</v>
      </c>
      <c r="R21" s="42">
        <f>'수집'!K9</f>
        <v>140258</v>
      </c>
    </row>
    <row r="22">
      <c r="A22" s="40" t="s">
        <v>18</v>
      </c>
      <c r="B22" s="41">
        <v>2653.0</v>
      </c>
      <c r="C22" s="42">
        <v>41454.0</v>
      </c>
      <c r="D22" s="42">
        <v>71150.0</v>
      </c>
      <c r="E22" s="42">
        <v>105124.0</v>
      </c>
      <c r="F22" s="42">
        <v>111537.0</v>
      </c>
      <c r="G22" s="42">
        <v>132697.0</v>
      </c>
      <c r="H22" s="42">
        <v>129001.0</v>
      </c>
      <c r="I22" s="42">
        <v>133596.0</v>
      </c>
      <c r="J22" s="42">
        <v>143527.0</v>
      </c>
      <c r="K22" s="42">
        <v>149279.0</v>
      </c>
      <c r="L22" s="42">
        <v>176638.0</v>
      </c>
      <c r="M22" s="42">
        <v>215289.0</v>
      </c>
      <c r="N22" s="42">
        <v>228587.0</v>
      </c>
      <c r="O22" s="42">
        <v>246592.0</v>
      </c>
      <c r="P22" s="42">
        <v>270450.0</v>
      </c>
      <c r="Q22" s="42">
        <v>276167.0</v>
      </c>
      <c r="R22" s="42">
        <f>'수집'!M9</f>
        <v>288592</v>
      </c>
    </row>
    <row r="23">
      <c r="A23" s="43" t="s">
        <v>19</v>
      </c>
      <c r="B23" s="44">
        <f>sum(B17:B22)</f>
        <v>13247</v>
      </c>
      <c r="C23" s="45">
        <f t="shared" ref="C23:R23" si="8">SUM(C17:C22)</f>
        <v>186560</v>
      </c>
      <c r="D23" s="45">
        <f t="shared" si="8"/>
        <v>317488</v>
      </c>
      <c r="E23" s="45">
        <f t="shared" si="8"/>
        <v>403765</v>
      </c>
      <c r="F23" s="45">
        <f t="shared" si="8"/>
        <v>455509</v>
      </c>
      <c r="G23" s="45">
        <f t="shared" si="8"/>
        <v>570448</v>
      </c>
      <c r="H23" s="45">
        <f t="shared" si="8"/>
        <v>578133</v>
      </c>
      <c r="I23" s="45">
        <f t="shared" si="8"/>
        <v>596836</v>
      </c>
      <c r="J23" s="45">
        <f t="shared" si="8"/>
        <v>644309</v>
      </c>
      <c r="K23" s="45">
        <f t="shared" si="8"/>
        <v>665321</v>
      </c>
      <c r="L23" s="45">
        <f t="shared" si="8"/>
        <v>728291</v>
      </c>
      <c r="M23" s="45">
        <f t="shared" si="8"/>
        <v>804924</v>
      </c>
      <c r="N23" s="45">
        <f t="shared" si="8"/>
        <v>846720</v>
      </c>
      <c r="O23" s="45">
        <f t="shared" si="8"/>
        <v>939860</v>
      </c>
      <c r="P23" s="45">
        <f t="shared" si="8"/>
        <v>1006735</v>
      </c>
      <c r="Q23" s="45">
        <f t="shared" si="8"/>
        <v>1067891</v>
      </c>
      <c r="R23" s="45">
        <f t="shared" si="8"/>
        <v>1172747</v>
      </c>
    </row>
    <row r="42">
      <c r="A42" s="37" t="s">
        <v>22</v>
      </c>
    </row>
    <row r="43">
      <c r="A43" s="38" t="s">
        <v>21</v>
      </c>
      <c r="B43" s="39">
        <v>44405.0</v>
      </c>
      <c r="C43" s="39">
        <v>44412.0</v>
      </c>
      <c r="D43" s="39">
        <v>44419.0</v>
      </c>
      <c r="E43" s="39">
        <v>44426.0</v>
      </c>
      <c r="F43" s="39">
        <v>44433.0</v>
      </c>
      <c r="G43" s="39">
        <v>44440.0</v>
      </c>
      <c r="H43" s="39">
        <v>44447.0</v>
      </c>
      <c r="I43" s="39">
        <v>44454.0</v>
      </c>
      <c r="J43" s="39">
        <v>44461.0</v>
      </c>
      <c r="K43" s="39">
        <v>44468.0</v>
      </c>
      <c r="L43" s="39">
        <v>44475.0</v>
      </c>
      <c r="M43" s="39">
        <v>44482.0</v>
      </c>
      <c r="N43" s="39">
        <v>44489.0</v>
      </c>
      <c r="O43" s="39">
        <v>44496.0</v>
      </c>
      <c r="P43" s="39">
        <v>44503.0</v>
      </c>
      <c r="Q43" s="39">
        <v>44510.0</v>
      </c>
      <c r="R43" s="39">
        <f>today()</f>
        <v>45535</v>
      </c>
    </row>
    <row r="44">
      <c r="A44" s="40" t="s">
        <v>13</v>
      </c>
      <c r="B44" s="46">
        <f t="shared" ref="B44:R44" si="9">B17/($B3*300)</f>
        <v>0.01175238095</v>
      </c>
      <c r="C44" s="46">
        <f t="shared" si="9"/>
        <v>0.1086761905</v>
      </c>
      <c r="D44" s="46">
        <f t="shared" si="9"/>
        <v>0.1970714286</v>
      </c>
      <c r="E44" s="46">
        <f t="shared" si="9"/>
        <v>0.2588142857</v>
      </c>
      <c r="F44" s="46">
        <f t="shared" si="9"/>
        <v>0.3240666667</v>
      </c>
      <c r="G44" s="46">
        <f t="shared" si="9"/>
        <v>0.4457809524</v>
      </c>
      <c r="H44" s="46">
        <f t="shared" si="9"/>
        <v>0.4781666667</v>
      </c>
      <c r="I44" s="46">
        <f t="shared" si="9"/>
        <v>0.5106571429</v>
      </c>
      <c r="J44" s="46">
        <f t="shared" si="9"/>
        <v>0.5769571429</v>
      </c>
      <c r="K44" s="46">
        <f t="shared" si="9"/>
        <v>0.6025190476</v>
      </c>
      <c r="L44" s="46">
        <f t="shared" si="9"/>
        <v>0.6327142857</v>
      </c>
      <c r="M44" s="46">
        <f t="shared" si="9"/>
        <v>0.6653666667</v>
      </c>
      <c r="N44" s="46">
        <f t="shared" si="9"/>
        <v>0.6771428571</v>
      </c>
      <c r="O44" s="46">
        <f t="shared" si="9"/>
        <v>0.6955333333</v>
      </c>
      <c r="P44" s="46">
        <f t="shared" si="9"/>
        <v>0.7526190476</v>
      </c>
      <c r="Q44" s="46">
        <f t="shared" si="9"/>
        <v>0.8712428571</v>
      </c>
      <c r="R44" s="46">
        <f t="shared" si="9"/>
        <v>0.9513809524</v>
      </c>
    </row>
    <row r="45">
      <c r="A45" s="40" t="s">
        <v>14</v>
      </c>
      <c r="B45" s="46">
        <f t="shared" ref="B45:R45" si="10">B18/($B4*300)</f>
        <v>0.004733333333</v>
      </c>
      <c r="C45" s="46">
        <f t="shared" si="10"/>
        <v>0.0463</v>
      </c>
      <c r="D45" s="46">
        <f t="shared" si="10"/>
        <v>0.07576666667</v>
      </c>
      <c r="E45" s="46">
        <f t="shared" si="10"/>
        <v>0.1208333333</v>
      </c>
      <c r="F45" s="46">
        <f t="shared" si="10"/>
        <v>0.1300666667</v>
      </c>
      <c r="G45" s="46">
        <f t="shared" si="10"/>
        <v>0.1635</v>
      </c>
      <c r="H45" s="46">
        <f t="shared" si="10"/>
        <v>0.1835</v>
      </c>
      <c r="I45" s="46">
        <f t="shared" si="10"/>
        <v>0.2011666667</v>
      </c>
      <c r="J45" s="46">
        <f t="shared" si="10"/>
        <v>0.244</v>
      </c>
      <c r="K45" s="46">
        <f t="shared" si="10"/>
        <v>0.2461333333</v>
      </c>
      <c r="L45" s="46">
        <f t="shared" si="10"/>
        <v>0.3029</v>
      </c>
      <c r="M45" s="46">
        <f t="shared" si="10"/>
        <v>0.3806333333</v>
      </c>
      <c r="N45" s="46">
        <f t="shared" si="10"/>
        <v>0.4452666667</v>
      </c>
      <c r="O45" s="46">
        <f t="shared" si="10"/>
        <v>0.5666</v>
      </c>
      <c r="P45" s="46">
        <f t="shared" si="10"/>
        <v>0.7335333333</v>
      </c>
      <c r="Q45" s="46">
        <f t="shared" si="10"/>
        <v>0.9501333333</v>
      </c>
      <c r="R45" s="46">
        <f t="shared" si="10"/>
        <v>1.0594</v>
      </c>
    </row>
    <row r="46">
      <c r="A46" s="40" t="s">
        <v>15</v>
      </c>
      <c r="B46" s="46">
        <f t="shared" ref="B46:R46" si="11">B19/($B5*300)</f>
        <v>0.02601428571</v>
      </c>
      <c r="C46" s="46">
        <f t="shared" si="11"/>
        <v>0.2402142857</v>
      </c>
      <c r="D46" s="46">
        <f t="shared" si="11"/>
        <v>0.3958</v>
      </c>
      <c r="E46" s="46">
        <f t="shared" si="11"/>
        <v>0.4747619048</v>
      </c>
      <c r="F46" s="46">
        <f t="shared" si="11"/>
        <v>0.5253714286</v>
      </c>
      <c r="G46" s="46">
        <f t="shared" si="11"/>
        <v>0.6549571429</v>
      </c>
      <c r="H46" s="46">
        <f t="shared" si="11"/>
        <v>0.6634</v>
      </c>
      <c r="I46" s="46">
        <f t="shared" si="11"/>
        <v>0.6765238095</v>
      </c>
      <c r="J46" s="46">
        <f t="shared" si="11"/>
        <v>0.7073</v>
      </c>
      <c r="K46" s="46">
        <f t="shared" si="11"/>
        <v>0.720547619</v>
      </c>
      <c r="L46" s="46">
        <f t="shared" si="11"/>
        <v>0.748947619</v>
      </c>
      <c r="M46" s="46">
        <f t="shared" si="11"/>
        <v>0.7519047619</v>
      </c>
      <c r="N46" s="46">
        <f t="shared" si="11"/>
        <v>0.7566952381</v>
      </c>
      <c r="O46" s="46">
        <f t="shared" si="11"/>
        <v>0.7571285714</v>
      </c>
      <c r="P46" s="46">
        <f t="shared" si="11"/>
        <v>0.7593047619</v>
      </c>
      <c r="Q46" s="46">
        <f t="shared" si="11"/>
        <v>0.7924666667</v>
      </c>
      <c r="R46" s="46">
        <f t="shared" si="11"/>
        <v>1.03662381</v>
      </c>
    </row>
    <row r="47">
      <c r="A47" s="40" t="s">
        <v>16</v>
      </c>
      <c r="B47" s="46">
        <f t="shared" ref="B47:R47" si="12">B20/($B6*300)</f>
        <v>0.007783333333</v>
      </c>
      <c r="C47" s="46">
        <f t="shared" si="12"/>
        <v>0.2039166667</v>
      </c>
      <c r="D47" s="46">
        <f t="shared" si="12"/>
        <v>0.33947</v>
      </c>
      <c r="E47" s="46">
        <f t="shared" si="12"/>
        <v>0.39986</v>
      </c>
      <c r="F47" s="46">
        <f t="shared" si="12"/>
        <v>0.45198</v>
      </c>
      <c r="G47" s="46">
        <f t="shared" si="12"/>
        <v>0.54183</v>
      </c>
      <c r="H47" s="46">
        <f t="shared" si="12"/>
        <v>0.54505</v>
      </c>
      <c r="I47" s="46">
        <f t="shared" si="12"/>
        <v>0.55486</v>
      </c>
      <c r="J47" s="46">
        <f t="shared" si="12"/>
        <v>0.5898133333</v>
      </c>
      <c r="K47" s="46">
        <f t="shared" si="12"/>
        <v>0.6086066667</v>
      </c>
      <c r="L47" s="46">
        <f t="shared" si="12"/>
        <v>0.6700033333</v>
      </c>
      <c r="M47" s="46">
        <f t="shared" si="12"/>
        <v>0.7578433333</v>
      </c>
      <c r="N47" s="46">
        <f t="shared" si="12"/>
        <v>0.8099833333</v>
      </c>
      <c r="O47" s="46">
        <f t="shared" si="12"/>
        <v>0.8796033333</v>
      </c>
      <c r="P47" s="46">
        <f t="shared" si="12"/>
        <v>0.9433433333</v>
      </c>
      <c r="Q47" s="46">
        <f t="shared" si="12"/>
        <v>0.9628266667</v>
      </c>
      <c r="R47" s="46">
        <f t="shared" si="12"/>
        <v>0.9821133333</v>
      </c>
    </row>
    <row r="48">
      <c r="A48" s="40" t="s">
        <v>17</v>
      </c>
      <c r="B48" s="46">
        <f t="shared" ref="B48:R48" si="13">B21/($B7*300)</f>
        <v>0.00124</v>
      </c>
      <c r="C48" s="46">
        <f t="shared" si="13"/>
        <v>0.06183333333</v>
      </c>
      <c r="D48" s="46">
        <f t="shared" si="13"/>
        <v>0.11814</v>
      </c>
      <c r="E48" s="46">
        <f t="shared" si="13"/>
        <v>0.1400466667</v>
      </c>
      <c r="F48" s="46">
        <f t="shared" si="13"/>
        <v>0.17396</v>
      </c>
      <c r="G48" s="46">
        <f t="shared" si="13"/>
        <v>0.2609466667</v>
      </c>
      <c r="H48" s="46">
        <f t="shared" si="13"/>
        <v>0.26922</v>
      </c>
      <c r="I48" s="46">
        <f t="shared" si="13"/>
        <v>0.27626</v>
      </c>
      <c r="J48" s="46">
        <f t="shared" si="13"/>
        <v>0.31216</v>
      </c>
      <c r="K48" s="46">
        <f t="shared" si="13"/>
        <v>0.3215466667</v>
      </c>
      <c r="L48" s="46">
        <f t="shared" si="13"/>
        <v>0.3427733333</v>
      </c>
      <c r="M48" s="46">
        <f t="shared" si="13"/>
        <v>0.3549066667</v>
      </c>
      <c r="N48" s="46">
        <f t="shared" si="13"/>
        <v>0.4044933333</v>
      </c>
      <c r="O48" s="46">
        <f t="shared" si="13"/>
        <v>0.7155333333</v>
      </c>
      <c r="P48" s="46">
        <f t="shared" si="13"/>
        <v>0.75848</v>
      </c>
      <c r="Q48" s="46">
        <f t="shared" si="13"/>
        <v>0.8332866667</v>
      </c>
      <c r="R48" s="46">
        <f t="shared" si="13"/>
        <v>0.9350533333</v>
      </c>
    </row>
    <row r="49">
      <c r="A49" s="40" t="s">
        <v>18</v>
      </c>
      <c r="B49" s="46">
        <f t="shared" ref="B49:R49" si="14">B22/($B8*300)</f>
        <v>0.008843333333</v>
      </c>
      <c r="C49" s="46">
        <f t="shared" si="14"/>
        <v>0.13818</v>
      </c>
      <c r="D49" s="46">
        <f t="shared" si="14"/>
        <v>0.2371666667</v>
      </c>
      <c r="E49" s="46">
        <f t="shared" si="14"/>
        <v>0.3504133333</v>
      </c>
      <c r="F49" s="46">
        <f t="shared" si="14"/>
        <v>0.37179</v>
      </c>
      <c r="G49" s="46">
        <f t="shared" si="14"/>
        <v>0.4423233333</v>
      </c>
      <c r="H49" s="46">
        <f t="shared" si="14"/>
        <v>0.4300033333</v>
      </c>
      <c r="I49" s="46">
        <f t="shared" si="14"/>
        <v>0.44532</v>
      </c>
      <c r="J49" s="46">
        <f t="shared" si="14"/>
        <v>0.4784233333</v>
      </c>
      <c r="K49" s="46">
        <f t="shared" si="14"/>
        <v>0.4975966667</v>
      </c>
      <c r="L49" s="46">
        <f t="shared" si="14"/>
        <v>0.5887933333</v>
      </c>
      <c r="M49" s="46">
        <f t="shared" si="14"/>
        <v>0.71763</v>
      </c>
      <c r="N49" s="46">
        <f t="shared" si="14"/>
        <v>0.7619566667</v>
      </c>
      <c r="O49" s="46">
        <f t="shared" si="14"/>
        <v>0.8219733333</v>
      </c>
      <c r="P49" s="46">
        <f t="shared" si="14"/>
        <v>0.9015</v>
      </c>
      <c r="Q49" s="46">
        <f t="shared" si="14"/>
        <v>0.9205566667</v>
      </c>
      <c r="R49" s="46">
        <f t="shared" si="14"/>
        <v>0.9619733333</v>
      </c>
    </row>
    <row r="50">
      <c r="A50" s="43" t="s">
        <v>19</v>
      </c>
      <c r="B50" s="46">
        <f t="shared" ref="B50:R50" si="15">B23/($B9*300)</f>
        <v>0.01103916667</v>
      </c>
      <c r="C50" s="46">
        <f t="shared" si="15"/>
        <v>0.1554666667</v>
      </c>
      <c r="D50" s="46">
        <f t="shared" si="15"/>
        <v>0.2645733333</v>
      </c>
      <c r="E50" s="46">
        <f t="shared" si="15"/>
        <v>0.3364708333</v>
      </c>
      <c r="F50" s="46">
        <f t="shared" si="15"/>
        <v>0.3795908333</v>
      </c>
      <c r="G50" s="46">
        <f t="shared" si="15"/>
        <v>0.4753733333</v>
      </c>
      <c r="H50" s="46">
        <f t="shared" si="15"/>
        <v>0.4817775</v>
      </c>
      <c r="I50" s="46">
        <f t="shared" si="15"/>
        <v>0.4973633333</v>
      </c>
      <c r="J50" s="46">
        <f t="shared" si="15"/>
        <v>0.5369241667</v>
      </c>
      <c r="K50" s="46">
        <f t="shared" si="15"/>
        <v>0.5544341667</v>
      </c>
      <c r="L50" s="46">
        <f t="shared" si="15"/>
        <v>0.6069091667</v>
      </c>
      <c r="M50" s="46">
        <f t="shared" si="15"/>
        <v>0.67077</v>
      </c>
      <c r="N50" s="46">
        <f t="shared" si="15"/>
        <v>0.7056</v>
      </c>
      <c r="O50" s="46">
        <f t="shared" si="15"/>
        <v>0.7832166667</v>
      </c>
      <c r="P50" s="46">
        <f t="shared" si="15"/>
        <v>0.8389458333</v>
      </c>
      <c r="Q50" s="46">
        <f t="shared" si="15"/>
        <v>0.8899091667</v>
      </c>
      <c r="R50" s="46">
        <f t="shared" si="15"/>
        <v>0.9772891667</v>
      </c>
    </row>
    <row r="69" ht="28.5" customHeight="1">
      <c r="A69" s="37" t="s">
        <v>23</v>
      </c>
    </row>
    <row r="70">
      <c r="A70" s="38" t="s">
        <v>21</v>
      </c>
      <c r="B70" s="39">
        <v>44405.0</v>
      </c>
      <c r="C70" s="39">
        <v>44412.0</v>
      </c>
      <c r="D70" s="39">
        <v>44419.0</v>
      </c>
      <c r="E70" s="39">
        <v>44426.0</v>
      </c>
      <c r="F70" s="39">
        <v>44433.0</v>
      </c>
      <c r="G70" s="39">
        <v>44440.0</v>
      </c>
      <c r="H70" s="39">
        <v>44447.0</v>
      </c>
      <c r="I70" s="39">
        <v>44454.0</v>
      </c>
      <c r="J70" s="39">
        <v>44461.0</v>
      </c>
      <c r="K70" s="39">
        <v>44468.0</v>
      </c>
      <c r="L70" s="39">
        <v>44475.0</v>
      </c>
      <c r="M70" s="39">
        <v>44482.0</v>
      </c>
      <c r="N70" s="39">
        <v>44489.0</v>
      </c>
      <c r="O70" s="39">
        <v>44496.0</v>
      </c>
      <c r="P70" s="39">
        <v>44503.0</v>
      </c>
      <c r="Q70" s="39">
        <v>44510.0</v>
      </c>
      <c r="R70" s="39">
        <v>44516.0</v>
      </c>
    </row>
    <row r="71">
      <c r="A71" s="40" t="s">
        <v>13</v>
      </c>
      <c r="B71" s="41">
        <v>227.0</v>
      </c>
      <c r="C71" s="41">
        <v>266.0</v>
      </c>
      <c r="D71" s="41">
        <v>300.0</v>
      </c>
      <c r="E71" s="41">
        <v>300.0</v>
      </c>
      <c r="F71" s="41">
        <v>339.0</v>
      </c>
      <c r="G71" s="41">
        <v>344.0</v>
      </c>
      <c r="H71" s="41">
        <v>356.0</v>
      </c>
      <c r="I71" s="41">
        <v>370.0</v>
      </c>
      <c r="J71" s="41">
        <v>370.0</v>
      </c>
      <c r="K71" s="41">
        <v>410.0</v>
      </c>
      <c r="L71" s="41">
        <v>438.0</v>
      </c>
      <c r="M71" s="41">
        <v>441.0</v>
      </c>
      <c r="N71" s="41">
        <v>440.0</v>
      </c>
      <c r="O71" s="41">
        <v>541.0</v>
      </c>
      <c r="P71" s="41">
        <v>558.0</v>
      </c>
      <c r="Q71" s="47">
        <v>561.0</v>
      </c>
      <c r="R71" s="47">
        <v>577.0</v>
      </c>
    </row>
    <row r="72">
      <c r="A72" s="40" t="s">
        <v>14</v>
      </c>
      <c r="B72" s="41">
        <v>24.0</v>
      </c>
      <c r="C72" s="41">
        <v>24.0</v>
      </c>
      <c r="D72" s="41">
        <v>45.0</v>
      </c>
      <c r="E72" s="41">
        <v>45.0</v>
      </c>
      <c r="F72" s="41">
        <v>46.0</v>
      </c>
      <c r="G72" s="41">
        <v>50.0</v>
      </c>
      <c r="H72" s="41">
        <v>53.0</v>
      </c>
      <c r="I72" s="41">
        <v>53.0</v>
      </c>
      <c r="J72" s="41">
        <v>53.0</v>
      </c>
      <c r="K72" s="41">
        <v>79.0</v>
      </c>
      <c r="L72" s="41">
        <v>94.0</v>
      </c>
      <c r="M72" s="41">
        <v>98.0</v>
      </c>
      <c r="N72" s="41">
        <v>100.0</v>
      </c>
      <c r="O72" s="41">
        <v>230.0</v>
      </c>
      <c r="P72" s="41">
        <v>312.0</v>
      </c>
      <c r="Q72" s="47">
        <v>320.0</v>
      </c>
      <c r="R72" s="47">
        <v>322.0</v>
      </c>
    </row>
    <row r="73">
      <c r="A73" s="40" t="s">
        <v>15</v>
      </c>
      <c r="B73" s="41">
        <v>183.0</v>
      </c>
      <c r="C73" s="41">
        <v>196.0</v>
      </c>
      <c r="D73" s="41">
        <v>202.0</v>
      </c>
      <c r="E73" s="41">
        <v>202.0</v>
      </c>
      <c r="F73" s="41">
        <v>207.0</v>
      </c>
      <c r="G73" s="41">
        <v>207.0</v>
      </c>
      <c r="H73" s="41">
        <v>207.0</v>
      </c>
      <c r="I73" s="41">
        <v>210.0</v>
      </c>
      <c r="J73" s="41">
        <v>210.0</v>
      </c>
      <c r="K73" s="41">
        <v>231.0</v>
      </c>
      <c r="L73" s="41">
        <v>248.0</v>
      </c>
      <c r="M73" s="41">
        <v>246.0</v>
      </c>
      <c r="N73" s="41">
        <v>248.0</v>
      </c>
      <c r="O73" s="41">
        <v>247.0</v>
      </c>
      <c r="P73" s="41">
        <v>247.0</v>
      </c>
      <c r="Q73" s="47">
        <v>286.0</v>
      </c>
      <c r="R73" s="47">
        <v>349.0</v>
      </c>
    </row>
    <row r="74">
      <c r="A74" s="40" t="s">
        <v>16</v>
      </c>
      <c r="B74" s="41">
        <v>272.0</v>
      </c>
      <c r="C74" s="41">
        <v>320.0</v>
      </c>
      <c r="D74" s="41">
        <v>303.0</v>
      </c>
      <c r="E74" s="41">
        <v>303.0</v>
      </c>
      <c r="F74" s="41">
        <v>305.0</v>
      </c>
      <c r="G74" s="41">
        <v>305.0</v>
      </c>
      <c r="H74" s="41">
        <v>305.0</v>
      </c>
      <c r="I74" s="41">
        <v>324.0</v>
      </c>
      <c r="J74" s="41">
        <v>324.0</v>
      </c>
      <c r="K74" s="41">
        <v>413.0</v>
      </c>
      <c r="L74" s="41">
        <v>483.0</v>
      </c>
      <c r="M74" s="41">
        <v>490.0</v>
      </c>
      <c r="N74" s="41">
        <v>491.0</v>
      </c>
      <c r="O74" s="41">
        <v>524.0</v>
      </c>
      <c r="P74" s="41">
        <v>534.0</v>
      </c>
      <c r="Q74" s="47">
        <v>535.0</v>
      </c>
      <c r="R74" s="47">
        <v>541.0</v>
      </c>
    </row>
    <row r="75">
      <c r="A75" s="40" t="s">
        <v>17</v>
      </c>
      <c r="B75" s="41">
        <v>110.0</v>
      </c>
      <c r="C75" s="41">
        <v>115.0</v>
      </c>
      <c r="D75" s="41">
        <v>124.0</v>
      </c>
      <c r="E75" s="41">
        <v>124.0</v>
      </c>
      <c r="F75" s="41">
        <v>130.0</v>
      </c>
      <c r="G75" s="41">
        <v>130.0</v>
      </c>
      <c r="H75" s="41">
        <v>130.0</v>
      </c>
      <c r="I75" s="41">
        <v>133.0</v>
      </c>
      <c r="J75" s="41">
        <v>133.0</v>
      </c>
      <c r="K75" s="41">
        <v>144.0</v>
      </c>
      <c r="L75" s="41">
        <v>150.0</v>
      </c>
      <c r="M75" s="41">
        <v>146.0</v>
      </c>
      <c r="N75" s="41">
        <v>150.0</v>
      </c>
      <c r="O75" s="41">
        <v>293.0</v>
      </c>
      <c r="P75" s="41">
        <v>294.0</v>
      </c>
      <c r="Q75" s="47">
        <v>294.0</v>
      </c>
      <c r="R75" s="47">
        <v>300.0</v>
      </c>
    </row>
    <row r="76">
      <c r="A76" s="40" t="s">
        <v>18</v>
      </c>
      <c r="B76" s="41">
        <v>337.0</v>
      </c>
      <c r="C76" s="41">
        <v>399.0</v>
      </c>
      <c r="D76" s="41">
        <v>384.0</v>
      </c>
      <c r="E76" s="41">
        <v>384.0</v>
      </c>
      <c r="F76" s="41">
        <v>400.0</v>
      </c>
      <c r="G76" s="41">
        <v>402.0</v>
      </c>
      <c r="H76" s="41">
        <v>406.0</v>
      </c>
      <c r="I76" s="41">
        <v>459.0</v>
      </c>
      <c r="J76" s="41">
        <v>459.0</v>
      </c>
      <c r="K76" s="41">
        <v>651.0</v>
      </c>
      <c r="L76" s="41">
        <v>858.0</v>
      </c>
      <c r="M76" s="41">
        <v>830.0</v>
      </c>
      <c r="N76" s="41">
        <v>866.0</v>
      </c>
      <c r="O76" s="41">
        <v>949.0</v>
      </c>
      <c r="P76" s="41">
        <v>979.0</v>
      </c>
      <c r="Q76" s="47">
        <v>986.0</v>
      </c>
      <c r="R76" s="47">
        <v>1013.0</v>
      </c>
    </row>
    <row r="77">
      <c r="A77" s="43" t="s">
        <v>19</v>
      </c>
      <c r="B77" s="41">
        <f t="shared" ref="B77:R77" si="16">SUM(B71:B76)</f>
        <v>1153</v>
      </c>
      <c r="C77" s="41">
        <f t="shared" si="16"/>
        <v>1320</v>
      </c>
      <c r="D77" s="41">
        <f t="shared" si="16"/>
        <v>1358</v>
      </c>
      <c r="E77" s="41">
        <f t="shared" si="16"/>
        <v>1358</v>
      </c>
      <c r="F77" s="41">
        <f t="shared" si="16"/>
        <v>1427</v>
      </c>
      <c r="G77" s="41">
        <f t="shared" si="16"/>
        <v>1438</v>
      </c>
      <c r="H77" s="41">
        <f t="shared" si="16"/>
        <v>1457</v>
      </c>
      <c r="I77" s="41">
        <f t="shared" si="16"/>
        <v>1549</v>
      </c>
      <c r="J77" s="41">
        <f t="shared" si="16"/>
        <v>1549</v>
      </c>
      <c r="K77" s="41">
        <f t="shared" si="16"/>
        <v>1928</v>
      </c>
      <c r="L77" s="41">
        <f t="shared" si="16"/>
        <v>2271</v>
      </c>
      <c r="M77" s="41">
        <f t="shared" si="16"/>
        <v>2251</v>
      </c>
      <c r="N77" s="41">
        <f t="shared" si="16"/>
        <v>2295</v>
      </c>
      <c r="O77" s="41">
        <f t="shared" si="16"/>
        <v>2784</v>
      </c>
      <c r="P77" s="41">
        <f t="shared" si="16"/>
        <v>2924</v>
      </c>
      <c r="Q77" s="41">
        <f t="shared" si="16"/>
        <v>2982</v>
      </c>
      <c r="R77" s="41">
        <f t="shared" si="16"/>
        <v>3102</v>
      </c>
    </row>
    <row r="96" ht="27.0" customHeight="1">
      <c r="A96" s="37" t="s">
        <v>24</v>
      </c>
    </row>
    <row r="97">
      <c r="A97" s="38" t="s">
        <v>21</v>
      </c>
      <c r="B97" s="39">
        <v>44405.0</v>
      </c>
      <c r="C97" s="39">
        <v>44412.0</v>
      </c>
      <c r="D97" s="39">
        <v>44419.0</v>
      </c>
      <c r="E97" s="39">
        <v>44426.0</v>
      </c>
      <c r="F97" s="39">
        <v>44433.0</v>
      </c>
      <c r="G97" s="39">
        <v>44440.0</v>
      </c>
      <c r="H97" s="39">
        <v>44447.0</v>
      </c>
      <c r="I97" s="39">
        <v>44454.0</v>
      </c>
      <c r="J97" s="39">
        <v>44461.0</v>
      </c>
      <c r="K97" s="39">
        <v>44468.0</v>
      </c>
      <c r="L97" s="39">
        <v>44475.0</v>
      </c>
      <c r="M97" s="39">
        <v>44482.0</v>
      </c>
      <c r="N97" s="39">
        <v>44489.0</v>
      </c>
      <c r="O97" s="39">
        <v>44496.0</v>
      </c>
      <c r="P97" s="39">
        <v>44503.0</v>
      </c>
      <c r="Q97" s="48">
        <v>44510.0</v>
      </c>
      <c r="R97" s="48">
        <v>44516.0</v>
      </c>
    </row>
    <row r="98">
      <c r="A98" s="40" t="s">
        <v>13</v>
      </c>
      <c r="B98" s="49">
        <f t="shared" ref="B98:R98" si="17">B17/B71</f>
        <v>10.8722467</v>
      </c>
      <c r="C98" s="49">
        <f t="shared" si="17"/>
        <v>85.79699248</v>
      </c>
      <c r="D98" s="49">
        <f t="shared" si="17"/>
        <v>137.95</v>
      </c>
      <c r="E98" s="49">
        <f t="shared" si="17"/>
        <v>181.17</v>
      </c>
      <c r="F98" s="49">
        <f t="shared" si="17"/>
        <v>200.7492625</v>
      </c>
      <c r="G98" s="49">
        <f t="shared" si="17"/>
        <v>272.1337209</v>
      </c>
      <c r="H98" s="49">
        <f t="shared" si="17"/>
        <v>282.0646067</v>
      </c>
      <c r="I98" s="49">
        <f t="shared" si="17"/>
        <v>289.8324324</v>
      </c>
      <c r="J98" s="49">
        <f t="shared" si="17"/>
        <v>327.4621622</v>
      </c>
      <c r="K98" s="49">
        <f t="shared" si="17"/>
        <v>308.6073171</v>
      </c>
      <c r="L98" s="49">
        <f t="shared" si="17"/>
        <v>303.3561644</v>
      </c>
      <c r="M98" s="49">
        <f t="shared" si="17"/>
        <v>316.8412698</v>
      </c>
      <c r="N98" s="49">
        <f t="shared" si="17"/>
        <v>323.1818182</v>
      </c>
      <c r="O98" s="49">
        <f t="shared" si="17"/>
        <v>269.9852126</v>
      </c>
      <c r="P98" s="49">
        <f t="shared" si="17"/>
        <v>283.2437276</v>
      </c>
      <c r="Q98" s="49">
        <f t="shared" si="17"/>
        <v>326.1336898</v>
      </c>
      <c r="R98" s="49">
        <f t="shared" si="17"/>
        <v>346.2564991</v>
      </c>
    </row>
    <row r="99">
      <c r="A99" s="40" t="s">
        <v>14</v>
      </c>
      <c r="B99" s="49">
        <f t="shared" ref="B99:R99" si="18">B18/B72</f>
        <v>5.916666667</v>
      </c>
      <c r="C99" s="49">
        <f t="shared" si="18"/>
        <v>57.875</v>
      </c>
      <c r="D99" s="49">
        <f t="shared" si="18"/>
        <v>50.51111111</v>
      </c>
      <c r="E99" s="49">
        <f t="shared" si="18"/>
        <v>80.55555556</v>
      </c>
      <c r="F99" s="49">
        <f t="shared" si="18"/>
        <v>84.82608696</v>
      </c>
      <c r="G99" s="49">
        <f t="shared" si="18"/>
        <v>98.1</v>
      </c>
      <c r="H99" s="49">
        <f t="shared" si="18"/>
        <v>103.8679245</v>
      </c>
      <c r="I99" s="49">
        <f t="shared" si="18"/>
        <v>113.8679245</v>
      </c>
      <c r="J99" s="49">
        <f t="shared" si="18"/>
        <v>138.1132075</v>
      </c>
      <c r="K99" s="49">
        <f t="shared" si="18"/>
        <v>93.46835443</v>
      </c>
      <c r="L99" s="49">
        <f t="shared" si="18"/>
        <v>96.67021277</v>
      </c>
      <c r="M99" s="49">
        <f t="shared" si="18"/>
        <v>116.5204082</v>
      </c>
      <c r="N99" s="49">
        <f t="shared" si="18"/>
        <v>133.58</v>
      </c>
      <c r="O99" s="49">
        <f t="shared" si="18"/>
        <v>73.90434783</v>
      </c>
      <c r="P99" s="49">
        <f t="shared" si="18"/>
        <v>70.53205128</v>
      </c>
      <c r="Q99" s="49">
        <f t="shared" si="18"/>
        <v>89.075</v>
      </c>
      <c r="R99" s="49">
        <f t="shared" si="18"/>
        <v>98.70186335</v>
      </c>
    </row>
    <row r="100">
      <c r="A100" s="40" t="s">
        <v>15</v>
      </c>
      <c r="B100" s="49">
        <f t="shared" ref="B100:R100" si="19">B19/B73</f>
        <v>29.85245902</v>
      </c>
      <c r="C100" s="49">
        <f t="shared" si="19"/>
        <v>257.372449</v>
      </c>
      <c r="D100" s="49">
        <f t="shared" si="19"/>
        <v>411.4752475</v>
      </c>
      <c r="E100" s="49">
        <f t="shared" si="19"/>
        <v>493.5643564</v>
      </c>
      <c r="F100" s="49">
        <f t="shared" si="19"/>
        <v>532.9855072</v>
      </c>
      <c r="G100" s="49">
        <f t="shared" si="19"/>
        <v>664.4492754</v>
      </c>
      <c r="H100" s="49">
        <f t="shared" si="19"/>
        <v>673.0144928</v>
      </c>
      <c r="I100" s="49">
        <f t="shared" si="19"/>
        <v>676.5238095</v>
      </c>
      <c r="J100" s="49">
        <f t="shared" si="19"/>
        <v>707.3</v>
      </c>
      <c r="K100" s="49">
        <f t="shared" si="19"/>
        <v>655.04329</v>
      </c>
      <c r="L100" s="49">
        <f t="shared" si="19"/>
        <v>634.1895161</v>
      </c>
      <c r="M100" s="49">
        <f t="shared" si="19"/>
        <v>641.8699187</v>
      </c>
      <c r="N100" s="49">
        <f t="shared" si="19"/>
        <v>640.75</v>
      </c>
      <c r="O100" s="49">
        <f t="shared" si="19"/>
        <v>643.7125506</v>
      </c>
      <c r="P100" s="49">
        <f t="shared" si="19"/>
        <v>645.562753</v>
      </c>
      <c r="Q100" s="49">
        <f t="shared" si="19"/>
        <v>581.8811189</v>
      </c>
      <c r="R100" s="49">
        <f t="shared" si="19"/>
        <v>623.756447</v>
      </c>
    </row>
    <row r="101">
      <c r="A101" s="40" t="s">
        <v>16</v>
      </c>
      <c r="B101" s="49">
        <f t="shared" ref="B101:R101" si="20">B20/B74</f>
        <v>8.584558824</v>
      </c>
      <c r="C101" s="49">
        <f t="shared" si="20"/>
        <v>191.171875</v>
      </c>
      <c r="D101" s="49">
        <f t="shared" si="20"/>
        <v>336.1089109</v>
      </c>
      <c r="E101" s="49">
        <f t="shared" si="20"/>
        <v>395.9009901</v>
      </c>
      <c r="F101" s="49">
        <f t="shared" si="20"/>
        <v>444.5704918</v>
      </c>
      <c r="G101" s="49">
        <f t="shared" si="20"/>
        <v>532.947541</v>
      </c>
      <c r="H101" s="49">
        <f t="shared" si="20"/>
        <v>536.1147541</v>
      </c>
      <c r="I101" s="49">
        <f t="shared" si="20"/>
        <v>513.7592593</v>
      </c>
      <c r="J101" s="49">
        <f t="shared" si="20"/>
        <v>546.1234568</v>
      </c>
      <c r="K101" s="49">
        <f t="shared" si="20"/>
        <v>442.0871671</v>
      </c>
      <c r="L101" s="49">
        <f t="shared" si="20"/>
        <v>416.1511387</v>
      </c>
      <c r="M101" s="49">
        <f t="shared" si="20"/>
        <v>463.9857143</v>
      </c>
      <c r="N101" s="49">
        <f t="shared" si="20"/>
        <v>494.898167</v>
      </c>
      <c r="O101" s="49">
        <f t="shared" si="20"/>
        <v>503.5896947</v>
      </c>
      <c r="P101" s="49">
        <f t="shared" si="20"/>
        <v>529.9681648</v>
      </c>
      <c r="Q101" s="49">
        <f t="shared" si="20"/>
        <v>539.9028037</v>
      </c>
      <c r="R101" s="49">
        <f t="shared" si="20"/>
        <v>544.6099815</v>
      </c>
    </row>
    <row r="102">
      <c r="A102" s="40" t="s">
        <v>17</v>
      </c>
      <c r="B102" s="49">
        <f t="shared" ref="B102:R102" si="21">B21/B75</f>
        <v>1.690909091</v>
      </c>
      <c r="C102" s="49">
        <f t="shared" si="21"/>
        <v>80.65217391</v>
      </c>
      <c r="D102" s="49">
        <f t="shared" si="21"/>
        <v>142.9112903</v>
      </c>
      <c r="E102" s="49">
        <f t="shared" si="21"/>
        <v>169.4112903</v>
      </c>
      <c r="F102" s="49">
        <f t="shared" si="21"/>
        <v>200.7230769</v>
      </c>
      <c r="G102" s="49">
        <f t="shared" si="21"/>
        <v>301.0923077</v>
      </c>
      <c r="H102" s="49">
        <f t="shared" si="21"/>
        <v>310.6384615</v>
      </c>
      <c r="I102" s="49">
        <f t="shared" si="21"/>
        <v>311.5714286</v>
      </c>
      <c r="J102" s="49">
        <f t="shared" si="21"/>
        <v>352.0601504</v>
      </c>
      <c r="K102" s="49">
        <f t="shared" si="21"/>
        <v>334.9444444</v>
      </c>
      <c r="L102" s="49">
        <f t="shared" si="21"/>
        <v>342.7733333</v>
      </c>
      <c r="M102" s="49">
        <f t="shared" si="21"/>
        <v>364.630137</v>
      </c>
      <c r="N102" s="49">
        <f t="shared" si="21"/>
        <v>404.4933333</v>
      </c>
      <c r="O102" s="49">
        <f t="shared" si="21"/>
        <v>366.3139932</v>
      </c>
      <c r="P102" s="49">
        <f t="shared" si="21"/>
        <v>386.9795918</v>
      </c>
      <c r="Q102" s="49">
        <f t="shared" si="21"/>
        <v>425.1462585</v>
      </c>
      <c r="R102" s="49">
        <f t="shared" si="21"/>
        <v>467.5266667</v>
      </c>
    </row>
    <row r="103">
      <c r="A103" s="40" t="s">
        <v>18</v>
      </c>
      <c r="B103" s="49">
        <f t="shared" ref="B103:R103" si="22">B22/B76</f>
        <v>7.872403561</v>
      </c>
      <c r="C103" s="49">
        <f t="shared" si="22"/>
        <v>103.8947368</v>
      </c>
      <c r="D103" s="49">
        <f t="shared" si="22"/>
        <v>185.2864583</v>
      </c>
      <c r="E103" s="49">
        <f t="shared" si="22"/>
        <v>273.7604167</v>
      </c>
      <c r="F103" s="49">
        <f t="shared" si="22"/>
        <v>278.8425</v>
      </c>
      <c r="G103" s="49">
        <f t="shared" si="22"/>
        <v>330.0920398</v>
      </c>
      <c r="H103" s="49">
        <f t="shared" si="22"/>
        <v>317.7364532</v>
      </c>
      <c r="I103" s="49">
        <f t="shared" si="22"/>
        <v>291.0588235</v>
      </c>
      <c r="J103" s="49">
        <f t="shared" si="22"/>
        <v>312.6949891</v>
      </c>
      <c r="K103" s="49">
        <f t="shared" si="22"/>
        <v>229.3072197</v>
      </c>
      <c r="L103" s="49">
        <f t="shared" si="22"/>
        <v>205.8717949</v>
      </c>
      <c r="M103" s="49">
        <f t="shared" si="22"/>
        <v>259.3843373</v>
      </c>
      <c r="N103" s="49">
        <f t="shared" si="22"/>
        <v>263.9572748</v>
      </c>
      <c r="O103" s="49">
        <f t="shared" si="22"/>
        <v>259.8440464</v>
      </c>
      <c r="P103" s="49">
        <f t="shared" si="22"/>
        <v>276.2512768</v>
      </c>
      <c r="Q103" s="49">
        <f t="shared" si="22"/>
        <v>280.0882353</v>
      </c>
      <c r="R103" s="49">
        <f t="shared" si="22"/>
        <v>284.8884501</v>
      </c>
    </row>
    <row r="104">
      <c r="A104" s="43" t="s">
        <v>19</v>
      </c>
      <c r="B104" s="49">
        <f t="shared" ref="B104:R104" si="23">B23/B77</f>
        <v>11.48915872</v>
      </c>
      <c r="C104" s="49">
        <f t="shared" si="23"/>
        <v>141.3333333</v>
      </c>
      <c r="D104" s="49">
        <f t="shared" si="23"/>
        <v>233.7908689</v>
      </c>
      <c r="E104" s="49">
        <f t="shared" si="23"/>
        <v>297.3232695</v>
      </c>
      <c r="F104" s="49">
        <f t="shared" si="23"/>
        <v>319.2074282</v>
      </c>
      <c r="G104" s="49">
        <f t="shared" si="23"/>
        <v>396.6954103</v>
      </c>
      <c r="H104" s="49">
        <f t="shared" si="23"/>
        <v>396.7968428</v>
      </c>
      <c r="I104" s="49">
        <f t="shared" si="23"/>
        <v>385.3040671</v>
      </c>
      <c r="J104" s="49">
        <f t="shared" si="23"/>
        <v>415.9515817</v>
      </c>
      <c r="K104" s="49">
        <f t="shared" si="23"/>
        <v>345.0835062</v>
      </c>
      <c r="L104" s="49">
        <f t="shared" si="23"/>
        <v>320.6917657</v>
      </c>
      <c r="M104" s="49">
        <f t="shared" si="23"/>
        <v>357.5850733</v>
      </c>
      <c r="N104" s="49">
        <f t="shared" si="23"/>
        <v>368.9411765</v>
      </c>
      <c r="O104" s="49">
        <f t="shared" si="23"/>
        <v>337.5933908</v>
      </c>
      <c r="P104" s="49">
        <f t="shared" si="23"/>
        <v>344.3006156</v>
      </c>
      <c r="Q104" s="49">
        <f t="shared" si="23"/>
        <v>358.1123407</v>
      </c>
      <c r="R104" s="49">
        <f t="shared" si="23"/>
        <v>378.0615732</v>
      </c>
    </row>
  </sheetData>
  <mergeCells count="2">
    <mergeCell ref="A1:G1"/>
    <mergeCell ref="I1:P1"/>
  </mergeCells>
  <conditionalFormatting sqref="C3:G9">
    <cfRule type="cellIs" dxfId="0" priority="1" operator="lessThanOrEqual">
      <formula>"20%"</formula>
    </cfRule>
  </conditionalFormatting>
  <conditionalFormatting sqref="C3:G9">
    <cfRule type="cellIs" dxfId="1" priority="2" operator="between">
      <formula>"20%"</formula>
      <formula>"80%"</formula>
    </cfRule>
  </conditionalFormatting>
  <conditionalFormatting sqref="C3:G9">
    <cfRule type="cellIs" dxfId="2" priority="3" operator="greaterThanOrEqual">
      <formula>"80%"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</cols>
  <sheetData>
    <row r="1">
      <c r="A1" s="50" t="s">
        <v>25</v>
      </c>
      <c r="B1" s="51"/>
      <c r="C1" s="52" t="s">
        <v>26</v>
      </c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53" t="s">
        <v>19</v>
      </c>
      <c r="P1" s="54"/>
    </row>
    <row r="2">
      <c r="A2" s="55"/>
      <c r="B2" s="56"/>
      <c r="C2" s="57" t="s">
        <v>13</v>
      </c>
      <c r="D2" s="6"/>
      <c r="E2" s="57" t="s">
        <v>14</v>
      </c>
      <c r="F2" s="6"/>
      <c r="G2" s="57" t="s">
        <v>15</v>
      </c>
      <c r="H2" s="6"/>
      <c r="I2" s="57" t="s">
        <v>16</v>
      </c>
      <c r="J2" s="6"/>
      <c r="K2" s="57" t="s">
        <v>17</v>
      </c>
      <c r="L2" s="6"/>
      <c r="M2" s="57" t="s">
        <v>18</v>
      </c>
      <c r="N2" s="58"/>
      <c r="O2" s="59"/>
      <c r="P2" s="60"/>
    </row>
    <row r="3">
      <c r="A3" s="61"/>
      <c r="B3" s="62"/>
      <c r="C3" s="63" t="s">
        <v>27</v>
      </c>
      <c r="D3" s="64" t="s">
        <v>28</v>
      </c>
      <c r="E3" s="63" t="s">
        <v>27</v>
      </c>
      <c r="F3" s="64" t="s">
        <v>28</v>
      </c>
      <c r="G3" s="63" t="s">
        <v>27</v>
      </c>
      <c r="H3" s="64" t="s">
        <v>28</v>
      </c>
      <c r="I3" s="63" t="s">
        <v>27</v>
      </c>
      <c r="J3" s="64" t="s">
        <v>28</v>
      </c>
      <c r="K3" s="63" t="s">
        <v>27</v>
      </c>
      <c r="L3" s="64" t="s">
        <v>28</v>
      </c>
      <c r="M3" s="63" t="s">
        <v>27</v>
      </c>
      <c r="N3" s="65" t="s">
        <v>28</v>
      </c>
      <c r="O3" s="63" t="s">
        <v>27</v>
      </c>
      <c r="P3" s="66" t="s">
        <v>28</v>
      </c>
    </row>
    <row r="4">
      <c r="A4" s="67" t="s">
        <v>29</v>
      </c>
      <c r="B4" s="68" t="s">
        <v>30</v>
      </c>
      <c r="C4" s="69">
        <f t="shared" ref="C4:C8" si="1">C17+C22+C27</f>
        <v>40701</v>
      </c>
      <c r="D4" s="70">
        <f t="shared" ref="D4:D8" si="2">C4/42000</f>
        <v>0.9690714286</v>
      </c>
      <c r="E4" s="69">
        <f t="shared" ref="E4:E8" si="3">E17+E22+E27</f>
        <v>3451</v>
      </c>
      <c r="F4" s="70">
        <f t="shared" ref="F4:F8" si="4">E4/6000</f>
        <v>0.5751666667</v>
      </c>
      <c r="G4" s="69">
        <f t="shared" ref="G4:G8" si="5">G17+G22+G27</f>
        <v>47696</v>
      </c>
      <c r="H4" s="70">
        <f t="shared" ref="H4:H8" si="6">G4/42000</f>
        <v>1.135619048</v>
      </c>
      <c r="I4" s="69">
        <f t="shared" ref="I4:I8" si="7">I17+I22+I27</f>
        <v>63500</v>
      </c>
      <c r="J4" s="70">
        <f t="shared" ref="J4:J8" si="8">I4/60000</f>
        <v>1.058333333</v>
      </c>
      <c r="K4" s="69">
        <f t="shared" ref="K4:K8" si="9">K17+K22+K27</f>
        <v>25204</v>
      </c>
      <c r="L4" s="70">
        <f t="shared" ref="L4:L8" si="10">K4/30000</f>
        <v>0.8401333333</v>
      </c>
      <c r="M4" s="69">
        <f t="shared" ref="M4:M8" si="11">M17+M22+M27</f>
        <v>45960</v>
      </c>
      <c r="N4" s="71">
        <f t="shared" ref="N4:N8" si="12">M4/60000</f>
        <v>0.766</v>
      </c>
      <c r="O4" s="72">
        <f t="shared" ref="O4:O8" si="13">O17+O22+O27</f>
        <v>226512</v>
      </c>
      <c r="P4" s="71">
        <f t="shared" ref="P4:P8" si="14">O4/240000</f>
        <v>0.9438</v>
      </c>
    </row>
    <row r="5">
      <c r="A5" s="73"/>
      <c r="B5" s="74" t="s">
        <v>31</v>
      </c>
      <c r="C5" s="75">
        <f t="shared" si="1"/>
        <v>38700</v>
      </c>
      <c r="D5" s="70">
        <f t="shared" si="2"/>
        <v>0.9214285714</v>
      </c>
      <c r="E5" s="75">
        <f t="shared" si="3"/>
        <v>2418</v>
      </c>
      <c r="F5" s="70">
        <f t="shared" si="4"/>
        <v>0.403</v>
      </c>
      <c r="G5" s="75">
        <f t="shared" si="5"/>
        <v>47636</v>
      </c>
      <c r="H5" s="70">
        <f t="shared" si="6"/>
        <v>1.134190476</v>
      </c>
      <c r="I5" s="75">
        <f t="shared" si="7"/>
        <v>54176</v>
      </c>
      <c r="J5" s="76">
        <f t="shared" si="8"/>
        <v>0.9029333333</v>
      </c>
      <c r="K5" s="75">
        <f t="shared" si="9"/>
        <v>20318</v>
      </c>
      <c r="L5" s="76">
        <f t="shared" si="10"/>
        <v>0.6772666667</v>
      </c>
      <c r="M5" s="75">
        <f t="shared" si="11"/>
        <v>46105</v>
      </c>
      <c r="N5" s="77">
        <f t="shared" si="12"/>
        <v>0.7684166667</v>
      </c>
      <c r="O5" s="78">
        <f t="shared" si="13"/>
        <v>209353</v>
      </c>
      <c r="P5" s="77">
        <f t="shared" si="14"/>
        <v>0.8723041667</v>
      </c>
    </row>
    <row r="6">
      <c r="A6" s="73"/>
      <c r="B6" s="74" t="s">
        <v>32</v>
      </c>
      <c r="C6" s="75">
        <f t="shared" si="1"/>
        <v>39098</v>
      </c>
      <c r="D6" s="70">
        <f t="shared" si="2"/>
        <v>0.9309047619</v>
      </c>
      <c r="E6" s="75">
        <f t="shared" si="3"/>
        <v>3294</v>
      </c>
      <c r="F6" s="70">
        <f t="shared" si="4"/>
        <v>0.549</v>
      </c>
      <c r="G6" s="79">
        <f t="shared" si="5"/>
        <v>40297</v>
      </c>
      <c r="H6" s="80">
        <f t="shared" si="6"/>
        <v>0.959452381</v>
      </c>
      <c r="I6" s="79">
        <f t="shared" si="7"/>
        <v>57395</v>
      </c>
      <c r="J6" s="81">
        <f t="shared" si="8"/>
        <v>0.9565833333</v>
      </c>
      <c r="K6" s="79">
        <f t="shared" si="9"/>
        <v>28687</v>
      </c>
      <c r="L6" s="81">
        <f t="shared" si="10"/>
        <v>0.9562333333</v>
      </c>
      <c r="M6" s="79">
        <f t="shared" si="11"/>
        <v>63429</v>
      </c>
      <c r="N6" s="82">
        <f t="shared" si="12"/>
        <v>1.05715</v>
      </c>
      <c r="O6" s="78">
        <f t="shared" si="13"/>
        <v>232200</v>
      </c>
      <c r="P6" s="77">
        <f t="shared" si="14"/>
        <v>0.9675</v>
      </c>
    </row>
    <row r="7">
      <c r="A7" s="73"/>
      <c r="B7" s="74" t="s">
        <v>33</v>
      </c>
      <c r="C7" s="75">
        <f t="shared" si="1"/>
        <v>42224</v>
      </c>
      <c r="D7" s="70">
        <f t="shared" si="2"/>
        <v>1.005333333</v>
      </c>
      <c r="E7" s="75">
        <f t="shared" si="3"/>
        <v>5018</v>
      </c>
      <c r="F7" s="70">
        <f t="shared" si="4"/>
        <v>0.8363333333</v>
      </c>
      <c r="G7" s="79">
        <f t="shared" si="5"/>
        <v>42095</v>
      </c>
      <c r="H7" s="80">
        <f t="shared" si="6"/>
        <v>1.002261905</v>
      </c>
      <c r="I7" s="79">
        <f t="shared" si="7"/>
        <v>54249</v>
      </c>
      <c r="J7" s="81">
        <f t="shared" si="8"/>
        <v>0.90415</v>
      </c>
      <c r="K7" s="79">
        <f t="shared" si="9"/>
        <v>30291</v>
      </c>
      <c r="L7" s="81">
        <f t="shared" si="10"/>
        <v>1.0097</v>
      </c>
      <c r="M7" s="79">
        <f t="shared" si="11"/>
        <v>61789</v>
      </c>
      <c r="N7" s="82">
        <f t="shared" si="12"/>
        <v>1.029816667</v>
      </c>
      <c r="O7" s="78">
        <f t="shared" si="13"/>
        <v>235666</v>
      </c>
      <c r="P7" s="77">
        <f t="shared" si="14"/>
        <v>0.9819416667</v>
      </c>
    </row>
    <row r="8">
      <c r="A8" s="83"/>
      <c r="B8" s="84" t="s">
        <v>34</v>
      </c>
      <c r="C8" s="85">
        <f t="shared" si="1"/>
        <v>39065</v>
      </c>
      <c r="D8" s="70">
        <f t="shared" si="2"/>
        <v>0.9301190476</v>
      </c>
      <c r="E8" s="85">
        <f t="shared" si="3"/>
        <v>17433</v>
      </c>
      <c r="F8" s="70">
        <f t="shared" si="4"/>
        <v>2.9055</v>
      </c>
      <c r="G8" s="86">
        <f t="shared" si="5"/>
        <v>39967</v>
      </c>
      <c r="H8" s="80">
        <f t="shared" si="6"/>
        <v>0.9515952381</v>
      </c>
      <c r="I8" s="86">
        <f t="shared" si="7"/>
        <v>65315</v>
      </c>
      <c r="J8" s="87">
        <f t="shared" si="8"/>
        <v>1.088583333</v>
      </c>
      <c r="K8" s="86">
        <f t="shared" si="9"/>
        <v>35757</v>
      </c>
      <c r="L8" s="87">
        <f t="shared" si="10"/>
        <v>1.1919</v>
      </c>
      <c r="M8" s="86">
        <f t="shared" si="11"/>
        <v>71307</v>
      </c>
      <c r="N8" s="88">
        <f t="shared" si="12"/>
        <v>1.18845</v>
      </c>
      <c r="O8" s="89">
        <f t="shared" si="13"/>
        <v>268844</v>
      </c>
      <c r="P8" s="90">
        <f t="shared" si="14"/>
        <v>1.120183333</v>
      </c>
    </row>
    <row r="9">
      <c r="A9" s="91" t="s">
        <v>19</v>
      </c>
      <c r="B9" s="92"/>
      <c r="C9" s="93">
        <f>sum(C4:C8)</f>
        <v>199788</v>
      </c>
      <c r="D9" s="94">
        <f>C9/210000</f>
        <v>0.9513714286</v>
      </c>
      <c r="E9" s="93">
        <f>sum(E4:E8)</f>
        <v>31614</v>
      </c>
      <c r="F9" s="94">
        <f>E9/30000</f>
        <v>1.0538</v>
      </c>
      <c r="G9" s="93">
        <f>sum(G4:G8)</f>
        <v>217691</v>
      </c>
      <c r="H9" s="94">
        <f>G9/210000</f>
        <v>1.03662381</v>
      </c>
      <c r="I9" s="93">
        <f>sum(I4:I8)</f>
        <v>294635</v>
      </c>
      <c r="J9" s="94">
        <f>I9/300000</f>
        <v>0.9821166667</v>
      </c>
      <c r="K9" s="93">
        <f>sum(K4:K8)</f>
        <v>140257</v>
      </c>
      <c r="L9" s="94">
        <f>K9/150000</f>
        <v>0.9350466667</v>
      </c>
      <c r="M9" s="93">
        <f>sum(M4:M8)</f>
        <v>288590</v>
      </c>
      <c r="N9" s="95">
        <f>M9/300000</f>
        <v>0.9619666667</v>
      </c>
      <c r="O9" s="96">
        <f>sum(O4:O8)</f>
        <v>1172575</v>
      </c>
      <c r="P9" s="97">
        <f>O9/1200000</f>
        <v>0.9771458333</v>
      </c>
    </row>
    <row r="10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98"/>
    </row>
    <row r="11">
      <c r="B11" s="36"/>
      <c r="D11" s="99"/>
      <c r="F11" s="99"/>
      <c r="H11" s="99"/>
      <c r="J11" s="99"/>
      <c r="L11" s="99"/>
      <c r="N11" s="99"/>
    </row>
    <row r="12">
      <c r="B12" s="36"/>
      <c r="C12" s="36"/>
      <c r="D12" s="36"/>
      <c r="F12" s="36"/>
      <c r="H12" s="36"/>
      <c r="J12" s="100"/>
      <c r="L12" s="36"/>
      <c r="N12" s="100"/>
      <c r="P12" s="98"/>
    </row>
    <row r="14">
      <c r="A14" s="50" t="s">
        <v>25</v>
      </c>
      <c r="B14" s="51"/>
      <c r="C14" s="52" t="s">
        <v>26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101"/>
      <c r="O14" s="53" t="s">
        <v>19</v>
      </c>
      <c r="P14" s="54"/>
    </row>
    <row r="15">
      <c r="A15" s="55"/>
      <c r="B15" s="56"/>
      <c r="C15" s="57" t="s">
        <v>13</v>
      </c>
      <c r="D15" s="6"/>
      <c r="E15" s="57" t="s">
        <v>14</v>
      </c>
      <c r="F15" s="6"/>
      <c r="G15" s="57" t="s">
        <v>15</v>
      </c>
      <c r="H15" s="6"/>
      <c r="I15" s="57" t="s">
        <v>16</v>
      </c>
      <c r="J15" s="6"/>
      <c r="K15" s="57" t="s">
        <v>17</v>
      </c>
      <c r="L15" s="6"/>
      <c r="M15" s="57" t="s">
        <v>18</v>
      </c>
      <c r="N15" s="6"/>
      <c r="O15" s="59"/>
      <c r="P15" s="60"/>
    </row>
    <row r="16">
      <c r="A16" s="61"/>
      <c r="B16" s="62"/>
      <c r="C16" s="63" t="s">
        <v>27</v>
      </c>
      <c r="D16" s="63" t="s">
        <v>28</v>
      </c>
      <c r="E16" s="63" t="s">
        <v>27</v>
      </c>
      <c r="F16" s="63" t="s">
        <v>28</v>
      </c>
      <c r="G16" s="63" t="s">
        <v>27</v>
      </c>
      <c r="H16" s="63" t="s">
        <v>28</v>
      </c>
      <c r="I16" s="63" t="s">
        <v>27</v>
      </c>
      <c r="J16" s="63" t="s">
        <v>28</v>
      </c>
      <c r="K16" s="63" t="s">
        <v>27</v>
      </c>
      <c r="L16" s="63" t="s">
        <v>28</v>
      </c>
      <c r="M16" s="63" t="s">
        <v>27</v>
      </c>
      <c r="N16" s="102" t="s">
        <v>28</v>
      </c>
      <c r="O16" s="63" t="s">
        <v>27</v>
      </c>
      <c r="P16" s="103" t="s">
        <v>28</v>
      </c>
    </row>
    <row r="17">
      <c r="A17" s="104" t="s">
        <v>29</v>
      </c>
      <c r="B17" s="105" t="s">
        <v>30</v>
      </c>
      <c r="C17" s="106">
        <f t="shared" ref="C17:C22" si="15">C38</f>
        <v>29663</v>
      </c>
      <c r="D17" s="107">
        <f t="shared" ref="D17:D21" si="16">C17/30000</f>
        <v>0.9887666667</v>
      </c>
      <c r="E17" s="106">
        <f t="shared" ref="E17:E21" si="17">C88</f>
        <v>3451</v>
      </c>
      <c r="F17" s="107">
        <f t="shared" ref="F17:F21" si="18">E17/30000</f>
        <v>0.1150333333</v>
      </c>
      <c r="G17" s="108">
        <f t="shared" ref="G17:G31" si="19">C73</f>
        <v>30000</v>
      </c>
      <c r="H17" s="109">
        <f t="shared" ref="H17:H21" si="20">G17/30000</f>
        <v>1</v>
      </c>
      <c r="I17" s="108">
        <f t="shared" ref="I17:I26" si="21">C63</f>
        <v>30000</v>
      </c>
      <c r="J17" s="109">
        <f t="shared" ref="J17:J21" si="22">I17/30000</f>
        <v>1</v>
      </c>
      <c r="K17" s="106">
        <f t="shared" ref="K17:K21" si="23">C52</f>
        <v>21141</v>
      </c>
      <c r="L17" s="107">
        <f t="shared" ref="L17:L21" si="24">K17/30000</f>
        <v>0.7047</v>
      </c>
      <c r="M17" s="108">
        <f t="shared" ref="M17:M26" si="25">C93</f>
        <v>30000</v>
      </c>
      <c r="N17" s="110">
        <f t="shared" ref="N17:N21" si="26">M17/30000</f>
        <v>1</v>
      </c>
      <c r="O17" s="111">
        <f t="shared" ref="O17:O31" si="27">sum(C17,E17,G17,I17,K17,M17)</f>
        <v>144255</v>
      </c>
      <c r="P17" s="71">
        <f t="shared" ref="P17:P21" si="28">O17/180000</f>
        <v>0.8014166667</v>
      </c>
    </row>
    <row r="18">
      <c r="A18" s="55"/>
      <c r="B18" s="112" t="s">
        <v>31</v>
      </c>
      <c r="C18" s="113">
        <f t="shared" si="15"/>
        <v>28363</v>
      </c>
      <c r="D18" s="76">
        <f t="shared" si="16"/>
        <v>0.9454333333</v>
      </c>
      <c r="E18" s="114">
        <f t="shared" si="17"/>
        <v>2418</v>
      </c>
      <c r="F18" s="76">
        <f t="shared" si="18"/>
        <v>0.0806</v>
      </c>
      <c r="G18" s="113">
        <f t="shared" si="19"/>
        <v>30000</v>
      </c>
      <c r="H18" s="76">
        <f t="shared" si="20"/>
        <v>1</v>
      </c>
      <c r="I18" s="115">
        <f t="shared" si="21"/>
        <v>30000</v>
      </c>
      <c r="J18" s="81">
        <f t="shared" si="22"/>
        <v>1</v>
      </c>
      <c r="K18" s="113">
        <f t="shared" si="23"/>
        <v>17363</v>
      </c>
      <c r="L18" s="76">
        <f t="shared" si="24"/>
        <v>0.5787666667</v>
      </c>
      <c r="M18" s="116">
        <f t="shared" si="25"/>
        <v>30000</v>
      </c>
      <c r="N18" s="82">
        <f t="shared" si="26"/>
        <v>1</v>
      </c>
      <c r="O18" s="117">
        <f t="shared" si="27"/>
        <v>138144</v>
      </c>
      <c r="P18" s="77">
        <f t="shared" si="28"/>
        <v>0.7674666667</v>
      </c>
    </row>
    <row r="19">
      <c r="A19" s="55"/>
      <c r="B19" s="112" t="s">
        <v>32</v>
      </c>
      <c r="C19" s="115">
        <f t="shared" si="15"/>
        <v>29934</v>
      </c>
      <c r="D19" s="81">
        <f t="shared" si="16"/>
        <v>0.9978</v>
      </c>
      <c r="E19" s="114">
        <f t="shared" si="17"/>
        <v>3294</v>
      </c>
      <c r="F19" s="76">
        <f t="shared" si="18"/>
        <v>0.1098</v>
      </c>
      <c r="G19" s="115">
        <f t="shared" si="19"/>
        <v>30000</v>
      </c>
      <c r="H19" s="81">
        <f t="shared" si="20"/>
        <v>1</v>
      </c>
      <c r="I19" s="115">
        <f t="shared" si="21"/>
        <v>30000</v>
      </c>
      <c r="J19" s="81">
        <f t="shared" si="22"/>
        <v>1</v>
      </c>
      <c r="K19" s="115">
        <f t="shared" si="23"/>
        <v>26541</v>
      </c>
      <c r="L19" s="81">
        <f t="shared" si="24"/>
        <v>0.8847</v>
      </c>
      <c r="M19" s="116">
        <f t="shared" si="25"/>
        <v>30000</v>
      </c>
      <c r="N19" s="82">
        <f t="shared" si="26"/>
        <v>1</v>
      </c>
      <c r="O19" s="117">
        <f t="shared" si="27"/>
        <v>149769</v>
      </c>
      <c r="P19" s="77">
        <f t="shared" si="28"/>
        <v>0.83205</v>
      </c>
    </row>
    <row r="20">
      <c r="A20" s="55"/>
      <c r="B20" s="112" t="s">
        <v>33</v>
      </c>
      <c r="C20" s="113">
        <f t="shared" si="15"/>
        <v>29928</v>
      </c>
      <c r="D20" s="76">
        <f t="shared" si="16"/>
        <v>0.9976</v>
      </c>
      <c r="E20" s="114">
        <f t="shared" si="17"/>
        <v>5018</v>
      </c>
      <c r="F20" s="76">
        <f t="shared" si="18"/>
        <v>0.1672666667</v>
      </c>
      <c r="G20" s="115">
        <f t="shared" si="19"/>
        <v>30000</v>
      </c>
      <c r="H20" s="81">
        <f t="shared" si="20"/>
        <v>1</v>
      </c>
      <c r="I20" s="115">
        <f t="shared" si="21"/>
        <v>30000</v>
      </c>
      <c r="J20" s="81">
        <f t="shared" si="22"/>
        <v>1</v>
      </c>
      <c r="K20" s="115">
        <f t="shared" si="23"/>
        <v>29115</v>
      </c>
      <c r="L20" s="81">
        <f t="shared" si="24"/>
        <v>0.9705</v>
      </c>
      <c r="M20" s="116">
        <f t="shared" si="25"/>
        <v>30000</v>
      </c>
      <c r="N20" s="82">
        <f t="shared" si="26"/>
        <v>1</v>
      </c>
      <c r="O20" s="117">
        <f t="shared" si="27"/>
        <v>154061</v>
      </c>
      <c r="P20" s="77">
        <f t="shared" si="28"/>
        <v>0.8558944444</v>
      </c>
    </row>
    <row r="21">
      <c r="A21" s="55"/>
      <c r="B21" s="118" t="s">
        <v>34</v>
      </c>
      <c r="C21" s="119">
        <f t="shared" si="15"/>
        <v>30000</v>
      </c>
      <c r="D21" s="87">
        <f t="shared" si="16"/>
        <v>1</v>
      </c>
      <c r="E21" s="120">
        <f t="shared" si="17"/>
        <v>17433</v>
      </c>
      <c r="F21" s="87">
        <f t="shared" si="18"/>
        <v>0.5811</v>
      </c>
      <c r="G21" s="119">
        <f t="shared" si="19"/>
        <v>30000</v>
      </c>
      <c r="H21" s="87">
        <f t="shared" si="20"/>
        <v>1</v>
      </c>
      <c r="I21" s="119">
        <f t="shared" si="21"/>
        <v>30000</v>
      </c>
      <c r="J21" s="87">
        <f t="shared" si="22"/>
        <v>1</v>
      </c>
      <c r="K21" s="119">
        <f t="shared" si="23"/>
        <v>30000</v>
      </c>
      <c r="L21" s="87">
        <f t="shared" si="24"/>
        <v>1</v>
      </c>
      <c r="M21" s="120">
        <f t="shared" si="25"/>
        <v>30000</v>
      </c>
      <c r="N21" s="88">
        <f t="shared" si="26"/>
        <v>1</v>
      </c>
      <c r="O21" s="117">
        <f t="shared" si="27"/>
        <v>167433</v>
      </c>
      <c r="P21" s="77">
        <f t="shared" si="28"/>
        <v>0.9301833333</v>
      </c>
    </row>
    <row r="22">
      <c r="A22" s="55"/>
      <c r="B22" s="105" t="s">
        <v>35</v>
      </c>
      <c r="C22" s="106">
        <f t="shared" si="15"/>
        <v>2970</v>
      </c>
      <c r="D22" s="107">
        <f>C22/3000</f>
        <v>0.99</v>
      </c>
      <c r="E22" s="121"/>
      <c r="F22" s="121"/>
      <c r="G22" s="108">
        <f t="shared" si="19"/>
        <v>3000</v>
      </c>
      <c r="H22" s="109">
        <f t="shared" ref="H22:H26" si="29">G22/3000</f>
        <v>1</v>
      </c>
      <c r="I22" s="106">
        <f t="shared" si="21"/>
        <v>33500</v>
      </c>
      <c r="J22" s="107">
        <f t="shared" ref="J22:J26" si="30">I22/36000</f>
        <v>0.9305555556</v>
      </c>
      <c r="K22" s="121"/>
      <c r="L22" s="121"/>
      <c r="M22" s="106">
        <f t="shared" si="25"/>
        <v>15960</v>
      </c>
      <c r="N22" s="122">
        <f t="shared" ref="N22:N26" si="31">M22/42000</f>
        <v>0.38</v>
      </c>
      <c r="O22" s="117">
        <f t="shared" si="27"/>
        <v>55430</v>
      </c>
      <c r="P22" s="77">
        <f>O22/84000</f>
        <v>0.6598809524</v>
      </c>
    </row>
    <row r="23">
      <c r="A23" s="55"/>
      <c r="B23" s="112" t="s">
        <v>36</v>
      </c>
      <c r="C23" s="123"/>
      <c r="D23" s="123"/>
      <c r="E23" s="123"/>
      <c r="F23" s="123"/>
      <c r="G23" s="115">
        <f t="shared" si="19"/>
        <v>3000</v>
      </c>
      <c r="H23" s="81">
        <f t="shared" si="29"/>
        <v>1</v>
      </c>
      <c r="I23" s="113">
        <f t="shared" si="21"/>
        <v>24176</v>
      </c>
      <c r="J23" s="76">
        <f t="shared" si="30"/>
        <v>0.6715555556</v>
      </c>
      <c r="K23" s="123"/>
      <c r="L23" s="123"/>
      <c r="M23" s="114">
        <f t="shared" si="25"/>
        <v>16105</v>
      </c>
      <c r="N23" s="77">
        <f t="shared" si="31"/>
        <v>0.383452381</v>
      </c>
      <c r="O23" s="117">
        <f t="shared" si="27"/>
        <v>43281</v>
      </c>
      <c r="P23" s="77">
        <f>O23/81000</f>
        <v>0.5343333333</v>
      </c>
    </row>
    <row r="24">
      <c r="A24" s="55"/>
      <c r="B24" s="112" t="s">
        <v>37</v>
      </c>
      <c r="C24" s="115">
        <f t="shared" ref="C24:C31" si="32">C44</f>
        <v>3000</v>
      </c>
      <c r="D24" s="81">
        <f t="shared" ref="D24:D26" si="33">C24/3000</f>
        <v>1</v>
      </c>
      <c r="E24" s="123"/>
      <c r="F24" s="123"/>
      <c r="G24" s="115">
        <f t="shared" si="19"/>
        <v>3000</v>
      </c>
      <c r="H24" s="81">
        <f t="shared" si="29"/>
        <v>1</v>
      </c>
      <c r="I24" s="115">
        <f t="shared" si="21"/>
        <v>27395</v>
      </c>
      <c r="J24" s="81">
        <f t="shared" si="30"/>
        <v>0.7609722222</v>
      </c>
      <c r="K24" s="123"/>
      <c r="L24" s="123"/>
      <c r="M24" s="116">
        <f t="shared" si="25"/>
        <v>33429</v>
      </c>
      <c r="N24" s="82">
        <f t="shared" si="31"/>
        <v>0.7959285714</v>
      </c>
      <c r="O24" s="117">
        <f t="shared" si="27"/>
        <v>66824</v>
      </c>
      <c r="P24" s="77">
        <f t="shared" ref="P24:P25" si="34">O24/84000</f>
        <v>0.7955238095</v>
      </c>
    </row>
    <row r="25">
      <c r="A25" s="55"/>
      <c r="B25" s="112" t="s">
        <v>38</v>
      </c>
      <c r="C25" s="115">
        <f t="shared" si="32"/>
        <v>3000</v>
      </c>
      <c r="D25" s="81">
        <f t="shared" si="33"/>
        <v>1</v>
      </c>
      <c r="E25" s="123"/>
      <c r="F25" s="123"/>
      <c r="G25" s="115">
        <f t="shared" si="19"/>
        <v>3000</v>
      </c>
      <c r="H25" s="81">
        <f t="shared" si="29"/>
        <v>1</v>
      </c>
      <c r="I25" s="115">
        <f t="shared" si="21"/>
        <v>24249</v>
      </c>
      <c r="J25" s="81">
        <f t="shared" si="30"/>
        <v>0.6735833333</v>
      </c>
      <c r="K25" s="123"/>
      <c r="L25" s="123"/>
      <c r="M25" s="116">
        <f t="shared" si="25"/>
        <v>31789</v>
      </c>
      <c r="N25" s="82">
        <f t="shared" si="31"/>
        <v>0.7568809524</v>
      </c>
      <c r="O25" s="117">
        <f t="shared" si="27"/>
        <v>62038</v>
      </c>
      <c r="P25" s="77">
        <f t="shared" si="34"/>
        <v>0.738547619</v>
      </c>
    </row>
    <row r="26">
      <c r="A26" s="55"/>
      <c r="B26" s="118" t="s">
        <v>39</v>
      </c>
      <c r="C26" s="119">
        <f t="shared" si="32"/>
        <v>3000</v>
      </c>
      <c r="D26" s="87">
        <f t="shared" si="33"/>
        <v>1</v>
      </c>
      <c r="E26" s="124"/>
      <c r="F26" s="124"/>
      <c r="G26" s="119">
        <f t="shared" si="19"/>
        <v>3000</v>
      </c>
      <c r="H26" s="87">
        <f t="shared" si="29"/>
        <v>1</v>
      </c>
      <c r="I26" s="119">
        <f t="shared" si="21"/>
        <v>35315</v>
      </c>
      <c r="J26" s="87">
        <f t="shared" si="30"/>
        <v>0.9809722222</v>
      </c>
      <c r="K26" s="125">
        <f t="shared" ref="K26:K31" si="35">C57</f>
        <v>2903</v>
      </c>
      <c r="L26" s="126">
        <f>K26/3000</f>
        <v>0.9676666667</v>
      </c>
      <c r="M26" s="120">
        <f t="shared" si="25"/>
        <v>41307</v>
      </c>
      <c r="N26" s="88">
        <f t="shared" si="31"/>
        <v>0.9835</v>
      </c>
      <c r="O26" s="117">
        <f t="shared" si="27"/>
        <v>85525</v>
      </c>
      <c r="P26" s="77">
        <f>O26/87000</f>
        <v>0.983045977</v>
      </c>
    </row>
    <row r="27">
      <c r="A27" s="55"/>
      <c r="B27" s="105" t="s">
        <v>40</v>
      </c>
      <c r="C27" s="106">
        <f t="shared" si="32"/>
        <v>8068</v>
      </c>
      <c r="D27" s="107">
        <f>C27/15000</f>
        <v>0.5378666667</v>
      </c>
      <c r="E27" s="121"/>
      <c r="F27" s="121"/>
      <c r="G27" s="106">
        <f t="shared" si="19"/>
        <v>14696</v>
      </c>
      <c r="H27" s="107">
        <f t="shared" ref="H27:H31" si="36">G27/15000</f>
        <v>0.9797333333</v>
      </c>
      <c r="I27" s="121"/>
      <c r="J27" s="121"/>
      <c r="K27" s="106">
        <f t="shared" si="35"/>
        <v>4063</v>
      </c>
      <c r="L27" s="107">
        <f t="shared" ref="L27:L30" si="37">K27/18000</f>
        <v>0.2257222222</v>
      </c>
      <c r="M27" s="121"/>
      <c r="N27" s="121"/>
      <c r="O27" s="117">
        <f t="shared" si="27"/>
        <v>26827</v>
      </c>
      <c r="P27" s="77">
        <f>O27/48000</f>
        <v>0.5588958333</v>
      </c>
    </row>
    <row r="28">
      <c r="A28" s="55"/>
      <c r="B28" s="112" t="s">
        <v>41</v>
      </c>
      <c r="C28" s="113">
        <f t="shared" si="32"/>
        <v>10337</v>
      </c>
      <c r="D28" s="76">
        <f>C28/18000</f>
        <v>0.5742777778</v>
      </c>
      <c r="E28" s="123"/>
      <c r="F28" s="123"/>
      <c r="G28" s="113">
        <f t="shared" si="19"/>
        <v>14636</v>
      </c>
      <c r="H28" s="76">
        <f t="shared" si="36"/>
        <v>0.9757333333</v>
      </c>
      <c r="I28" s="123"/>
      <c r="J28" s="123"/>
      <c r="K28" s="114">
        <f t="shared" si="35"/>
        <v>2955</v>
      </c>
      <c r="L28" s="76">
        <f t="shared" si="37"/>
        <v>0.1641666667</v>
      </c>
      <c r="M28" s="123"/>
      <c r="N28" s="123"/>
      <c r="O28" s="117">
        <f t="shared" si="27"/>
        <v>27928</v>
      </c>
      <c r="P28" s="77">
        <f>O28/51000</f>
        <v>0.5476078431</v>
      </c>
    </row>
    <row r="29">
      <c r="A29" s="55"/>
      <c r="B29" s="112" t="s">
        <v>42</v>
      </c>
      <c r="C29" s="115">
        <f t="shared" si="32"/>
        <v>6164</v>
      </c>
      <c r="D29" s="81">
        <f t="shared" ref="D29:D31" si="38">C29/15000</f>
        <v>0.4109333333</v>
      </c>
      <c r="E29" s="123"/>
      <c r="F29" s="123"/>
      <c r="G29" s="115">
        <f t="shared" si="19"/>
        <v>7297</v>
      </c>
      <c r="H29" s="81">
        <f t="shared" si="36"/>
        <v>0.4864666667</v>
      </c>
      <c r="I29" s="123"/>
      <c r="J29" s="123"/>
      <c r="K29" s="116">
        <f t="shared" si="35"/>
        <v>2146</v>
      </c>
      <c r="L29" s="81">
        <f t="shared" si="37"/>
        <v>0.1192222222</v>
      </c>
      <c r="M29" s="123"/>
      <c r="N29" s="123"/>
      <c r="O29" s="117">
        <f t="shared" si="27"/>
        <v>15607</v>
      </c>
      <c r="P29" s="77">
        <f t="shared" ref="P29:P30" si="39">O29/48000</f>
        <v>0.3251458333</v>
      </c>
    </row>
    <row r="30">
      <c r="A30" s="55"/>
      <c r="B30" s="112" t="s">
        <v>43</v>
      </c>
      <c r="C30" s="115">
        <f t="shared" si="32"/>
        <v>9296</v>
      </c>
      <c r="D30" s="81">
        <f t="shared" si="38"/>
        <v>0.6197333333</v>
      </c>
      <c r="E30" s="123"/>
      <c r="F30" s="123"/>
      <c r="G30" s="115">
        <f t="shared" si="19"/>
        <v>9095</v>
      </c>
      <c r="H30" s="81">
        <f t="shared" si="36"/>
        <v>0.6063333333</v>
      </c>
      <c r="I30" s="123"/>
      <c r="J30" s="123"/>
      <c r="K30" s="116">
        <f t="shared" si="35"/>
        <v>1176</v>
      </c>
      <c r="L30" s="81">
        <f t="shared" si="37"/>
        <v>0.06533333333</v>
      </c>
      <c r="M30" s="123"/>
      <c r="N30" s="123"/>
      <c r="O30" s="117">
        <f t="shared" si="27"/>
        <v>19567</v>
      </c>
      <c r="P30" s="77">
        <f t="shared" si="39"/>
        <v>0.4076458333</v>
      </c>
    </row>
    <row r="31">
      <c r="A31" s="59"/>
      <c r="B31" s="118" t="s">
        <v>44</v>
      </c>
      <c r="C31" s="119">
        <f t="shared" si="32"/>
        <v>6065</v>
      </c>
      <c r="D31" s="87">
        <f t="shared" si="38"/>
        <v>0.4043333333</v>
      </c>
      <c r="E31" s="124"/>
      <c r="F31" s="124"/>
      <c r="G31" s="119">
        <f t="shared" si="19"/>
        <v>6967</v>
      </c>
      <c r="H31" s="87">
        <f t="shared" si="36"/>
        <v>0.4644666667</v>
      </c>
      <c r="I31" s="124"/>
      <c r="J31" s="124"/>
      <c r="K31" s="120">
        <f t="shared" si="35"/>
        <v>2854</v>
      </c>
      <c r="L31" s="87">
        <f>K31/15000</f>
        <v>0.1902666667</v>
      </c>
      <c r="M31" s="124"/>
      <c r="N31" s="124"/>
      <c r="O31" s="117">
        <f t="shared" si="27"/>
        <v>15886</v>
      </c>
      <c r="P31" s="90">
        <f>O31/45000</f>
        <v>0.3530222222</v>
      </c>
    </row>
    <row r="32">
      <c r="A32" s="91" t="s">
        <v>19</v>
      </c>
      <c r="B32" s="127"/>
      <c r="C32" s="128">
        <f>SUM(C17:C31)</f>
        <v>199788</v>
      </c>
      <c r="D32" s="129">
        <f>C32/165000</f>
        <v>1.210836364</v>
      </c>
      <c r="E32" s="128">
        <f>SUM(E17:E31)</f>
        <v>31614</v>
      </c>
      <c r="F32" s="129">
        <f>E32/165000</f>
        <v>0.1916</v>
      </c>
      <c r="G32" s="128">
        <f>SUM(G17:G31)</f>
        <v>217691</v>
      </c>
      <c r="H32" s="129">
        <f>G32/165000</f>
        <v>1.319339394</v>
      </c>
      <c r="I32" s="128">
        <f>SUM(I17:I31)</f>
        <v>294635</v>
      </c>
      <c r="J32" s="129">
        <f>I32/330000</f>
        <v>0.8928333333</v>
      </c>
      <c r="K32" s="128">
        <f>SUM(K17:K31)</f>
        <v>140257</v>
      </c>
      <c r="L32" s="129">
        <f>K32/165000</f>
        <v>0.8500424242</v>
      </c>
      <c r="M32" s="128">
        <f>SUM(M17:M31)</f>
        <v>288590</v>
      </c>
      <c r="N32" s="130">
        <f>M32/330000</f>
        <v>0.8745151515</v>
      </c>
      <c r="O32" s="131">
        <f>sum(O17:O31)</f>
        <v>1172575</v>
      </c>
      <c r="P32" s="132">
        <f>O32/1230000</f>
        <v>0.9533130081</v>
      </c>
    </row>
    <row r="37">
      <c r="A37" s="133" t="s">
        <v>45</v>
      </c>
      <c r="B37" s="133" t="s">
        <v>46</v>
      </c>
      <c r="C37" s="134" t="s">
        <v>47</v>
      </c>
      <c r="D37" s="134" t="s">
        <v>48</v>
      </c>
      <c r="E37" s="134" t="s">
        <v>49</v>
      </c>
      <c r="F37" s="134" t="s">
        <v>50</v>
      </c>
      <c r="G37" s="134" t="s">
        <v>51</v>
      </c>
      <c r="H37" s="135" t="s">
        <v>52</v>
      </c>
      <c r="I37" s="136"/>
      <c r="J37" s="136"/>
      <c r="M37" s="36"/>
    </row>
    <row r="38">
      <c r="A38" s="137">
        <v>13301.0</v>
      </c>
      <c r="B38" s="138" t="s">
        <v>53</v>
      </c>
      <c r="C38" s="139">
        <f t="shared" ref="C38:C102" si="40">sum(D38:E38)</f>
        <v>29663</v>
      </c>
      <c r="D38" s="140">
        <v>22500.0</v>
      </c>
      <c r="E38" s="141">
        <v>7163.0</v>
      </c>
      <c r="F38" s="142"/>
      <c r="G38" s="142"/>
      <c r="H38" s="143" t="s">
        <v>54</v>
      </c>
      <c r="I38" s="144"/>
      <c r="J38" s="144"/>
    </row>
    <row r="39">
      <c r="A39" s="137">
        <v>13302.0</v>
      </c>
      <c r="B39" s="138" t="s">
        <v>55</v>
      </c>
      <c r="C39" s="139">
        <f t="shared" si="40"/>
        <v>28363</v>
      </c>
      <c r="D39" s="145">
        <v>22424.0</v>
      </c>
      <c r="E39" s="141">
        <v>5939.0</v>
      </c>
      <c r="F39" s="142"/>
      <c r="G39" s="142"/>
      <c r="H39" s="143" t="s">
        <v>56</v>
      </c>
      <c r="I39" s="143"/>
      <c r="J39" s="144" t="s">
        <v>57</v>
      </c>
    </row>
    <row r="40">
      <c r="A40" s="146">
        <v>13303.0</v>
      </c>
      <c r="B40" s="147" t="s">
        <v>58</v>
      </c>
      <c r="C40" s="148">
        <f t="shared" si="40"/>
        <v>29934</v>
      </c>
      <c r="D40" s="149">
        <v>22500.0</v>
      </c>
      <c r="E40" s="150">
        <v>7434.0</v>
      </c>
      <c r="F40" s="151"/>
      <c r="G40" s="142"/>
      <c r="H40" s="143"/>
      <c r="I40" s="144"/>
      <c r="J40" s="144"/>
    </row>
    <row r="41">
      <c r="A41" s="146">
        <v>13304.0</v>
      </c>
      <c r="B41" s="147" t="s">
        <v>59</v>
      </c>
      <c r="C41" s="148">
        <f t="shared" si="40"/>
        <v>29928</v>
      </c>
      <c r="D41" s="149">
        <v>22500.0</v>
      </c>
      <c r="E41" s="150">
        <v>7428.0</v>
      </c>
      <c r="F41" s="142"/>
      <c r="G41" s="142"/>
      <c r="H41" s="143" t="s">
        <v>56</v>
      </c>
      <c r="I41" s="143"/>
      <c r="J41" s="144" t="s">
        <v>57</v>
      </c>
    </row>
    <row r="42">
      <c r="A42" s="152">
        <v>13305.0</v>
      </c>
      <c r="B42" s="153" t="s">
        <v>60</v>
      </c>
      <c r="C42" s="154">
        <f t="shared" si="40"/>
        <v>30000</v>
      </c>
      <c r="D42" s="155">
        <v>22500.0</v>
      </c>
      <c r="E42" s="156">
        <v>7500.0</v>
      </c>
      <c r="F42" s="142"/>
      <c r="G42" s="142"/>
      <c r="H42" s="143" t="s">
        <v>56</v>
      </c>
      <c r="I42" s="143"/>
      <c r="J42" s="144" t="s">
        <v>57</v>
      </c>
    </row>
    <row r="43">
      <c r="A43" s="137">
        <v>14408.0</v>
      </c>
      <c r="B43" s="138" t="s">
        <v>61</v>
      </c>
      <c r="C43" s="139">
        <f t="shared" si="40"/>
        <v>2970</v>
      </c>
      <c r="D43" s="157">
        <v>2250.0</v>
      </c>
      <c r="E43" s="141">
        <v>720.0</v>
      </c>
      <c r="F43" s="142"/>
      <c r="G43" s="142"/>
      <c r="H43" s="143" t="s">
        <v>54</v>
      </c>
      <c r="I43" s="144"/>
      <c r="J43" s="144"/>
    </row>
    <row r="44">
      <c r="A44" s="158">
        <v>14410.0</v>
      </c>
      <c r="B44" s="159" t="s">
        <v>62</v>
      </c>
      <c r="C44" s="154">
        <f t="shared" si="40"/>
        <v>3000</v>
      </c>
      <c r="D44" s="155">
        <v>2250.0</v>
      </c>
      <c r="E44" s="156">
        <v>750.0</v>
      </c>
      <c r="F44" s="142"/>
      <c r="G44" s="142"/>
      <c r="H44" s="143"/>
      <c r="I44" s="144"/>
      <c r="J44" s="144"/>
    </row>
    <row r="45">
      <c r="A45" s="158">
        <v>14423.0</v>
      </c>
      <c r="B45" s="159" t="s">
        <v>63</v>
      </c>
      <c r="C45" s="154">
        <f t="shared" si="40"/>
        <v>3000</v>
      </c>
      <c r="D45" s="155">
        <v>2250.0</v>
      </c>
      <c r="E45" s="156">
        <v>750.0</v>
      </c>
      <c r="F45" s="142"/>
      <c r="G45" s="142"/>
      <c r="H45" s="143"/>
      <c r="I45" s="144"/>
      <c r="J45" s="144"/>
    </row>
    <row r="46">
      <c r="A46" s="152">
        <v>13959.0</v>
      </c>
      <c r="B46" s="153" t="s">
        <v>64</v>
      </c>
      <c r="C46" s="154">
        <f t="shared" si="40"/>
        <v>3000</v>
      </c>
      <c r="D46" s="160">
        <v>2250.0</v>
      </c>
      <c r="E46" s="161">
        <v>750.0</v>
      </c>
      <c r="F46" s="142"/>
      <c r="G46" s="142"/>
      <c r="H46" s="143"/>
      <c r="I46" s="144"/>
      <c r="J46" s="144"/>
    </row>
    <row r="47">
      <c r="A47" s="162">
        <v>15136.0</v>
      </c>
      <c r="B47" s="138" t="s">
        <v>65</v>
      </c>
      <c r="C47" s="139">
        <f t="shared" si="40"/>
        <v>8068</v>
      </c>
      <c r="D47" s="145">
        <v>6943.0</v>
      </c>
      <c r="E47" s="141">
        <v>1125.0</v>
      </c>
      <c r="F47" s="142"/>
      <c r="G47" s="142"/>
      <c r="H47" s="143" t="s">
        <v>54</v>
      </c>
      <c r="I47" s="144"/>
      <c r="J47" s="144"/>
    </row>
    <row r="48">
      <c r="A48" s="137">
        <v>15139.0</v>
      </c>
      <c r="B48" s="138" t="s">
        <v>66</v>
      </c>
      <c r="C48" s="139">
        <f t="shared" si="40"/>
        <v>10337</v>
      </c>
      <c r="D48" s="145">
        <v>9071.0</v>
      </c>
      <c r="E48" s="141">
        <v>1266.0</v>
      </c>
      <c r="F48" s="142"/>
      <c r="G48" s="142"/>
      <c r="H48" s="143" t="s">
        <v>54</v>
      </c>
      <c r="I48" s="144"/>
      <c r="J48" s="144"/>
    </row>
    <row r="49">
      <c r="A49" s="146">
        <v>15140.0</v>
      </c>
      <c r="B49" s="147" t="s">
        <v>67</v>
      </c>
      <c r="C49" s="148">
        <f t="shared" si="40"/>
        <v>6164</v>
      </c>
      <c r="D49" s="149">
        <v>5267.0</v>
      </c>
      <c r="E49" s="150">
        <v>897.0</v>
      </c>
      <c r="F49" s="142"/>
      <c r="G49" s="142"/>
      <c r="H49" s="143"/>
      <c r="I49" s="144"/>
      <c r="J49" s="144"/>
    </row>
    <row r="50">
      <c r="A50" s="146">
        <v>15141.0</v>
      </c>
      <c r="B50" s="147" t="s">
        <v>68</v>
      </c>
      <c r="C50" s="148">
        <f t="shared" si="40"/>
        <v>9296</v>
      </c>
      <c r="D50" s="149">
        <v>8155.0</v>
      </c>
      <c r="E50" s="150">
        <v>1141.0</v>
      </c>
      <c r="F50" s="142"/>
      <c r="G50" s="142"/>
      <c r="H50" s="143"/>
      <c r="I50" s="144"/>
      <c r="J50" s="144"/>
    </row>
    <row r="51">
      <c r="A51" s="163">
        <v>15135.0</v>
      </c>
      <c r="B51" s="147" t="s">
        <v>69</v>
      </c>
      <c r="C51" s="148">
        <f t="shared" si="40"/>
        <v>6065</v>
      </c>
      <c r="D51" s="149">
        <v>5023.0</v>
      </c>
      <c r="E51" s="150">
        <v>1042.0</v>
      </c>
      <c r="F51" s="142"/>
      <c r="G51" s="142"/>
      <c r="H51" s="143"/>
      <c r="I51" s="144"/>
      <c r="J51" s="144"/>
    </row>
    <row r="52">
      <c r="A52" s="137">
        <v>13318.0</v>
      </c>
      <c r="B52" s="138" t="s">
        <v>70</v>
      </c>
      <c r="C52" s="139">
        <f t="shared" si="40"/>
        <v>21141</v>
      </c>
      <c r="D52" s="145">
        <v>16650.0</v>
      </c>
      <c r="E52" s="141">
        <v>4491.0</v>
      </c>
      <c r="F52" s="142"/>
      <c r="G52" s="142"/>
      <c r="H52" s="143" t="s">
        <v>54</v>
      </c>
      <c r="I52" s="144"/>
      <c r="J52" s="144"/>
    </row>
    <row r="53">
      <c r="A53" s="137">
        <v>13319.0</v>
      </c>
      <c r="B53" s="138" t="s">
        <v>71</v>
      </c>
      <c r="C53" s="139">
        <f t="shared" si="40"/>
        <v>17363</v>
      </c>
      <c r="D53" s="145">
        <v>14097.0</v>
      </c>
      <c r="E53" s="141">
        <v>3266.0</v>
      </c>
      <c r="F53" s="142"/>
      <c r="G53" s="142"/>
      <c r="H53" s="143" t="s">
        <v>54</v>
      </c>
      <c r="I53" s="144"/>
      <c r="J53" s="144"/>
    </row>
    <row r="54">
      <c r="A54" s="146">
        <v>13320.0</v>
      </c>
      <c r="B54" s="147" t="s">
        <v>72</v>
      </c>
      <c r="C54" s="148">
        <f t="shared" si="40"/>
        <v>26541</v>
      </c>
      <c r="D54" s="149">
        <v>21613.0</v>
      </c>
      <c r="E54" s="150">
        <v>4928.0</v>
      </c>
      <c r="F54" s="151"/>
      <c r="G54" s="142"/>
      <c r="H54" s="143"/>
      <c r="I54" s="144"/>
      <c r="J54" s="144"/>
    </row>
    <row r="55">
      <c r="A55" s="146">
        <v>13321.0</v>
      </c>
      <c r="B55" s="147" t="s">
        <v>73</v>
      </c>
      <c r="C55" s="148">
        <f t="shared" si="40"/>
        <v>29115</v>
      </c>
      <c r="D55" s="149">
        <v>22500.0</v>
      </c>
      <c r="E55" s="150">
        <v>6615.0</v>
      </c>
      <c r="F55" s="151"/>
      <c r="G55" s="142"/>
      <c r="H55" s="143"/>
      <c r="I55" s="144"/>
      <c r="J55" s="144"/>
    </row>
    <row r="56">
      <c r="A56" s="152">
        <v>13322.0</v>
      </c>
      <c r="B56" s="153" t="s">
        <v>74</v>
      </c>
      <c r="C56" s="154">
        <f t="shared" si="40"/>
        <v>30000</v>
      </c>
      <c r="D56" s="160">
        <v>22500.0</v>
      </c>
      <c r="E56" s="161">
        <v>7500.0</v>
      </c>
      <c r="F56" s="142"/>
      <c r="G56" s="142"/>
      <c r="H56" s="143"/>
      <c r="I56" s="144"/>
      <c r="J56" s="144"/>
    </row>
    <row r="57">
      <c r="A57" s="146">
        <v>14429.0</v>
      </c>
      <c r="B57" s="147" t="s">
        <v>75</v>
      </c>
      <c r="C57" s="148">
        <f t="shared" si="40"/>
        <v>2903</v>
      </c>
      <c r="D57" s="149">
        <v>2250.0</v>
      </c>
      <c r="E57" s="150">
        <v>653.0</v>
      </c>
      <c r="F57" s="142"/>
      <c r="G57" s="142"/>
      <c r="H57" s="143"/>
      <c r="I57" s="144"/>
      <c r="J57" s="144"/>
    </row>
    <row r="58">
      <c r="A58" s="137">
        <v>15143.0</v>
      </c>
      <c r="B58" s="138" t="s">
        <v>76</v>
      </c>
      <c r="C58" s="139">
        <f t="shared" si="40"/>
        <v>4063</v>
      </c>
      <c r="D58" s="145">
        <v>3315.0</v>
      </c>
      <c r="E58" s="141">
        <v>748.0</v>
      </c>
      <c r="F58" s="142"/>
      <c r="G58" s="142"/>
      <c r="H58" s="143" t="s">
        <v>54</v>
      </c>
      <c r="I58" s="144"/>
      <c r="J58" s="144"/>
    </row>
    <row r="59">
      <c r="A59" s="137">
        <v>15144.0</v>
      </c>
      <c r="B59" s="138" t="s">
        <v>77</v>
      </c>
      <c r="C59" s="139">
        <f t="shared" si="40"/>
        <v>2955</v>
      </c>
      <c r="D59" s="145">
        <v>2459.0</v>
      </c>
      <c r="E59" s="141">
        <v>496.0</v>
      </c>
      <c r="F59" s="142"/>
      <c r="G59" s="142"/>
      <c r="H59" s="143" t="s">
        <v>54</v>
      </c>
      <c r="I59" s="144"/>
      <c r="J59" s="144"/>
    </row>
    <row r="60">
      <c r="A60" s="146">
        <v>15145.0</v>
      </c>
      <c r="B60" s="147" t="s">
        <v>78</v>
      </c>
      <c r="C60" s="148">
        <f t="shared" si="40"/>
        <v>2146</v>
      </c>
      <c r="D60" s="149">
        <v>1865.0</v>
      </c>
      <c r="E60" s="150">
        <v>281.0</v>
      </c>
      <c r="F60" s="142"/>
      <c r="G60" s="142"/>
      <c r="H60" s="143"/>
      <c r="I60" s="144"/>
      <c r="J60" s="144"/>
    </row>
    <row r="61">
      <c r="A61" s="146">
        <v>15146.0</v>
      </c>
      <c r="B61" s="147" t="s">
        <v>79</v>
      </c>
      <c r="C61" s="148">
        <f t="shared" si="40"/>
        <v>1176</v>
      </c>
      <c r="D61" s="149">
        <v>1019.0</v>
      </c>
      <c r="E61" s="150">
        <v>157.0</v>
      </c>
      <c r="F61" s="142"/>
      <c r="G61" s="142"/>
      <c r="H61" s="143"/>
      <c r="I61" s="144"/>
      <c r="J61" s="144"/>
    </row>
    <row r="62">
      <c r="A62" s="163">
        <v>15142.0</v>
      </c>
      <c r="B62" s="147" t="s">
        <v>80</v>
      </c>
      <c r="C62" s="148">
        <f t="shared" si="40"/>
        <v>2854</v>
      </c>
      <c r="D62" s="149">
        <v>2424.0</v>
      </c>
      <c r="E62" s="150">
        <v>430.0</v>
      </c>
      <c r="F62" s="142"/>
      <c r="G62" s="142"/>
      <c r="H62" s="143"/>
      <c r="I62" s="144"/>
      <c r="J62" s="144"/>
    </row>
    <row r="63">
      <c r="A63" s="152">
        <v>13323.0</v>
      </c>
      <c r="B63" s="153" t="s">
        <v>81</v>
      </c>
      <c r="C63" s="154">
        <f t="shared" si="40"/>
        <v>30000</v>
      </c>
      <c r="D63" s="160">
        <v>22500.0</v>
      </c>
      <c r="E63" s="161">
        <v>7500.0</v>
      </c>
      <c r="F63" s="142"/>
      <c r="G63" s="142"/>
      <c r="H63" s="143"/>
      <c r="I63" s="144"/>
      <c r="J63" s="144"/>
    </row>
    <row r="64">
      <c r="A64" s="152">
        <v>13324.0</v>
      </c>
      <c r="B64" s="153" t="s">
        <v>82</v>
      </c>
      <c r="C64" s="154">
        <f t="shared" si="40"/>
        <v>30000</v>
      </c>
      <c r="D64" s="160">
        <v>22500.0</v>
      </c>
      <c r="E64" s="161">
        <v>7500.0</v>
      </c>
      <c r="F64" s="142"/>
      <c r="G64" s="142"/>
      <c r="H64" s="143"/>
      <c r="I64" s="144"/>
      <c r="J64" s="144"/>
    </row>
    <row r="65">
      <c r="A65" s="152">
        <v>13325.0</v>
      </c>
      <c r="B65" s="153" t="s">
        <v>83</v>
      </c>
      <c r="C65" s="154">
        <f t="shared" si="40"/>
        <v>30000</v>
      </c>
      <c r="D65" s="160">
        <v>22500.0</v>
      </c>
      <c r="E65" s="161">
        <v>7500.0</v>
      </c>
      <c r="F65" s="142"/>
      <c r="G65" s="142"/>
      <c r="H65" s="143"/>
      <c r="I65" s="144"/>
      <c r="J65" s="144"/>
    </row>
    <row r="66">
      <c r="A66" s="152">
        <v>13326.0</v>
      </c>
      <c r="B66" s="153" t="s">
        <v>84</v>
      </c>
      <c r="C66" s="154">
        <f t="shared" si="40"/>
        <v>30000</v>
      </c>
      <c r="D66" s="160">
        <v>22500.0</v>
      </c>
      <c r="E66" s="161">
        <v>7500.0</v>
      </c>
      <c r="F66" s="142"/>
      <c r="G66" s="142"/>
      <c r="H66" s="143"/>
      <c r="I66" s="144"/>
      <c r="J66" s="144"/>
    </row>
    <row r="67">
      <c r="A67" s="152">
        <v>13327.0</v>
      </c>
      <c r="B67" s="153" t="s">
        <v>85</v>
      </c>
      <c r="C67" s="154">
        <f t="shared" si="40"/>
        <v>30000</v>
      </c>
      <c r="D67" s="160">
        <v>22500.0</v>
      </c>
      <c r="E67" s="161">
        <v>7500.0</v>
      </c>
      <c r="F67" s="142"/>
      <c r="G67" s="142"/>
      <c r="H67" s="143"/>
      <c r="I67" s="144"/>
      <c r="J67" s="144"/>
    </row>
    <row r="68">
      <c r="A68" s="137">
        <v>14106.0</v>
      </c>
      <c r="B68" s="138" t="s">
        <v>86</v>
      </c>
      <c r="C68" s="139">
        <f t="shared" si="40"/>
        <v>33500</v>
      </c>
      <c r="D68" s="145">
        <v>26902.0</v>
      </c>
      <c r="E68" s="141">
        <v>6598.0</v>
      </c>
      <c r="F68" s="142"/>
      <c r="G68" s="142"/>
      <c r="H68" s="143" t="s">
        <v>54</v>
      </c>
      <c r="I68" s="144"/>
      <c r="J68" s="144"/>
    </row>
    <row r="69">
      <c r="A69" s="137">
        <v>14422.0</v>
      </c>
      <c r="B69" s="138" t="s">
        <v>87</v>
      </c>
      <c r="C69" s="139">
        <f t="shared" si="40"/>
        <v>24176</v>
      </c>
      <c r="D69" s="145">
        <v>19897.0</v>
      </c>
      <c r="E69" s="141">
        <v>4279.0</v>
      </c>
      <c r="F69" s="142"/>
      <c r="G69" s="142"/>
      <c r="H69" s="143" t="s">
        <v>54</v>
      </c>
      <c r="I69" s="144"/>
      <c r="J69" s="144"/>
    </row>
    <row r="70">
      <c r="A70" s="146">
        <v>13960.0</v>
      </c>
      <c r="B70" s="147" t="s">
        <v>88</v>
      </c>
      <c r="C70" s="148">
        <f t="shared" si="40"/>
        <v>27395</v>
      </c>
      <c r="D70" s="149">
        <v>22043.0</v>
      </c>
      <c r="E70" s="150">
        <v>5352.0</v>
      </c>
      <c r="F70" s="142"/>
      <c r="G70" s="142"/>
      <c r="H70" s="143"/>
      <c r="I70" s="144"/>
      <c r="J70" s="144"/>
    </row>
    <row r="71">
      <c r="A71" s="146">
        <v>13779.0</v>
      </c>
      <c r="B71" s="147" t="s">
        <v>89</v>
      </c>
      <c r="C71" s="148">
        <f t="shared" si="40"/>
        <v>24249</v>
      </c>
      <c r="D71" s="149">
        <v>19619.0</v>
      </c>
      <c r="E71" s="150">
        <v>4630.0</v>
      </c>
      <c r="F71" s="151"/>
      <c r="G71" s="142"/>
      <c r="H71" s="143"/>
      <c r="I71" s="144"/>
      <c r="J71" s="144"/>
    </row>
    <row r="72">
      <c r="A72" s="146">
        <v>13543.0</v>
      </c>
      <c r="B72" s="147" t="s">
        <v>90</v>
      </c>
      <c r="C72" s="148">
        <f t="shared" si="40"/>
        <v>35315</v>
      </c>
      <c r="D72" s="149">
        <v>27000.0</v>
      </c>
      <c r="E72" s="150">
        <v>8315.0</v>
      </c>
      <c r="F72" s="142"/>
      <c r="G72" s="142"/>
      <c r="H72" s="143"/>
      <c r="I72" s="144"/>
      <c r="J72" s="144"/>
    </row>
    <row r="73">
      <c r="A73" s="146">
        <v>13328.0</v>
      </c>
      <c r="B73" s="147" t="s">
        <v>91</v>
      </c>
      <c r="C73" s="148">
        <f t="shared" si="40"/>
        <v>30000</v>
      </c>
      <c r="D73" s="164">
        <v>22500.0</v>
      </c>
      <c r="E73" s="165">
        <v>7500.0</v>
      </c>
      <c r="F73" s="151"/>
      <c r="G73" s="142"/>
      <c r="H73" s="143"/>
      <c r="I73" s="144"/>
      <c r="J73" s="144"/>
    </row>
    <row r="74">
      <c r="A74" s="137">
        <v>13329.0</v>
      </c>
      <c r="B74" s="138" t="s">
        <v>92</v>
      </c>
      <c r="C74" s="139">
        <f t="shared" si="40"/>
        <v>30000</v>
      </c>
      <c r="D74" s="145">
        <v>22500.0</v>
      </c>
      <c r="E74" s="141">
        <v>7500.0</v>
      </c>
      <c r="F74" s="142"/>
      <c r="G74" s="142"/>
      <c r="H74" s="143" t="s">
        <v>54</v>
      </c>
      <c r="I74" s="144"/>
      <c r="J74" s="144"/>
    </row>
    <row r="75">
      <c r="A75" s="152">
        <v>13330.0</v>
      </c>
      <c r="B75" s="153" t="s">
        <v>93</v>
      </c>
      <c r="C75" s="154">
        <f t="shared" si="40"/>
        <v>30000</v>
      </c>
      <c r="D75" s="160">
        <v>22500.0</v>
      </c>
      <c r="E75" s="161">
        <v>7500.0</v>
      </c>
      <c r="F75" s="142"/>
      <c r="G75" s="142"/>
      <c r="H75" s="143"/>
      <c r="I75" s="144"/>
      <c r="J75" s="144"/>
    </row>
    <row r="76">
      <c r="A76" s="152">
        <v>13331.0</v>
      </c>
      <c r="B76" s="153" t="s">
        <v>94</v>
      </c>
      <c r="C76" s="154">
        <f t="shared" si="40"/>
        <v>30000</v>
      </c>
      <c r="D76" s="160">
        <v>22500.0</v>
      </c>
      <c r="E76" s="161">
        <v>7500.0</v>
      </c>
      <c r="F76" s="142"/>
      <c r="G76" s="142"/>
      <c r="H76" s="143"/>
      <c r="I76" s="144"/>
      <c r="J76" s="144"/>
    </row>
    <row r="77">
      <c r="A77" s="152">
        <v>13332.0</v>
      </c>
      <c r="B77" s="153" t="s">
        <v>95</v>
      </c>
      <c r="C77" s="154">
        <f t="shared" si="40"/>
        <v>30000</v>
      </c>
      <c r="D77" s="160">
        <v>22500.0</v>
      </c>
      <c r="E77" s="161">
        <v>7500.0</v>
      </c>
      <c r="F77" s="142"/>
      <c r="G77" s="142"/>
      <c r="H77" s="143"/>
      <c r="I77" s="144"/>
      <c r="J77" s="144"/>
    </row>
    <row r="78">
      <c r="A78" s="146">
        <v>14417.0</v>
      </c>
      <c r="B78" s="147" t="s">
        <v>96</v>
      </c>
      <c r="C78" s="148">
        <f t="shared" si="40"/>
        <v>3000</v>
      </c>
      <c r="D78" s="164">
        <v>2250.0</v>
      </c>
      <c r="E78" s="165">
        <v>750.0</v>
      </c>
      <c r="F78" s="142"/>
      <c r="G78" s="142"/>
      <c r="H78" s="143"/>
      <c r="I78" s="144"/>
      <c r="J78" s="144"/>
    </row>
    <row r="79">
      <c r="A79" s="146">
        <v>14418.0</v>
      </c>
      <c r="B79" s="147" t="s">
        <v>97</v>
      </c>
      <c r="C79" s="148">
        <f t="shared" si="40"/>
        <v>3000</v>
      </c>
      <c r="D79" s="164">
        <v>2250.0</v>
      </c>
      <c r="E79" s="165">
        <v>750.0</v>
      </c>
      <c r="F79" s="142"/>
      <c r="G79" s="142"/>
      <c r="H79" s="143"/>
      <c r="I79" s="144"/>
      <c r="J79" s="144"/>
    </row>
    <row r="80">
      <c r="A80" s="152">
        <v>14104.0</v>
      </c>
      <c r="B80" s="153" t="s">
        <v>98</v>
      </c>
      <c r="C80" s="154">
        <f t="shared" si="40"/>
        <v>3000</v>
      </c>
      <c r="D80" s="160">
        <v>2250.0</v>
      </c>
      <c r="E80" s="161">
        <v>750.0</v>
      </c>
      <c r="F80" s="142"/>
      <c r="G80" s="142"/>
      <c r="H80" s="143"/>
      <c r="I80" s="144"/>
      <c r="J80" s="144"/>
    </row>
    <row r="81">
      <c r="A81" s="152">
        <v>14105.0</v>
      </c>
      <c r="B81" s="153" t="s">
        <v>99</v>
      </c>
      <c r="C81" s="154">
        <f t="shared" si="40"/>
        <v>3000</v>
      </c>
      <c r="D81" s="160">
        <v>2250.0</v>
      </c>
      <c r="E81" s="161">
        <v>750.0</v>
      </c>
      <c r="F81" s="142"/>
      <c r="G81" s="142"/>
      <c r="H81" s="143"/>
      <c r="I81" s="144"/>
      <c r="J81" s="144"/>
    </row>
    <row r="82">
      <c r="A82" s="152">
        <v>13788.0</v>
      </c>
      <c r="B82" s="153" t="s">
        <v>100</v>
      </c>
      <c r="C82" s="154">
        <f t="shared" si="40"/>
        <v>3000</v>
      </c>
      <c r="D82" s="160">
        <v>2250.0</v>
      </c>
      <c r="E82" s="161">
        <v>750.0</v>
      </c>
      <c r="F82" s="142"/>
      <c r="G82" s="142"/>
      <c r="H82" s="143"/>
      <c r="I82" s="144"/>
      <c r="J82" s="144"/>
    </row>
    <row r="83">
      <c r="A83" s="137">
        <v>15148.0</v>
      </c>
      <c r="B83" s="138" t="s">
        <v>101</v>
      </c>
      <c r="C83" s="139">
        <f t="shared" si="40"/>
        <v>14696</v>
      </c>
      <c r="D83" s="145">
        <v>11249.0</v>
      </c>
      <c r="E83" s="141">
        <v>3447.0</v>
      </c>
      <c r="F83" s="151"/>
      <c r="G83" s="142"/>
      <c r="H83" s="143" t="s">
        <v>54</v>
      </c>
      <c r="I83" s="144"/>
      <c r="J83" s="144"/>
    </row>
    <row r="84">
      <c r="A84" s="137">
        <v>15149.0</v>
      </c>
      <c r="B84" s="138" t="s">
        <v>102</v>
      </c>
      <c r="C84" s="139">
        <f t="shared" si="40"/>
        <v>14636</v>
      </c>
      <c r="D84" s="145">
        <v>11250.0</v>
      </c>
      <c r="E84" s="141">
        <v>3386.0</v>
      </c>
      <c r="F84" s="142"/>
      <c r="G84" s="142"/>
      <c r="H84" s="143" t="s">
        <v>54</v>
      </c>
      <c r="I84" s="144"/>
      <c r="J84" s="144"/>
    </row>
    <row r="85">
      <c r="A85" s="146">
        <v>15150.0</v>
      </c>
      <c r="B85" s="147" t="s">
        <v>103</v>
      </c>
      <c r="C85" s="148">
        <f t="shared" si="40"/>
        <v>7297</v>
      </c>
      <c r="D85" s="149">
        <v>5913.0</v>
      </c>
      <c r="E85" s="150">
        <v>1384.0</v>
      </c>
      <c r="F85" s="142"/>
      <c r="G85" s="142"/>
      <c r="H85" s="143"/>
      <c r="I85" s="144"/>
      <c r="J85" s="144"/>
    </row>
    <row r="86">
      <c r="A86" s="146">
        <v>15151.0</v>
      </c>
      <c r="B86" s="147" t="s">
        <v>104</v>
      </c>
      <c r="C86" s="148">
        <f t="shared" si="40"/>
        <v>9095</v>
      </c>
      <c r="D86" s="149">
        <v>7384.0</v>
      </c>
      <c r="E86" s="150">
        <v>1711.0</v>
      </c>
      <c r="F86" s="142"/>
      <c r="G86" s="142"/>
      <c r="H86" s="143"/>
      <c r="I86" s="144"/>
      <c r="J86" s="144"/>
    </row>
    <row r="87">
      <c r="A87" s="163">
        <v>15147.0</v>
      </c>
      <c r="B87" s="147" t="s">
        <v>105</v>
      </c>
      <c r="C87" s="148">
        <f t="shared" si="40"/>
        <v>6967</v>
      </c>
      <c r="D87" s="149">
        <v>5542.0</v>
      </c>
      <c r="E87" s="150">
        <v>1425.0</v>
      </c>
      <c r="F87" s="142"/>
      <c r="G87" s="142"/>
      <c r="H87" s="143"/>
      <c r="I87" s="144"/>
      <c r="J87" s="144"/>
    </row>
    <row r="88">
      <c r="A88" s="137">
        <v>13333.0</v>
      </c>
      <c r="B88" s="138" t="s">
        <v>106</v>
      </c>
      <c r="C88" s="139">
        <f t="shared" si="40"/>
        <v>3451</v>
      </c>
      <c r="D88" s="145">
        <v>2702.0</v>
      </c>
      <c r="E88" s="141">
        <v>749.0</v>
      </c>
      <c r="F88" s="142"/>
      <c r="G88" s="142"/>
      <c r="H88" s="143" t="s">
        <v>54</v>
      </c>
      <c r="I88" s="144"/>
      <c r="J88" s="144"/>
    </row>
    <row r="89">
      <c r="A89" s="137">
        <v>13334.0</v>
      </c>
      <c r="B89" s="138" t="s">
        <v>107</v>
      </c>
      <c r="C89" s="139">
        <f t="shared" si="40"/>
        <v>2418</v>
      </c>
      <c r="D89" s="145">
        <v>1968.0</v>
      </c>
      <c r="E89" s="141">
        <v>450.0</v>
      </c>
      <c r="F89" s="142"/>
      <c r="G89" s="142"/>
      <c r="H89" s="143" t="s">
        <v>54</v>
      </c>
      <c r="I89" s="144"/>
      <c r="J89" s="144"/>
    </row>
    <row r="90">
      <c r="A90" s="137">
        <v>13335.0</v>
      </c>
      <c r="B90" s="138" t="s">
        <v>108</v>
      </c>
      <c r="C90" s="139">
        <f t="shared" si="40"/>
        <v>3294</v>
      </c>
      <c r="D90" s="145">
        <v>2735.0</v>
      </c>
      <c r="E90" s="141">
        <v>559.0</v>
      </c>
      <c r="F90" s="142"/>
      <c r="G90" s="142"/>
      <c r="H90" s="143" t="s">
        <v>54</v>
      </c>
      <c r="I90" s="144"/>
      <c r="J90" s="144"/>
    </row>
    <row r="91">
      <c r="A91" s="137">
        <v>13336.0</v>
      </c>
      <c r="B91" s="138" t="s">
        <v>109</v>
      </c>
      <c r="C91" s="139">
        <f t="shared" si="40"/>
        <v>5018</v>
      </c>
      <c r="D91" s="145">
        <v>4270.0</v>
      </c>
      <c r="E91" s="141">
        <v>748.0</v>
      </c>
      <c r="F91" s="142"/>
      <c r="G91" s="142"/>
      <c r="H91" s="143" t="s">
        <v>54</v>
      </c>
      <c r="I91" s="144"/>
      <c r="J91" s="144"/>
    </row>
    <row r="92">
      <c r="A92" s="146">
        <v>13337.0</v>
      </c>
      <c r="B92" s="147" t="s">
        <v>110</v>
      </c>
      <c r="C92" s="148">
        <f t="shared" si="40"/>
        <v>17433</v>
      </c>
      <c r="D92" s="150">
        <v>15206.0</v>
      </c>
      <c r="E92" s="150">
        <v>2227.0</v>
      </c>
      <c r="F92" s="151"/>
      <c r="G92" s="142"/>
      <c r="H92" s="143"/>
      <c r="I92" s="144"/>
      <c r="J92" s="144"/>
    </row>
    <row r="93">
      <c r="A93" s="152">
        <v>13338.0</v>
      </c>
      <c r="B93" s="153" t="s">
        <v>111</v>
      </c>
      <c r="C93" s="154">
        <f t="shared" si="40"/>
        <v>30000</v>
      </c>
      <c r="D93" s="160">
        <v>22500.0</v>
      </c>
      <c r="E93" s="161">
        <v>7500.0</v>
      </c>
      <c r="F93" s="142"/>
      <c r="G93" s="142"/>
      <c r="H93" s="143"/>
      <c r="I93" s="144"/>
      <c r="J93" s="144"/>
    </row>
    <row r="94">
      <c r="A94" s="152">
        <v>13339.0</v>
      </c>
      <c r="B94" s="153" t="s">
        <v>112</v>
      </c>
      <c r="C94" s="154">
        <f t="shared" si="40"/>
        <v>30000</v>
      </c>
      <c r="D94" s="160">
        <v>22500.0</v>
      </c>
      <c r="E94" s="161">
        <v>7500.0</v>
      </c>
      <c r="F94" s="142"/>
      <c r="G94" s="142"/>
      <c r="H94" s="143"/>
      <c r="I94" s="144"/>
      <c r="J94" s="144"/>
    </row>
    <row r="95">
      <c r="A95" s="152">
        <v>13437.0</v>
      </c>
      <c r="B95" s="153" t="s">
        <v>113</v>
      </c>
      <c r="C95" s="154">
        <f t="shared" si="40"/>
        <v>30000</v>
      </c>
      <c r="D95" s="160">
        <v>22500.0</v>
      </c>
      <c r="E95" s="161">
        <v>7500.0</v>
      </c>
      <c r="F95" s="142"/>
      <c r="G95" s="142"/>
      <c r="H95" s="143"/>
      <c r="I95" s="144"/>
      <c r="J95" s="144"/>
    </row>
    <row r="96">
      <c r="A96" s="152">
        <v>13341.0</v>
      </c>
      <c r="B96" s="153" t="s">
        <v>114</v>
      </c>
      <c r="C96" s="154">
        <f t="shared" si="40"/>
        <v>30000</v>
      </c>
      <c r="D96" s="160">
        <v>22500.0</v>
      </c>
      <c r="E96" s="161">
        <v>7500.0</v>
      </c>
      <c r="F96" s="142"/>
      <c r="G96" s="142"/>
      <c r="H96" s="143"/>
      <c r="I96" s="144"/>
      <c r="J96" s="144"/>
    </row>
    <row r="97">
      <c r="A97" s="152">
        <v>13342.0</v>
      </c>
      <c r="B97" s="153" t="s">
        <v>115</v>
      </c>
      <c r="C97" s="154">
        <f t="shared" si="40"/>
        <v>30000</v>
      </c>
      <c r="D97" s="160">
        <v>22500.0</v>
      </c>
      <c r="E97" s="161">
        <v>7500.0</v>
      </c>
      <c r="F97" s="142"/>
      <c r="G97" s="142"/>
      <c r="H97" s="143"/>
      <c r="I97" s="144"/>
      <c r="J97" s="144"/>
    </row>
    <row r="98">
      <c r="A98" s="137">
        <v>14405.0</v>
      </c>
      <c r="B98" s="138" t="s">
        <v>116</v>
      </c>
      <c r="C98" s="139">
        <f t="shared" si="40"/>
        <v>15960</v>
      </c>
      <c r="D98" s="145">
        <v>13322.0</v>
      </c>
      <c r="E98" s="141">
        <v>2638.0</v>
      </c>
      <c r="F98" s="142"/>
      <c r="G98" s="142"/>
      <c r="H98" s="143" t="s">
        <v>54</v>
      </c>
      <c r="I98" s="144"/>
      <c r="J98" s="144"/>
    </row>
    <row r="99">
      <c r="A99" s="137">
        <v>14406.0</v>
      </c>
      <c r="B99" s="138" t="s">
        <v>117</v>
      </c>
      <c r="C99" s="139">
        <f t="shared" si="40"/>
        <v>16105</v>
      </c>
      <c r="D99" s="145">
        <v>13537.0</v>
      </c>
      <c r="E99" s="141">
        <v>2568.0</v>
      </c>
      <c r="F99" s="142"/>
      <c r="G99" s="142"/>
      <c r="H99" s="143" t="s">
        <v>54</v>
      </c>
      <c r="I99" s="144"/>
      <c r="J99" s="144"/>
    </row>
    <row r="100">
      <c r="A100" s="146">
        <v>13780.0</v>
      </c>
      <c r="B100" s="147" t="s">
        <v>118</v>
      </c>
      <c r="C100" s="148">
        <f t="shared" si="40"/>
        <v>33429</v>
      </c>
      <c r="D100" s="149">
        <v>27166.0</v>
      </c>
      <c r="E100" s="150">
        <v>6263.0</v>
      </c>
      <c r="F100" s="151"/>
      <c r="G100" s="142"/>
      <c r="H100" s="143"/>
      <c r="I100" s="144"/>
      <c r="J100" s="144"/>
    </row>
    <row r="101">
      <c r="A101" s="146">
        <v>14407.0</v>
      </c>
      <c r="B101" s="147" t="s">
        <v>119</v>
      </c>
      <c r="C101" s="148">
        <f t="shared" si="40"/>
        <v>31789</v>
      </c>
      <c r="D101" s="149">
        <v>26553.0</v>
      </c>
      <c r="E101" s="150">
        <v>5236.0</v>
      </c>
      <c r="F101" s="142"/>
      <c r="G101" s="142"/>
      <c r="H101" s="143"/>
      <c r="I101" s="144"/>
      <c r="J101" s="144"/>
    </row>
    <row r="102">
      <c r="A102" s="146">
        <v>13792.0</v>
      </c>
      <c r="B102" s="147" t="s">
        <v>120</v>
      </c>
      <c r="C102" s="148">
        <f t="shared" si="40"/>
        <v>41307</v>
      </c>
      <c r="D102" s="149">
        <v>31500.0</v>
      </c>
      <c r="E102" s="150">
        <v>9807.0</v>
      </c>
      <c r="F102" s="142"/>
      <c r="G102" s="142"/>
      <c r="H102" s="143"/>
      <c r="I102" s="144"/>
      <c r="J102" s="144"/>
    </row>
    <row r="103">
      <c r="A103" s="166" t="s">
        <v>19</v>
      </c>
      <c r="B103" s="6"/>
      <c r="C103" s="167">
        <f t="shared" ref="C103:G103" si="41">SUM(C38:C102)</f>
        <v>1172575</v>
      </c>
      <c r="D103" s="167">
        <f t="shared" si="41"/>
        <v>911083</v>
      </c>
      <c r="E103" s="167">
        <f t="shared" si="41"/>
        <v>261492</v>
      </c>
      <c r="F103" s="167">
        <f t="shared" si="41"/>
        <v>0</v>
      </c>
      <c r="G103" s="167">
        <f t="shared" si="41"/>
        <v>0</v>
      </c>
    </row>
    <row r="104">
      <c r="D104" s="99">
        <f>D103/C103</f>
        <v>0.7769933693</v>
      </c>
      <c r="E104" s="99">
        <f>E103/C103</f>
        <v>0.2230066307</v>
      </c>
    </row>
  </sheetData>
  <mergeCells count="23">
    <mergeCell ref="A4:A8"/>
    <mergeCell ref="A9:B9"/>
    <mergeCell ref="A14:B16"/>
    <mergeCell ref="A17:A31"/>
    <mergeCell ref="A32:B32"/>
    <mergeCell ref="A103:B103"/>
    <mergeCell ref="A1:B3"/>
    <mergeCell ref="C1:N1"/>
    <mergeCell ref="O1:P2"/>
    <mergeCell ref="C2:D2"/>
    <mergeCell ref="E2:F2"/>
    <mergeCell ref="G2:H2"/>
    <mergeCell ref="I2:J2"/>
    <mergeCell ref="I15:J15"/>
    <mergeCell ref="K15:L15"/>
    <mergeCell ref="K2:L2"/>
    <mergeCell ref="M2:N2"/>
    <mergeCell ref="C14:N14"/>
    <mergeCell ref="O14:P15"/>
    <mergeCell ref="C15:D15"/>
    <mergeCell ref="E15:F15"/>
    <mergeCell ref="G15:H15"/>
    <mergeCell ref="M15:N15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25"/>
  </cols>
  <sheetData>
    <row r="1">
      <c r="A1" s="168">
        <v>44519.583333333336</v>
      </c>
      <c r="B1" s="169"/>
      <c r="C1" s="170" t="s">
        <v>26</v>
      </c>
      <c r="D1" s="5"/>
      <c r="E1" s="5"/>
      <c r="F1" s="5"/>
      <c r="G1" s="5"/>
      <c r="H1" s="5"/>
      <c r="I1" s="5"/>
      <c r="J1" s="5"/>
      <c r="K1" s="5"/>
      <c r="L1" s="5"/>
      <c r="M1" s="5"/>
      <c r="N1" s="6"/>
      <c r="O1" s="171" t="s">
        <v>19</v>
      </c>
      <c r="P1" s="172"/>
    </row>
    <row r="2">
      <c r="A2" s="173"/>
      <c r="B2" s="56"/>
      <c r="C2" s="170" t="s">
        <v>13</v>
      </c>
      <c r="D2" s="6"/>
      <c r="E2" s="170" t="s">
        <v>14</v>
      </c>
      <c r="F2" s="6"/>
      <c r="G2" s="170" t="s">
        <v>15</v>
      </c>
      <c r="H2" s="6"/>
      <c r="I2" s="170" t="s">
        <v>16</v>
      </c>
      <c r="J2" s="6"/>
      <c r="K2" s="170" t="s">
        <v>17</v>
      </c>
      <c r="L2" s="6"/>
      <c r="M2" s="170" t="s">
        <v>18</v>
      </c>
      <c r="N2" s="6"/>
      <c r="O2" s="174"/>
      <c r="P2" s="175"/>
    </row>
    <row r="3">
      <c r="A3" s="176"/>
      <c r="B3" s="177"/>
      <c r="C3" s="178" t="s">
        <v>121</v>
      </c>
      <c r="D3" s="178" t="s">
        <v>28</v>
      </c>
      <c r="E3" s="178" t="s">
        <v>121</v>
      </c>
      <c r="F3" s="178" t="s">
        <v>28</v>
      </c>
      <c r="G3" s="178" t="s">
        <v>121</v>
      </c>
      <c r="H3" s="178" t="s">
        <v>28</v>
      </c>
      <c r="I3" s="178" t="s">
        <v>121</v>
      </c>
      <c r="J3" s="178" t="s">
        <v>28</v>
      </c>
      <c r="K3" s="178" t="s">
        <v>121</v>
      </c>
      <c r="L3" s="178" t="s">
        <v>28</v>
      </c>
      <c r="M3" s="178" t="s">
        <v>121</v>
      </c>
      <c r="N3" s="170" t="s">
        <v>28</v>
      </c>
      <c r="O3" s="179" t="s">
        <v>121</v>
      </c>
      <c r="P3" s="180" t="s">
        <v>28</v>
      </c>
      <c r="R3" s="36" t="s">
        <v>122</v>
      </c>
      <c r="S3" s="36" t="s">
        <v>123</v>
      </c>
    </row>
    <row r="4">
      <c r="A4" s="181" t="s">
        <v>29</v>
      </c>
      <c r="B4" s="74" t="s">
        <v>30</v>
      </c>
      <c r="C4" s="182">
        <f t="shared" ref="C4:C8" si="1">C17+C22+C27</f>
        <v>159.9511111</v>
      </c>
      <c r="D4" s="183">
        <f t="shared" ref="D4:D8" si="2">C4/($C$10/5)</f>
        <v>1.088102797</v>
      </c>
      <c r="E4" s="184">
        <f t="shared" ref="E4:E8" si="3">E17+E22+E27</f>
        <v>13.66138889</v>
      </c>
      <c r="F4" s="183">
        <f t="shared" ref="F4:F8" si="4">E4/($E$10/5)</f>
        <v>0.650542328</v>
      </c>
      <c r="G4" s="182">
        <f t="shared" ref="G4:G8" si="5">G17+G22+G27</f>
        <v>166.0541667</v>
      </c>
      <c r="H4" s="183">
        <f>G4/(G$10/5)</f>
        <v>1.129620181</v>
      </c>
      <c r="I4" s="182">
        <f t="shared" ref="I4:I8" si="6">I17+I22+I27</f>
        <v>230.38</v>
      </c>
      <c r="J4" s="183">
        <f t="shared" ref="J4:J8" si="7">I4/(I$10/5)</f>
        <v>1.097047619</v>
      </c>
      <c r="K4" s="185">
        <f t="shared" ref="K4:K8" si="8">K17+K22+K27</f>
        <v>95.49444444</v>
      </c>
      <c r="L4" s="186">
        <f t="shared" ref="L4:L8" si="9">K4/(K$10/5)</f>
        <v>0.9094708995</v>
      </c>
      <c r="M4" s="185">
        <f t="shared" ref="M4:M8" si="10">M17+M22+M27</f>
        <v>169.5747222</v>
      </c>
      <c r="N4" s="187">
        <f t="shared" ref="N4:N8" si="11">M4/(M$10/5)</f>
        <v>0.8074986772</v>
      </c>
      <c r="O4" s="188">
        <f t="shared" ref="O4:O8" si="12">O17+O22+O27</f>
        <v>835.1158333</v>
      </c>
      <c r="P4" s="189">
        <f t="shared" ref="P4:P8" si="13">O4/(O$10/5)</f>
        <v>1.043894792</v>
      </c>
      <c r="Q4" s="190">
        <f t="shared" ref="Q4:Q5" si="14">$O$10/5-O4</f>
        <v>-35.11583333</v>
      </c>
    </row>
    <row r="5">
      <c r="A5" s="191"/>
      <c r="B5" s="74" t="s">
        <v>31</v>
      </c>
      <c r="C5" s="185">
        <f t="shared" si="1"/>
        <v>160.0777778</v>
      </c>
      <c r="D5" s="186">
        <f t="shared" si="2"/>
        <v>1.088964475</v>
      </c>
      <c r="E5" s="185">
        <f t="shared" si="3"/>
        <v>9.8775</v>
      </c>
      <c r="F5" s="186">
        <f t="shared" si="4"/>
        <v>0.4703571429</v>
      </c>
      <c r="G5" s="185">
        <f t="shared" si="5"/>
        <v>175.1555556</v>
      </c>
      <c r="H5" s="186">
        <f t="shared" ref="H5:H8" si="15">G5/($G$10/5)</f>
        <v>1.191534392</v>
      </c>
      <c r="I5" s="185">
        <f t="shared" si="6"/>
        <v>207.9738889</v>
      </c>
      <c r="J5" s="186">
        <f t="shared" si="7"/>
        <v>0.9903518519</v>
      </c>
      <c r="K5" s="185">
        <f t="shared" si="8"/>
        <v>80.87638889</v>
      </c>
      <c r="L5" s="186">
        <f t="shared" si="9"/>
        <v>0.7702513228</v>
      </c>
      <c r="M5" s="185">
        <f t="shared" si="10"/>
        <v>176.5713889</v>
      </c>
      <c r="N5" s="187">
        <f t="shared" si="11"/>
        <v>0.8408161376</v>
      </c>
      <c r="O5" s="188">
        <f t="shared" si="12"/>
        <v>810.5325</v>
      </c>
      <c r="P5" s="189">
        <f t="shared" si="13"/>
        <v>1.013165625</v>
      </c>
      <c r="Q5" s="190">
        <f t="shared" si="14"/>
        <v>-10.5325</v>
      </c>
      <c r="R5" s="192">
        <f>C108</f>
        <v>22.22083333</v>
      </c>
      <c r="S5" s="36">
        <v>30.0</v>
      </c>
      <c r="T5" s="190">
        <f>Q5-R5-S5</f>
        <v>-62.75333333</v>
      </c>
    </row>
    <row r="6">
      <c r="A6" s="191"/>
      <c r="B6" s="74" t="s">
        <v>32</v>
      </c>
      <c r="C6" s="185">
        <f t="shared" si="1"/>
        <v>151.7536111</v>
      </c>
      <c r="D6" s="186">
        <f t="shared" si="2"/>
        <v>1.032337491</v>
      </c>
      <c r="E6" s="193">
        <f t="shared" si="3"/>
        <v>12.62138889</v>
      </c>
      <c r="F6" s="194">
        <f t="shared" si="4"/>
        <v>0.6010185185</v>
      </c>
      <c r="G6" s="185">
        <f t="shared" si="5"/>
        <v>139.7333333</v>
      </c>
      <c r="H6" s="186">
        <f t="shared" si="15"/>
        <v>0.9505668934</v>
      </c>
      <c r="I6" s="185">
        <f t="shared" si="6"/>
        <v>202.4811111</v>
      </c>
      <c r="J6" s="186">
        <f t="shared" si="7"/>
        <v>0.9641957672</v>
      </c>
      <c r="K6" s="185">
        <f t="shared" si="8"/>
        <v>106.6666667</v>
      </c>
      <c r="L6" s="186">
        <f t="shared" si="9"/>
        <v>1.015873016</v>
      </c>
      <c r="M6" s="185">
        <f t="shared" si="10"/>
        <v>236.4780556</v>
      </c>
      <c r="N6" s="187">
        <f t="shared" si="11"/>
        <v>1.126085979</v>
      </c>
      <c r="O6" s="188">
        <f t="shared" si="12"/>
        <v>849.7341667</v>
      </c>
      <c r="P6" s="189">
        <f t="shared" si="13"/>
        <v>1.062167708</v>
      </c>
    </row>
    <row r="7">
      <c r="A7" s="191"/>
      <c r="B7" s="74" t="s">
        <v>33</v>
      </c>
      <c r="C7" s="185">
        <f t="shared" si="1"/>
        <v>175.5252778</v>
      </c>
      <c r="D7" s="186">
        <f t="shared" si="2"/>
        <v>1.194049509</v>
      </c>
      <c r="E7" s="185">
        <f t="shared" si="3"/>
        <v>20.69583333</v>
      </c>
      <c r="F7" s="186">
        <f t="shared" si="4"/>
        <v>0.985515873</v>
      </c>
      <c r="G7" s="185">
        <f t="shared" si="5"/>
        <v>153.4602778</v>
      </c>
      <c r="H7" s="186">
        <f t="shared" si="15"/>
        <v>1.043947468</v>
      </c>
      <c r="I7" s="185">
        <f t="shared" si="6"/>
        <v>200.8105556</v>
      </c>
      <c r="J7" s="186">
        <f t="shared" si="7"/>
        <v>0.9562407407</v>
      </c>
      <c r="K7" s="185">
        <f t="shared" si="8"/>
        <v>121.5594444</v>
      </c>
      <c r="L7" s="186">
        <f t="shared" si="9"/>
        <v>1.157708995</v>
      </c>
      <c r="M7" s="185">
        <f t="shared" si="10"/>
        <v>234.9908333</v>
      </c>
      <c r="N7" s="187">
        <f t="shared" si="11"/>
        <v>1.119003968</v>
      </c>
      <c r="O7" s="188">
        <f t="shared" si="12"/>
        <v>907.0422222</v>
      </c>
      <c r="P7" s="189">
        <f t="shared" si="13"/>
        <v>1.133802778</v>
      </c>
      <c r="R7" s="190">
        <f>C107</f>
        <v>28.92138889</v>
      </c>
    </row>
    <row r="8">
      <c r="A8" s="195"/>
      <c r="B8" s="181" t="s">
        <v>34</v>
      </c>
      <c r="C8" s="196">
        <f t="shared" si="1"/>
        <v>143.2194444</v>
      </c>
      <c r="D8" s="197">
        <f t="shared" si="2"/>
        <v>0.974281935</v>
      </c>
      <c r="E8" s="196">
        <f t="shared" si="3"/>
        <v>69.05361111</v>
      </c>
      <c r="F8" s="197">
        <f t="shared" si="4"/>
        <v>3.288267196</v>
      </c>
      <c r="G8" s="196">
        <f t="shared" si="5"/>
        <v>138.1097222</v>
      </c>
      <c r="H8" s="197">
        <f t="shared" si="15"/>
        <v>0.9395219199</v>
      </c>
      <c r="I8" s="196">
        <f t="shared" si="6"/>
        <v>229.7325</v>
      </c>
      <c r="J8" s="197">
        <f t="shared" si="7"/>
        <v>1.093964286</v>
      </c>
      <c r="K8" s="196">
        <f t="shared" si="8"/>
        <v>136.3155556</v>
      </c>
      <c r="L8" s="197">
        <f t="shared" si="9"/>
        <v>1.298243386</v>
      </c>
      <c r="M8" s="196">
        <f t="shared" si="10"/>
        <v>255.8861111</v>
      </c>
      <c r="N8" s="198">
        <f t="shared" si="11"/>
        <v>1.218505291</v>
      </c>
      <c r="O8" s="199">
        <f t="shared" si="12"/>
        <v>972.3169444</v>
      </c>
      <c r="P8" s="200">
        <f t="shared" si="13"/>
        <v>1.215396181</v>
      </c>
      <c r="R8" s="190">
        <f>C109</f>
        <v>23.63694444</v>
      </c>
    </row>
    <row r="9">
      <c r="A9" s="201" t="s">
        <v>19</v>
      </c>
      <c r="B9" s="202"/>
      <c r="C9" s="203">
        <f>sum(C4:C8)</f>
        <v>790.5272222</v>
      </c>
      <c r="D9" s="204">
        <f>C9/C10</f>
        <v>1.075547241</v>
      </c>
      <c r="E9" s="203">
        <f>sum(E4:E8)</f>
        <v>125.9097222</v>
      </c>
      <c r="F9" s="204">
        <f>E9/E10</f>
        <v>1.199140212</v>
      </c>
      <c r="G9" s="203">
        <f>sum(G4:G8)</f>
        <v>772.5130556</v>
      </c>
      <c r="H9" s="204">
        <f>G9/G10</f>
        <v>1.051038171</v>
      </c>
      <c r="I9" s="203">
        <f>sum(I4:I8)</f>
        <v>1071.378056</v>
      </c>
      <c r="J9" s="204">
        <f>I9/I10</f>
        <v>1.020360053</v>
      </c>
      <c r="K9" s="203">
        <f>sum(K4:K8)</f>
        <v>540.9125</v>
      </c>
      <c r="L9" s="204">
        <f>K9/K10</f>
        <v>1.030309524</v>
      </c>
      <c r="M9" s="203">
        <f>sum(M4:M8)</f>
        <v>1073.501111</v>
      </c>
      <c r="N9" s="205">
        <f>M9/M10</f>
        <v>1.022382011</v>
      </c>
      <c r="O9" s="206">
        <f>sum(O4:O8)</f>
        <v>4374.741667</v>
      </c>
      <c r="P9" s="207">
        <f>O9/O10</f>
        <v>1.093685417</v>
      </c>
    </row>
    <row r="10">
      <c r="A10" s="208" t="s">
        <v>124</v>
      </c>
      <c r="B10" s="177"/>
      <c r="C10" s="209">
        <v>735.0</v>
      </c>
      <c r="D10" s="210"/>
      <c r="E10" s="209">
        <v>105.0</v>
      </c>
      <c r="F10" s="210"/>
      <c r="G10" s="209">
        <v>735.0</v>
      </c>
      <c r="H10" s="210"/>
      <c r="I10" s="209">
        <v>1050.0</v>
      </c>
      <c r="J10" s="210"/>
      <c r="K10" s="209">
        <v>525.0</v>
      </c>
      <c r="L10" s="210"/>
      <c r="M10" s="209">
        <v>1050.0</v>
      </c>
      <c r="N10" s="210"/>
      <c r="O10" s="209">
        <v>4000.0</v>
      </c>
      <c r="P10" s="210"/>
    </row>
    <row r="11">
      <c r="B11" s="211"/>
      <c r="D11" s="212"/>
      <c r="F11" s="212"/>
      <c r="H11" s="212"/>
      <c r="J11" s="212"/>
      <c r="L11" s="212"/>
      <c r="N11" s="212"/>
      <c r="P11" s="212"/>
    </row>
    <row r="12">
      <c r="B12" s="36"/>
    </row>
    <row r="13">
      <c r="B13" s="36"/>
      <c r="C13" s="190"/>
      <c r="D13" s="99"/>
      <c r="E13" s="190"/>
      <c r="F13" s="99"/>
      <c r="G13" s="190"/>
      <c r="H13" s="99"/>
      <c r="I13" s="190"/>
      <c r="J13" s="99"/>
      <c r="K13" s="190"/>
      <c r="L13" s="99"/>
      <c r="M13" s="190"/>
      <c r="N13" s="99"/>
      <c r="O13" s="190"/>
      <c r="P13" s="99"/>
    </row>
    <row r="14" ht="18.0" customHeight="1">
      <c r="A14" s="168">
        <v>44519.583333333336</v>
      </c>
      <c r="B14" s="169"/>
      <c r="C14" s="52" t="s">
        <v>26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101"/>
      <c r="O14" s="53" t="s">
        <v>19</v>
      </c>
      <c r="P14" s="54"/>
    </row>
    <row r="15" ht="18.0" customHeight="1">
      <c r="A15" s="173"/>
      <c r="B15" s="56"/>
      <c r="C15" s="57" t="s">
        <v>13</v>
      </c>
      <c r="D15" s="6"/>
      <c r="E15" s="57" t="s">
        <v>14</v>
      </c>
      <c r="F15" s="6"/>
      <c r="G15" s="57" t="s">
        <v>15</v>
      </c>
      <c r="H15" s="6"/>
      <c r="I15" s="57" t="s">
        <v>16</v>
      </c>
      <c r="J15" s="6"/>
      <c r="K15" s="57" t="s">
        <v>17</v>
      </c>
      <c r="L15" s="6"/>
      <c r="M15" s="57" t="s">
        <v>18</v>
      </c>
      <c r="N15" s="6"/>
      <c r="O15" s="59"/>
      <c r="P15" s="60"/>
    </row>
    <row r="16" ht="18.0" customHeight="1">
      <c r="A16" s="176"/>
      <c r="B16" s="177"/>
      <c r="C16" s="64" t="s">
        <v>125</v>
      </c>
      <c r="D16" s="63" t="s">
        <v>28</v>
      </c>
      <c r="E16" s="64" t="s">
        <v>125</v>
      </c>
      <c r="F16" s="63" t="s">
        <v>28</v>
      </c>
      <c r="G16" s="64" t="s">
        <v>125</v>
      </c>
      <c r="H16" s="63" t="s">
        <v>28</v>
      </c>
      <c r="I16" s="64" t="s">
        <v>125</v>
      </c>
      <c r="J16" s="63" t="s">
        <v>28</v>
      </c>
      <c r="K16" s="64" t="s">
        <v>125</v>
      </c>
      <c r="L16" s="63" t="s">
        <v>28</v>
      </c>
      <c r="M16" s="64" t="s">
        <v>125</v>
      </c>
      <c r="N16" s="102" t="s">
        <v>28</v>
      </c>
      <c r="O16" s="213" t="s">
        <v>125</v>
      </c>
      <c r="P16" s="66" t="s">
        <v>28</v>
      </c>
    </row>
    <row r="17" ht="18.0" customHeight="1">
      <c r="A17" s="104" t="s">
        <v>29</v>
      </c>
      <c r="B17" s="105" t="s">
        <v>30</v>
      </c>
      <c r="C17" s="214">
        <f t="shared" ref="C17:C22" si="16">C38</f>
        <v>118.7202778</v>
      </c>
      <c r="D17" s="215">
        <f t="shared" ref="D17:D21" si="17">C17/30000</f>
        <v>0.003957342593</v>
      </c>
      <c r="E17" s="214">
        <f t="shared" ref="E17:E21" si="18">C88</f>
        <v>13.66138889</v>
      </c>
      <c r="F17" s="215">
        <f t="shared" ref="F17:F21" si="19">E17/30000</f>
        <v>0.0004553796296</v>
      </c>
      <c r="G17" s="214">
        <f t="shared" ref="G17:G31" si="20">C73</f>
        <v>104.1466667</v>
      </c>
      <c r="H17" s="215">
        <f t="shared" ref="H17:H21" si="21">G17/30000</f>
        <v>0.003471555556</v>
      </c>
      <c r="I17" s="214">
        <f t="shared" ref="I17:I26" si="22">C63</f>
        <v>110.5427778</v>
      </c>
      <c r="J17" s="215">
        <f t="shared" ref="J17:J21" si="23">I17/30000</f>
        <v>0.003684759259</v>
      </c>
      <c r="K17" s="214">
        <f t="shared" ref="K17:K21" si="24">C52</f>
        <v>80.42083333</v>
      </c>
      <c r="L17" s="215">
        <f t="shared" ref="L17:L21" si="25">K17/30000</f>
        <v>0.002680694444</v>
      </c>
      <c r="M17" s="214">
        <f t="shared" ref="M17:M26" si="26">C93</f>
        <v>113.0394444</v>
      </c>
      <c r="N17" s="216">
        <f t="shared" ref="N17:N21" si="27">M17/30000</f>
        <v>0.003767981481</v>
      </c>
      <c r="O17" s="217">
        <f t="shared" ref="O17:O31" si="28">sum(C17,E17,G17,I17,K17,M17)</f>
        <v>540.5313889</v>
      </c>
      <c r="P17" s="218">
        <f t="shared" ref="P17:P21" si="29">O17/180000</f>
        <v>0.00300295216</v>
      </c>
    </row>
    <row r="18" ht="18.0" customHeight="1">
      <c r="A18" s="55"/>
      <c r="B18" s="112" t="s">
        <v>31</v>
      </c>
      <c r="C18" s="219">
        <f t="shared" si="16"/>
        <v>119.3177778</v>
      </c>
      <c r="D18" s="186">
        <f t="shared" si="17"/>
        <v>0.003977259259</v>
      </c>
      <c r="E18" s="220">
        <f t="shared" si="18"/>
        <v>9.8775</v>
      </c>
      <c r="F18" s="186">
        <f t="shared" si="19"/>
        <v>0.00032925</v>
      </c>
      <c r="G18" s="219">
        <f t="shared" si="20"/>
        <v>109.3844444</v>
      </c>
      <c r="H18" s="186">
        <f t="shared" si="21"/>
        <v>0.003646148148</v>
      </c>
      <c r="I18" s="219">
        <f t="shared" si="22"/>
        <v>114.7930556</v>
      </c>
      <c r="J18" s="186">
        <f t="shared" si="23"/>
        <v>0.003826435185</v>
      </c>
      <c r="K18" s="219">
        <f t="shared" si="24"/>
        <v>68.81083333</v>
      </c>
      <c r="L18" s="186">
        <f t="shared" si="25"/>
        <v>0.002293694444</v>
      </c>
      <c r="M18" s="220">
        <f t="shared" si="26"/>
        <v>115.8416667</v>
      </c>
      <c r="N18" s="221">
        <f t="shared" si="27"/>
        <v>0.003861388889</v>
      </c>
      <c r="O18" s="222">
        <f t="shared" si="28"/>
        <v>538.0252778</v>
      </c>
      <c r="P18" s="223">
        <f t="shared" si="29"/>
        <v>0.002989029321</v>
      </c>
    </row>
    <row r="19" ht="18.0" customHeight="1">
      <c r="A19" s="55"/>
      <c r="B19" s="112" t="s">
        <v>32</v>
      </c>
      <c r="C19" s="219">
        <f t="shared" si="16"/>
        <v>117.1825</v>
      </c>
      <c r="D19" s="186">
        <f t="shared" si="17"/>
        <v>0.003906083333</v>
      </c>
      <c r="E19" s="224">
        <f t="shared" si="18"/>
        <v>12.62138889</v>
      </c>
      <c r="F19" s="194">
        <f t="shared" si="19"/>
        <v>0.000420712963</v>
      </c>
      <c r="G19" s="219">
        <f t="shared" si="20"/>
        <v>103.2497222</v>
      </c>
      <c r="H19" s="186">
        <f t="shared" si="21"/>
        <v>0.003441657407</v>
      </c>
      <c r="I19" s="219">
        <f t="shared" si="22"/>
        <v>107.21</v>
      </c>
      <c r="J19" s="186">
        <f t="shared" si="23"/>
        <v>0.003573666667</v>
      </c>
      <c r="K19" s="219">
        <f t="shared" si="24"/>
        <v>98.90944444</v>
      </c>
      <c r="L19" s="186">
        <f t="shared" si="25"/>
        <v>0.003296981481</v>
      </c>
      <c r="M19" s="220">
        <f t="shared" si="26"/>
        <v>116.8047222</v>
      </c>
      <c r="N19" s="221">
        <f t="shared" si="27"/>
        <v>0.003893490741</v>
      </c>
      <c r="O19" s="222">
        <f t="shared" si="28"/>
        <v>555.9777778</v>
      </c>
      <c r="P19" s="223">
        <f t="shared" si="29"/>
        <v>0.003088765432</v>
      </c>
    </row>
    <row r="20" ht="18.0" customHeight="1">
      <c r="A20" s="55"/>
      <c r="B20" s="112" t="s">
        <v>33</v>
      </c>
      <c r="C20" s="219">
        <f t="shared" si="16"/>
        <v>126.3561111</v>
      </c>
      <c r="D20" s="186">
        <f t="shared" si="17"/>
        <v>0.00421187037</v>
      </c>
      <c r="E20" s="220">
        <f t="shared" si="18"/>
        <v>20.69583333</v>
      </c>
      <c r="F20" s="186">
        <f t="shared" si="19"/>
        <v>0.0006898611111</v>
      </c>
      <c r="G20" s="219">
        <f t="shared" si="20"/>
        <v>109.1205556</v>
      </c>
      <c r="H20" s="186">
        <f t="shared" si="21"/>
        <v>0.003637351852</v>
      </c>
      <c r="I20" s="219">
        <f t="shared" si="22"/>
        <v>111.9813889</v>
      </c>
      <c r="J20" s="186">
        <f t="shared" si="23"/>
        <v>0.003732712963</v>
      </c>
      <c r="K20" s="219">
        <f t="shared" si="24"/>
        <v>116.5908333</v>
      </c>
      <c r="L20" s="186">
        <f t="shared" si="25"/>
        <v>0.003886361111</v>
      </c>
      <c r="M20" s="220">
        <f t="shared" si="26"/>
        <v>116.7047222</v>
      </c>
      <c r="N20" s="221">
        <f t="shared" si="27"/>
        <v>0.003890157407</v>
      </c>
      <c r="O20" s="222">
        <f t="shared" si="28"/>
        <v>601.4494444</v>
      </c>
      <c r="P20" s="223">
        <f t="shared" si="29"/>
        <v>0.003341385802</v>
      </c>
    </row>
    <row r="21" ht="18.0" customHeight="1">
      <c r="A21" s="55"/>
      <c r="B21" s="118" t="s">
        <v>34</v>
      </c>
      <c r="C21" s="225">
        <f t="shared" si="16"/>
        <v>110.0388889</v>
      </c>
      <c r="D21" s="226">
        <f t="shared" si="17"/>
        <v>0.003667962963</v>
      </c>
      <c r="E21" s="227">
        <f t="shared" si="18"/>
        <v>69.05361111</v>
      </c>
      <c r="F21" s="226">
        <f t="shared" si="19"/>
        <v>0.002301787037</v>
      </c>
      <c r="G21" s="225">
        <f t="shared" si="20"/>
        <v>104.6691667</v>
      </c>
      <c r="H21" s="226">
        <f t="shared" si="21"/>
        <v>0.003488972222</v>
      </c>
      <c r="I21" s="225">
        <f t="shared" si="22"/>
        <v>107.7836111</v>
      </c>
      <c r="J21" s="226">
        <f t="shared" si="23"/>
        <v>0.003592787037</v>
      </c>
      <c r="K21" s="225">
        <f t="shared" si="24"/>
        <v>114.5705556</v>
      </c>
      <c r="L21" s="226">
        <f t="shared" si="25"/>
        <v>0.003819018519</v>
      </c>
      <c r="M21" s="227">
        <f t="shared" si="26"/>
        <v>108.7475</v>
      </c>
      <c r="N21" s="228">
        <f t="shared" si="27"/>
        <v>0.003624916667</v>
      </c>
      <c r="O21" s="222">
        <f t="shared" si="28"/>
        <v>614.8633333</v>
      </c>
      <c r="P21" s="223">
        <f t="shared" si="29"/>
        <v>0.003415907407</v>
      </c>
    </row>
    <row r="22" ht="18.0" customHeight="1">
      <c r="A22" s="55"/>
      <c r="B22" s="105" t="s">
        <v>35</v>
      </c>
      <c r="C22" s="214">
        <f t="shared" si="16"/>
        <v>11.45888889</v>
      </c>
      <c r="D22" s="215">
        <f>C22/3000</f>
        <v>0.00381962963</v>
      </c>
      <c r="E22" s="229"/>
      <c r="F22" s="229"/>
      <c r="G22" s="214">
        <f t="shared" si="20"/>
        <v>10.09444444</v>
      </c>
      <c r="H22" s="215">
        <f t="shared" ref="H22:H26" si="30">G22/3000</f>
        <v>0.003364814815</v>
      </c>
      <c r="I22" s="214">
        <f t="shared" si="22"/>
        <v>119.8372222</v>
      </c>
      <c r="J22" s="215">
        <f t="shared" ref="J22:J26" si="31">I22/36000</f>
        <v>0.003328811728</v>
      </c>
      <c r="K22" s="229"/>
      <c r="L22" s="229"/>
      <c r="M22" s="214">
        <f t="shared" si="26"/>
        <v>56.53527778</v>
      </c>
      <c r="N22" s="216">
        <f t="shared" ref="N22:N26" si="32">M22/42000</f>
        <v>0.001346078042</v>
      </c>
      <c r="O22" s="222">
        <f t="shared" si="28"/>
        <v>197.9258333</v>
      </c>
      <c r="P22" s="223">
        <f>O22/84000</f>
        <v>0.002356259921</v>
      </c>
    </row>
    <row r="23" ht="18.0" customHeight="1">
      <c r="A23" s="55"/>
      <c r="B23" s="112" t="s">
        <v>36</v>
      </c>
      <c r="C23" s="230"/>
      <c r="D23" s="230"/>
      <c r="E23" s="230"/>
      <c r="F23" s="230"/>
      <c r="G23" s="219">
        <f t="shared" si="20"/>
        <v>10.71472222</v>
      </c>
      <c r="H23" s="186">
        <f t="shared" si="30"/>
        <v>0.003571574074</v>
      </c>
      <c r="I23" s="219">
        <f t="shared" si="22"/>
        <v>93.18083333</v>
      </c>
      <c r="J23" s="186">
        <f t="shared" si="31"/>
        <v>0.002588356481</v>
      </c>
      <c r="K23" s="230"/>
      <c r="L23" s="230"/>
      <c r="M23" s="220">
        <f t="shared" si="26"/>
        <v>60.72972222</v>
      </c>
      <c r="N23" s="221">
        <f t="shared" si="32"/>
        <v>0.001445945767</v>
      </c>
      <c r="O23" s="222">
        <f t="shared" si="28"/>
        <v>164.6252778</v>
      </c>
      <c r="P23" s="223">
        <f>O23/81000</f>
        <v>0.002032410837</v>
      </c>
    </row>
    <row r="24" ht="18.0" customHeight="1">
      <c r="A24" s="55"/>
      <c r="B24" s="112" t="s">
        <v>37</v>
      </c>
      <c r="C24" s="219">
        <f t="shared" ref="C24:C31" si="33">C44</f>
        <v>12.17555556</v>
      </c>
      <c r="D24" s="186">
        <f t="shared" ref="D24:D26" si="34">C24/3000</f>
        <v>0.004058518519</v>
      </c>
      <c r="E24" s="230"/>
      <c r="F24" s="230"/>
      <c r="G24" s="219">
        <f t="shared" si="20"/>
        <v>10.52555556</v>
      </c>
      <c r="H24" s="186">
        <f t="shared" si="30"/>
        <v>0.003508518519</v>
      </c>
      <c r="I24" s="219">
        <f t="shared" si="22"/>
        <v>95.27111111</v>
      </c>
      <c r="J24" s="186">
        <f t="shared" si="31"/>
        <v>0.002646419753</v>
      </c>
      <c r="K24" s="230"/>
      <c r="L24" s="230"/>
      <c r="M24" s="220">
        <f t="shared" si="26"/>
        <v>119.6733333</v>
      </c>
      <c r="N24" s="221">
        <f t="shared" si="32"/>
        <v>0.002849365079</v>
      </c>
      <c r="O24" s="222">
        <f t="shared" si="28"/>
        <v>237.6455556</v>
      </c>
      <c r="P24" s="223">
        <f t="shared" ref="P24:P25" si="35">O24/84000</f>
        <v>0.002829113757</v>
      </c>
    </row>
    <row r="25" ht="18.0" customHeight="1">
      <c r="A25" s="55"/>
      <c r="B25" s="112" t="s">
        <v>38</v>
      </c>
      <c r="C25" s="219">
        <f t="shared" si="33"/>
        <v>12.84638889</v>
      </c>
      <c r="D25" s="186">
        <f t="shared" si="34"/>
        <v>0.00428212963</v>
      </c>
      <c r="E25" s="230"/>
      <c r="F25" s="230"/>
      <c r="G25" s="219">
        <f t="shared" si="20"/>
        <v>11.02416667</v>
      </c>
      <c r="H25" s="186">
        <f t="shared" si="30"/>
        <v>0.003674722222</v>
      </c>
      <c r="I25" s="219">
        <f t="shared" si="22"/>
        <v>88.82916667</v>
      </c>
      <c r="J25" s="186">
        <f t="shared" si="31"/>
        <v>0.002467476852</v>
      </c>
      <c r="K25" s="230"/>
      <c r="L25" s="230"/>
      <c r="M25" s="220">
        <f t="shared" si="26"/>
        <v>118.2861111</v>
      </c>
      <c r="N25" s="221">
        <f t="shared" si="32"/>
        <v>0.002816335979</v>
      </c>
      <c r="O25" s="222">
        <f t="shared" si="28"/>
        <v>230.9858333</v>
      </c>
      <c r="P25" s="223">
        <f t="shared" si="35"/>
        <v>0.002749831349</v>
      </c>
    </row>
    <row r="26" ht="18.0" customHeight="1">
      <c r="A26" s="55"/>
      <c r="B26" s="118" t="s">
        <v>39</v>
      </c>
      <c r="C26" s="225">
        <f t="shared" si="33"/>
        <v>12.06472222</v>
      </c>
      <c r="D26" s="226">
        <f t="shared" si="34"/>
        <v>0.004021574074</v>
      </c>
      <c r="E26" s="231"/>
      <c r="F26" s="231"/>
      <c r="G26" s="225">
        <f t="shared" si="20"/>
        <v>9.880277778</v>
      </c>
      <c r="H26" s="226">
        <f t="shared" si="30"/>
        <v>0.003293425926</v>
      </c>
      <c r="I26" s="225">
        <f t="shared" si="22"/>
        <v>121.9488889</v>
      </c>
      <c r="J26" s="226">
        <f t="shared" si="31"/>
        <v>0.003387469136</v>
      </c>
      <c r="K26" s="227">
        <f t="shared" ref="K26:K31" si="36">C57</f>
        <v>11.13333333</v>
      </c>
      <c r="L26" s="226">
        <f>K26/3000</f>
        <v>0.003711111111</v>
      </c>
      <c r="M26" s="220">
        <f t="shared" si="26"/>
        <v>147.1386111</v>
      </c>
      <c r="N26" s="228">
        <f t="shared" si="32"/>
        <v>0.003503300265</v>
      </c>
      <c r="O26" s="222">
        <f t="shared" si="28"/>
        <v>302.1658333</v>
      </c>
      <c r="P26" s="223">
        <f>O26/87000</f>
        <v>0.003473170498</v>
      </c>
    </row>
    <row r="27" ht="18.0" customHeight="1">
      <c r="A27" s="55"/>
      <c r="B27" s="105" t="s">
        <v>40</v>
      </c>
      <c r="C27" s="214">
        <f t="shared" si="33"/>
        <v>29.77194444</v>
      </c>
      <c r="D27" s="215">
        <f>C27/15000</f>
        <v>0.001984796296</v>
      </c>
      <c r="E27" s="229"/>
      <c r="F27" s="229"/>
      <c r="G27" s="214">
        <f t="shared" si="20"/>
        <v>51.81305556</v>
      </c>
      <c r="H27" s="215">
        <f t="shared" ref="H27:H31" si="37">G27/15000</f>
        <v>0.003454203704</v>
      </c>
      <c r="I27" s="229"/>
      <c r="J27" s="229"/>
      <c r="K27" s="214">
        <f t="shared" si="36"/>
        <v>15.07361111</v>
      </c>
      <c r="L27" s="215">
        <f t="shared" ref="L27:L30" si="38">K27/18000</f>
        <v>0.0008374228395</v>
      </c>
      <c r="M27" s="229"/>
      <c r="N27" s="232"/>
      <c r="O27" s="222">
        <f t="shared" si="28"/>
        <v>96.65861111</v>
      </c>
      <c r="P27" s="223">
        <f>O27/48000</f>
        <v>0.002013721065</v>
      </c>
    </row>
    <row r="28" ht="18.0" customHeight="1">
      <c r="A28" s="55"/>
      <c r="B28" s="112" t="s">
        <v>41</v>
      </c>
      <c r="C28" s="219">
        <f t="shared" si="33"/>
        <v>40.76</v>
      </c>
      <c r="D28" s="186">
        <f>C28/18000</f>
        <v>0.002264444444</v>
      </c>
      <c r="E28" s="230"/>
      <c r="F28" s="230"/>
      <c r="G28" s="219">
        <f t="shared" si="20"/>
        <v>55.05638889</v>
      </c>
      <c r="H28" s="186">
        <f t="shared" si="37"/>
        <v>0.003670425926</v>
      </c>
      <c r="I28" s="230"/>
      <c r="J28" s="230"/>
      <c r="K28" s="220">
        <f t="shared" si="36"/>
        <v>12.06555556</v>
      </c>
      <c r="L28" s="186">
        <f t="shared" si="38"/>
        <v>0.000670308642</v>
      </c>
      <c r="M28" s="230"/>
      <c r="N28" s="233"/>
      <c r="O28" s="222">
        <f t="shared" si="28"/>
        <v>107.8819444</v>
      </c>
      <c r="P28" s="223">
        <f>O28/51000</f>
        <v>0.002115332244</v>
      </c>
    </row>
    <row r="29" ht="18.0" customHeight="1">
      <c r="A29" s="55"/>
      <c r="B29" s="112" t="s">
        <v>42</v>
      </c>
      <c r="C29" s="219">
        <f t="shared" si="33"/>
        <v>22.39555556</v>
      </c>
      <c r="D29" s="186">
        <f t="shared" ref="D29:D31" si="39">C29/15000</f>
        <v>0.001493037037</v>
      </c>
      <c r="E29" s="230"/>
      <c r="F29" s="230"/>
      <c r="G29" s="219">
        <f t="shared" si="20"/>
        <v>25.95805556</v>
      </c>
      <c r="H29" s="186">
        <f t="shared" si="37"/>
        <v>0.001730537037</v>
      </c>
      <c r="I29" s="230"/>
      <c r="J29" s="230"/>
      <c r="K29" s="220">
        <f t="shared" si="36"/>
        <v>7.757222222</v>
      </c>
      <c r="L29" s="186">
        <f t="shared" si="38"/>
        <v>0.0004309567901</v>
      </c>
      <c r="M29" s="230"/>
      <c r="N29" s="233"/>
      <c r="O29" s="222">
        <f t="shared" si="28"/>
        <v>56.11083333</v>
      </c>
      <c r="P29" s="223">
        <f t="shared" ref="P29:P30" si="40">O29/48000</f>
        <v>0.001168975694</v>
      </c>
    </row>
    <row r="30" ht="18.0" customHeight="1">
      <c r="A30" s="55"/>
      <c r="B30" s="112" t="s">
        <v>43</v>
      </c>
      <c r="C30" s="219">
        <f t="shared" si="33"/>
        <v>36.32277778</v>
      </c>
      <c r="D30" s="186">
        <f t="shared" si="39"/>
        <v>0.002421518519</v>
      </c>
      <c r="E30" s="230"/>
      <c r="F30" s="230"/>
      <c r="G30" s="219">
        <f t="shared" si="20"/>
        <v>33.31555556</v>
      </c>
      <c r="H30" s="186">
        <f t="shared" si="37"/>
        <v>0.002221037037</v>
      </c>
      <c r="I30" s="230"/>
      <c r="J30" s="230"/>
      <c r="K30" s="220">
        <f t="shared" si="36"/>
        <v>4.968611111</v>
      </c>
      <c r="L30" s="186">
        <f t="shared" si="38"/>
        <v>0.0002760339506</v>
      </c>
      <c r="M30" s="230"/>
      <c r="N30" s="233"/>
      <c r="O30" s="222">
        <f t="shared" si="28"/>
        <v>74.60694444</v>
      </c>
      <c r="P30" s="223">
        <f t="shared" si="40"/>
        <v>0.001554311343</v>
      </c>
    </row>
    <row r="31" ht="18.0" customHeight="1">
      <c r="A31" s="59"/>
      <c r="B31" s="118" t="s">
        <v>44</v>
      </c>
      <c r="C31" s="225">
        <f t="shared" si="33"/>
        <v>21.11583333</v>
      </c>
      <c r="D31" s="226">
        <f t="shared" si="39"/>
        <v>0.001407722222</v>
      </c>
      <c r="E31" s="231"/>
      <c r="F31" s="231"/>
      <c r="G31" s="225">
        <f t="shared" si="20"/>
        <v>23.56027778</v>
      </c>
      <c r="H31" s="226">
        <f t="shared" si="37"/>
        <v>0.001570685185</v>
      </c>
      <c r="I31" s="231"/>
      <c r="J31" s="231"/>
      <c r="K31" s="227">
        <f t="shared" si="36"/>
        <v>10.61166667</v>
      </c>
      <c r="L31" s="226">
        <f>K31/15000</f>
        <v>0.0007074444444</v>
      </c>
      <c r="M31" s="231"/>
      <c r="N31" s="234"/>
      <c r="O31" s="222">
        <f t="shared" si="28"/>
        <v>55.28777778</v>
      </c>
      <c r="P31" s="235">
        <f>O31/45000</f>
        <v>0.001228617284</v>
      </c>
    </row>
    <row r="32" ht="18.0" customHeight="1">
      <c r="A32" s="91" t="s">
        <v>19</v>
      </c>
      <c r="B32" s="127"/>
      <c r="C32" s="236">
        <f>SUM(C17:C31)</f>
        <v>790.5272222</v>
      </c>
      <c r="D32" s="237">
        <f>C32/165000</f>
        <v>0.004791074074</v>
      </c>
      <c r="E32" s="236">
        <f>SUM(E17:E31)</f>
        <v>125.9097222</v>
      </c>
      <c r="F32" s="237">
        <f>E32/165000</f>
        <v>0.0007630892256</v>
      </c>
      <c r="G32" s="236">
        <f>SUM(G17:G31)</f>
        <v>772.5130556</v>
      </c>
      <c r="H32" s="237">
        <f>G32/165000</f>
        <v>0.004681897306</v>
      </c>
      <c r="I32" s="236">
        <f>SUM(I17:I31)</f>
        <v>1071.378056</v>
      </c>
      <c r="J32" s="237">
        <f>I32/330000</f>
        <v>0.003246600168</v>
      </c>
      <c r="K32" s="236">
        <f>SUM(K17:K31)</f>
        <v>540.9125</v>
      </c>
      <c r="L32" s="237">
        <f>K32/165000</f>
        <v>0.003278257576</v>
      </c>
      <c r="M32" s="236">
        <f>SUM(M17:M31)</f>
        <v>1073.501111</v>
      </c>
      <c r="N32" s="238">
        <f>M32/330000</f>
        <v>0.00325303367</v>
      </c>
      <c r="O32" s="239">
        <f>sum(O17:O31)</f>
        <v>4374.741667</v>
      </c>
      <c r="P32" s="240">
        <f>O32/1230000</f>
        <v>0.003556700542</v>
      </c>
    </row>
    <row r="37">
      <c r="A37" s="133" t="s">
        <v>45</v>
      </c>
      <c r="B37" s="241" t="s">
        <v>46</v>
      </c>
      <c r="C37" s="242" t="s">
        <v>126</v>
      </c>
      <c r="D37" s="243" t="s">
        <v>127</v>
      </c>
      <c r="E37" s="243" t="s">
        <v>128</v>
      </c>
      <c r="F37" s="244" t="s">
        <v>129</v>
      </c>
    </row>
    <row r="38">
      <c r="A38" s="245">
        <v>13301.0</v>
      </c>
      <c r="B38" s="246" t="s">
        <v>53</v>
      </c>
      <c r="C38" s="247">
        <f t="shared" ref="C38:C102" si="41">D38+E38/60+F38/3600</f>
        <v>118.7202778</v>
      </c>
      <c r="D38" s="36">
        <v>118.0</v>
      </c>
      <c r="E38" s="36">
        <v>43.0</v>
      </c>
      <c r="F38" s="36">
        <v>13.0</v>
      </c>
    </row>
    <row r="39">
      <c r="A39" s="248">
        <v>13302.0</v>
      </c>
      <c r="B39" s="249" t="s">
        <v>55</v>
      </c>
      <c r="C39" s="250">
        <f t="shared" si="41"/>
        <v>119.3177778</v>
      </c>
      <c r="D39" s="36">
        <v>119.0</v>
      </c>
      <c r="E39" s="36">
        <v>19.0</v>
      </c>
      <c r="F39" s="36">
        <v>4.0</v>
      </c>
    </row>
    <row r="40">
      <c r="A40" s="251">
        <v>13303.0</v>
      </c>
      <c r="B40" s="252" t="s">
        <v>58</v>
      </c>
      <c r="C40" s="253">
        <f t="shared" si="41"/>
        <v>117.1825</v>
      </c>
      <c r="D40" s="36">
        <v>117.0</v>
      </c>
      <c r="E40" s="36">
        <v>10.0</v>
      </c>
      <c r="F40" s="36">
        <v>57.0</v>
      </c>
    </row>
    <row r="41">
      <c r="A41" s="251">
        <v>13304.0</v>
      </c>
      <c r="B41" s="252" t="s">
        <v>59</v>
      </c>
      <c r="C41" s="253">
        <f t="shared" si="41"/>
        <v>126.3561111</v>
      </c>
      <c r="D41" s="36">
        <v>126.0</v>
      </c>
      <c r="E41" s="36">
        <v>21.0</v>
      </c>
      <c r="F41" s="36">
        <v>22.0</v>
      </c>
    </row>
    <row r="42">
      <c r="A42" s="251">
        <v>13305.0</v>
      </c>
      <c r="B42" s="252" t="s">
        <v>60</v>
      </c>
      <c r="C42" s="253">
        <f t="shared" si="41"/>
        <v>110.0388889</v>
      </c>
      <c r="D42" s="36">
        <v>110.0</v>
      </c>
      <c r="E42" s="36">
        <v>2.0</v>
      </c>
      <c r="F42" s="36">
        <v>20.0</v>
      </c>
    </row>
    <row r="43">
      <c r="A43" s="245">
        <v>14408.0</v>
      </c>
      <c r="B43" s="246" t="s">
        <v>61</v>
      </c>
      <c r="C43" s="250">
        <f t="shared" si="41"/>
        <v>11.45888889</v>
      </c>
      <c r="D43" s="36">
        <v>11.0</v>
      </c>
      <c r="E43" s="36">
        <v>27.0</v>
      </c>
      <c r="F43" s="36">
        <v>32.0</v>
      </c>
    </row>
    <row r="44">
      <c r="A44" s="251">
        <v>14410.0</v>
      </c>
      <c r="B44" s="252" t="s">
        <v>62</v>
      </c>
      <c r="C44" s="253">
        <f t="shared" si="41"/>
        <v>12.17555556</v>
      </c>
      <c r="D44" s="36">
        <v>12.0</v>
      </c>
      <c r="E44" s="36">
        <v>10.0</v>
      </c>
      <c r="F44" s="36">
        <v>32.0</v>
      </c>
    </row>
    <row r="45">
      <c r="A45" s="251">
        <v>14423.0</v>
      </c>
      <c r="B45" s="252" t="s">
        <v>63</v>
      </c>
      <c r="C45" s="253">
        <f t="shared" si="41"/>
        <v>12.84638889</v>
      </c>
      <c r="D45" s="36">
        <v>12.0</v>
      </c>
      <c r="E45" s="36">
        <v>50.0</v>
      </c>
      <c r="F45" s="36">
        <v>47.0</v>
      </c>
    </row>
    <row r="46">
      <c r="A46" s="251">
        <v>13959.0</v>
      </c>
      <c r="B46" s="252" t="s">
        <v>64</v>
      </c>
      <c r="C46" s="253">
        <f t="shared" si="41"/>
        <v>12.06472222</v>
      </c>
      <c r="D46" s="36">
        <v>12.0</v>
      </c>
      <c r="E46" s="36">
        <v>3.0</v>
      </c>
      <c r="F46" s="36">
        <v>53.0</v>
      </c>
    </row>
    <row r="47">
      <c r="A47" s="254">
        <v>15136.0</v>
      </c>
      <c r="B47" s="246" t="s">
        <v>65</v>
      </c>
      <c r="C47" s="250">
        <f t="shared" si="41"/>
        <v>29.77194444</v>
      </c>
      <c r="D47" s="36">
        <v>29.0</v>
      </c>
      <c r="E47" s="36">
        <v>46.0</v>
      </c>
      <c r="F47" s="36">
        <v>19.0</v>
      </c>
    </row>
    <row r="48">
      <c r="A48" s="248">
        <v>15139.0</v>
      </c>
      <c r="B48" s="249" t="s">
        <v>66</v>
      </c>
      <c r="C48" s="250">
        <f t="shared" si="41"/>
        <v>40.76</v>
      </c>
      <c r="D48" s="36">
        <v>40.0</v>
      </c>
      <c r="E48" s="36">
        <v>45.0</v>
      </c>
      <c r="F48" s="36">
        <v>36.0</v>
      </c>
    </row>
    <row r="49">
      <c r="A49" s="251">
        <v>15140.0</v>
      </c>
      <c r="B49" s="252" t="s">
        <v>67</v>
      </c>
      <c r="C49" s="253">
        <f t="shared" si="41"/>
        <v>22.39555556</v>
      </c>
      <c r="D49" s="36">
        <v>22.0</v>
      </c>
      <c r="E49" s="36">
        <v>23.0</v>
      </c>
      <c r="F49" s="36">
        <v>44.0</v>
      </c>
    </row>
    <row r="50">
      <c r="A50" s="251">
        <v>15141.0</v>
      </c>
      <c r="B50" s="252" t="s">
        <v>68</v>
      </c>
      <c r="C50" s="253">
        <f t="shared" si="41"/>
        <v>36.32277778</v>
      </c>
      <c r="D50" s="36">
        <v>36.0</v>
      </c>
      <c r="E50" s="36">
        <v>19.0</v>
      </c>
      <c r="F50" s="36">
        <v>22.0</v>
      </c>
    </row>
    <row r="51">
      <c r="A51" s="255">
        <v>15135.0</v>
      </c>
      <c r="B51" s="252" t="s">
        <v>69</v>
      </c>
      <c r="C51" s="253">
        <f t="shared" si="41"/>
        <v>21.11583333</v>
      </c>
      <c r="D51" s="36">
        <v>21.0</v>
      </c>
      <c r="E51" s="36">
        <v>6.0</v>
      </c>
      <c r="F51" s="36">
        <v>57.0</v>
      </c>
    </row>
    <row r="52">
      <c r="A52" s="245">
        <v>13318.0</v>
      </c>
      <c r="B52" s="246" t="s">
        <v>70</v>
      </c>
      <c r="C52" s="250">
        <f t="shared" si="41"/>
        <v>80.42083333</v>
      </c>
      <c r="D52" s="36">
        <v>80.0</v>
      </c>
      <c r="E52" s="36">
        <v>25.0</v>
      </c>
      <c r="F52" s="36">
        <v>15.0</v>
      </c>
    </row>
    <row r="53">
      <c r="A53" s="248">
        <v>13319.0</v>
      </c>
      <c r="B53" s="249" t="s">
        <v>71</v>
      </c>
      <c r="C53" s="250">
        <f t="shared" si="41"/>
        <v>68.81083333</v>
      </c>
      <c r="D53" s="36">
        <v>68.0</v>
      </c>
      <c r="E53" s="36">
        <v>48.0</v>
      </c>
      <c r="F53" s="36">
        <v>39.0</v>
      </c>
    </row>
    <row r="54">
      <c r="A54" s="251">
        <v>13320.0</v>
      </c>
      <c r="B54" s="252" t="s">
        <v>72</v>
      </c>
      <c r="C54" s="253">
        <f t="shared" si="41"/>
        <v>98.90944444</v>
      </c>
      <c r="D54" s="36">
        <v>98.0</v>
      </c>
      <c r="E54" s="36">
        <v>54.0</v>
      </c>
      <c r="F54" s="36">
        <v>34.0</v>
      </c>
    </row>
    <row r="55">
      <c r="A55" s="251">
        <v>13321.0</v>
      </c>
      <c r="B55" s="252" t="s">
        <v>73</v>
      </c>
      <c r="C55" s="253">
        <f t="shared" si="41"/>
        <v>116.5908333</v>
      </c>
      <c r="D55" s="36">
        <v>116.0</v>
      </c>
      <c r="E55" s="36">
        <v>35.0</v>
      </c>
      <c r="F55" s="36">
        <v>27.0</v>
      </c>
    </row>
    <row r="56">
      <c r="A56" s="251">
        <v>13322.0</v>
      </c>
      <c r="B56" s="252" t="s">
        <v>74</v>
      </c>
      <c r="C56" s="253">
        <f t="shared" si="41"/>
        <v>114.5705556</v>
      </c>
      <c r="D56" s="36">
        <v>114.0</v>
      </c>
      <c r="E56" s="36">
        <v>34.0</v>
      </c>
      <c r="F56" s="36">
        <v>14.0</v>
      </c>
    </row>
    <row r="57">
      <c r="A57" s="251">
        <v>14429.0</v>
      </c>
      <c r="B57" s="252" t="s">
        <v>75</v>
      </c>
      <c r="C57" s="253">
        <f t="shared" si="41"/>
        <v>11.13333333</v>
      </c>
      <c r="D57" s="36">
        <v>11.0</v>
      </c>
      <c r="E57" s="36">
        <v>8.0</v>
      </c>
    </row>
    <row r="58">
      <c r="A58" s="245">
        <v>15143.0</v>
      </c>
      <c r="B58" s="246" t="s">
        <v>76</v>
      </c>
      <c r="C58" s="250">
        <f t="shared" si="41"/>
        <v>15.07361111</v>
      </c>
      <c r="D58" s="36">
        <v>15.0</v>
      </c>
      <c r="E58" s="36">
        <v>4.0</v>
      </c>
      <c r="F58" s="36">
        <v>25.0</v>
      </c>
    </row>
    <row r="59">
      <c r="A59" s="248">
        <v>15144.0</v>
      </c>
      <c r="B59" s="249" t="s">
        <v>77</v>
      </c>
      <c r="C59" s="250">
        <f t="shared" si="41"/>
        <v>12.06555556</v>
      </c>
      <c r="D59" s="36">
        <v>12.0</v>
      </c>
      <c r="E59" s="36">
        <v>3.0</v>
      </c>
      <c r="F59" s="36">
        <v>56.0</v>
      </c>
    </row>
    <row r="60">
      <c r="A60" s="251">
        <v>15145.0</v>
      </c>
      <c r="B60" s="252" t="s">
        <v>78</v>
      </c>
      <c r="C60" s="253">
        <f t="shared" si="41"/>
        <v>7.757222222</v>
      </c>
      <c r="D60" s="36">
        <v>7.0</v>
      </c>
      <c r="E60" s="36">
        <v>45.0</v>
      </c>
      <c r="F60" s="36">
        <v>26.0</v>
      </c>
    </row>
    <row r="61">
      <c r="A61" s="251">
        <v>15146.0</v>
      </c>
      <c r="B61" s="252" t="s">
        <v>79</v>
      </c>
      <c r="C61" s="253">
        <f t="shared" si="41"/>
        <v>4.968611111</v>
      </c>
      <c r="D61" s="36">
        <v>4.0</v>
      </c>
      <c r="E61" s="36">
        <v>58.0</v>
      </c>
      <c r="F61" s="36">
        <v>7.0</v>
      </c>
    </row>
    <row r="62">
      <c r="A62" s="255">
        <v>15142.0</v>
      </c>
      <c r="B62" s="252" t="s">
        <v>80</v>
      </c>
      <c r="C62" s="253">
        <f t="shared" si="41"/>
        <v>10.61166667</v>
      </c>
      <c r="D62" s="36">
        <v>10.0</v>
      </c>
      <c r="E62" s="36">
        <v>36.0</v>
      </c>
      <c r="F62" s="36">
        <v>42.0</v>
      </c>
    </row>
    <row r="63">
      <c r="A63" s="251">
        <v>13323.0</v>
      </c>
      <c r="B63" s="252" t="s">
        <v>81</v>
      </c>
      <c r="C63" s="253">
        <f t="shared" si="41"/>
        <v>110.5427778</v>
      </c>
      <c r="D63" s="36">
        <v>110.0</v>
      </c>
      <c r="E63" s="36">
        <v>32.0</v>
      </c>
      <c r="F63" s="36">
        <v>34.0</v>
      </c>
    </row>
    <row r="64">
      <c r="A64" s="251">
        <v>13324.0</v>
      </c>
      <c r="B64" s="252" t="s">
        <v>82</v>
      </c>
      <c r="C64" s="253">
        <f t="shared" si="41"/>
        <v>114.7930556</v>
      </c>
      <c r="D64" s="36">
        <v>114.0</v>
      </c>
      <c r="E64" s="36">
        <v>47.0</v>
      </c>
      <c r="F64" s="36">
        <v>35.0</v>
      </c>
    </row>
    <row r="65">
      <c r="A65" s="251">
        <v>13325.0</v>
      </c>
      <c r="B65" s="252" t="s">
        <v>83</v>
      </c>
      <c r="C65" s="253">
        <f t="shared" si="41"/>
        <v>107.21</v>
      </c>
      <c r="D65" s="36">
        <v>107.0</v>
      </c>
      <c r="E65" s="36">
        <v>12.0</v>
      </c>
      <c r="F65" s="36">
        <v>36.0</v>
      </c>
    </row>
    <row r="66">
      <c r="A66" s="251">
        <v>13326.0</v>
      </c>
      <c r="B66" s="252" t="s">
        <v>84</v>
      </c>
      <c r="C66" s="253">
        <f t="shared" si="41"/>
        <v>111.9813889</v>
      </c>
      <c r="D66" s="36">
        <v>111.0</v>
      </c>
      <c r="E66" s="36">
        <v>58.0</v>
      </c>
      <c r="F66" s="36">
        <v>53.0</v>
      </c>
    </row>
    <row r="67">
      <c r="A67" s="251">
        <v>13327.0</v>
      </c>
      <c r="B67" s="252" t="s">
        <v>85</v>
      </c>
      <c r="C67" s="253">
        <f t="shared" si="41"/>
        <v>107.7836111</v>
      </c>
      <c r="D67" s="36">
        <v>107.0</v>
      </c>
      <c r="E67" s="36">
        <v>47.0</v>
      </c>
      <c r="F67" s="36">
        <v>1.0</v>
      </c>
    </row>
    <row r="68">
      <c r="A68" s="251">
        <v>14106.0</v>
      </c>
      <c r="B68" s="252" t="s">
        <v>86</v>
      </c>
      <c r="C68" s="253">
        <f t="shared" si="41"/>
        <v>119.8372222</v>
      </c>
      <c r="D68" s="36">
        <v>119.0</v>
      </c>
      <c r="E68" s="36">
        <v>50.0</v>
      </c>
      <c r="F68" s="36">
        <v>14.0</v>
      </c>
    </row>
    <row r="69">
      <c r="A69" s="248">
        <v>14422.0</v>
      </c>
      <c r="B69" s="249" t="s">
        <v>87</v>
      </c>
      <c r="C69" s="250">
        <f t="shared" si="41"/>
        <v>93.18083333</v>
      </c>
      <c r="D69" s="36">
        <v>93.0</v>
      </c>
      <c r="E69" s="36">
        <v>10.0</v>
      </c>
      <c r="F69" s="36">
        <v>51.0</v>
      </c>
    </row>
    <row r="70">
      <c r="A70" s="251">
        <v>13960.0</v>
      </c>
      <c r="B70" s="252" t="s">
        <v>88</v>
      </c>
      <c r="C70" s="253">
        <f t="shared" si="41"/>
        <v>95.27111111</v>
      </c>
      <c r="D70" s="36">
        <v>95.0</v>
      </c>
      <c r="E70" s="36">
        <v>16.0</v>
      </c>
      <c r="F70" s="36">
        <v>16.0</v>
      </c>
    </row>
    <row r="71">
      <c r="A71" s="251">
        <v>13779.0</v>
      </c>
      <c r="B71" s="252" t="s">
        <v>89</v>
      </c>
      <c r="C71" s="253">
        <f t="shared" si="41"/>
        <v>88.82916667</v>
      </c>
      <c r="D71" s="36">
        <v>88.0</v>
      </c>
      <c r="E71" s="36">
        <v>49.0</v>
      </c>
      <c r="F71" s="36">
        <v>45.0</v>
      </c>
    </row>
    <row r="72">
      <c r="A72" s="251">
        <v>13543.0</v>
      </c>
      <c r="B72" s="252" t="s">
        <v>90</v>
      </c>
      <c r="C72" s="253">
        <f t="shared" si="41"/>
        <v>121.9488889</v>
      </c>
      <c r="D72" s="36">
        <v>121.0</v>
      </c>
      <c r="E72" s="36">
        <v>56.0</v>
      </c>
      <c r="F72" s="36">
        <v>56.0</v>
      </c>
    </row>
    <row r="73">
      <c r="A73" s="251">
        <v>13328.0</v>
      </c>
      <c r="B73" s="252" t="s">
        <v>91</v>
      </c>
      <c r="C73" s="253">
        <f t="shared" si="41"/>
        <v>104.1466667</v>
      </c>
      <c r="D73" s="36">
        <v>104.0</v>
      </c>
      <c r="E73" s="36">
        <v>5.0</v>
      </c>
      <c r="F73" s="36">
        <v>228.0</v>
      </c>
    </row>
    <row r="74">
      <c r="A74" s="251">
        <v>13329.0</v>
      </c>
      <c r="B74" s="252" t="s">
        <v>92</v>
      </c>
      <c r="C74" s="253">
        <f t="shared" si="41"/>
        <v>109.3844444</v>
      </c>
      <c r="D74" s="36">
        <v>109.0</v>
      </c>
      <c r="E74" s="36">
        <v>23.0</v>
      </c>
      <c r="F74" s="36">
        <v>4.0</v>
      </c>
    </row>
    <row r="75">
      <c r="A75" s="256">
        <v>13330.0</v>
      </c>
      <c r="B75" s="257" t="s">
        <v>93</v>
      </c>
      <c r="C75" s="253">
        <f t="shared" si="41"/>
        <v>103.2497222</v>
      </c>
      <c r="D75" s="36">
        <v>103.0</v>
      </c>
      <c r="E75" s="36">
        <v>14.0</v>
      </c>
      <c r="F75" s="36">
        <v>59.0</v>
      </c>
    </row>
    <row r="76">
      <c r="A76" s="256">
        <v>13331.0</v>
      </c>
      <c r="B76" s="257" t="s">
        <v>94</v>
      </c>
      <c r="C76" s="253">
        <f t="shared" si="41"/>
        <v>109.1205556</v>
      </c>
      <c r="D76" s="36">
        <v>109.0</v>
      </c>
      <c r="E76" s="36">
        <v>7.0</v>
      </c>
      <c r="F76" s="36">
        <v>14.0</v>
      </c>
    </row>
    <row r="77">
      <c r="A77" s="256">
        <v>13332.0</v>
      </c>
      <c r="B77" s="257" t="s">
        <v>95</v>
      </c>
      <c r="C77" s="253">
        <f t="shared" si="41"/>
        <v>104.6691667</v>
      </c>
      <c r="D77" s="36">
        <v>104.0</v>
      </c>
      <c r="E77" s="36">
        <v>40.0</v>
      </c>
      <c r="F77" s="36">
        <v>9.0</v>
      </c>
    </row>
    <row r="78">
      <c r="A78" s="256">
        <v>14417.0</v>
      </c>
      <c r="B78" s="257" t="s">
        <v>96</v>
      </c>
      <c r="C78" s="253">
        <f t="shared" si="41"/>
        <v>10.09444444</v>
      </c>
      <c r="D78" s="36">
        <v>10.0</v>
      </c>
      <c r="E78" s="36">
        <v>5.0</v>
      </c>
      <c r="F78" s="36">
        <v>40.0</v>
      </c>
    </row>
    <row r="79">
      <c r="A79" s="251">
        <v>14418.0</v>
      </c>
      <c r="B79" s="252" t="s">
        <v>97</v>
      </c>
      <c r="C79" s="258">
        <f t="shared" si="41"/>
        <v>10.71472222</v>
      </c>
      <c r="D79" s="36">
        <v>10.0</v>
      </c>
      <c r="E79" s="36">
        <v>42.0</v>
      </c>
      <c r="F79" s="36">
        <v>53.0</v>
      </c>
    </row>
    <row r="80">
      <c r="A80" s="256">
        <v>14104.0</v>
      </c>
      <c r="B80" s="257" t="s">
        <v>98</v>
      </c>
      <c r="C80" s="253">
        <f t="shared" si="41"/>
        <v>10.52555556</v>
      </c>
      <c r="D80" s="36">
        <v>10.0</v>
      </c>
      <c r="E80" s="36">
        <v>31.0</v>
      </c>
      <c r="F80" s="36">
        <v>32.0</v>
      </c>
    </row>
    <row r="81">
      <c r="A81" s="256">
        <v>14105.0</v>
      </c>
      <c r="B81" s="257" t="s">
        <v>99</v>
      </c>
      <c r="C81" s="253">
        <f t="shared" si="41"/>
        <v>11.02416667</v>
      </c>
      <c r="D81" s="36">
        <v>11.0</v>
      </c>
      <c r="E81" s="36">
        <v>1.0</v>
      </c>
      <c r="F81" s="36">
        <v>27.0</v>
      </c>
    </row>
    <row r="82">
      <c r="A82" s="256">
        <v>13788.0</v>
      </c>
      <c r="B82" s="257" t="s">
        <v>100</v>
      </c>
      <c r="C82" s="253">
        <f t="shared" si="41"/>
        <v>9.880277778</v>
      </c>
      <c r="D82" s="36">
        <v>9.0</v>
      </c>
      <c r="E82" s="36">
        <v>52.0</v>
      </c>
      <c r="F82" s="36">
        <v>49.0</v>
      </c>
    </row>
    <row r="83">
      <c r="A83" s="245">
        <v>15148.0</v>
      </c>
      <c r="B83" s="246" t="s">
        <v>101</v>
      </c>
      <c r="C83" s="250">
        <f t="shared" si="41"/>
        <v>51.81305556</v>
      </c>
      <c r="D83" s="36">
        <v>51.0</v>
      </c>
      <c r="E83" s="36">
        <v>48.0</v>
      </c>
      <c r="F83" s="36">
        <v>47.0</v>
      </c>
    </row>
    <row r="84">
      <c r="A84" s="248">
        <v>15149.0</v>
      </c>
      <c r="B84" s="249" t="s">
        <v>102</v>
      </c>
      <c r="C84" s="250">
        <f t="shared" si="41"/>
        <v>55.05638889</v>
      </c>
      <c r="D84" s="36">
        <v>55.0</v>
      </c>
      <c r="E84" s="36">
        <v>3.0</v>
      </c>
      <c r="F84" s="36">
        <v>23.0</v>
      </c>
    </row>
    <row r="85">
      <c r="A85" s="251">
        <v>15150.0</v>
      </c>
      <c r="B85" s="252" t="s">
        <v>103</v>
      </c>
      <c r="C85" s="253">
        <f t="shared" si="41"/>
        <v>25.95805556</v>
      </c>
      <c r="D85" s="36">
        <v>25.0</v>
      </c>
      <c r="E85" s="36">
        <v>57.0</v>
      </c>
      <c r="F85" s="36">
        <v>29.0</v>
      </c>
    </row>
    <row r="86">
      <c r="A86" s="251">
        <v>15151.0</v>
      </c>
      <c r="B86" s="252" t="s">
        <v>104</v>
      </c>
      <c r="C86" s="253">
        <f t="shared" si="41"/>
        <v>33.31555556</v>
      </c>
      <c r="D86" s="36">
        <v>33.0</v>
      </c>
      <c r="E86" s="36">
        <v>18.0</v>
      </c>
      <c r="F86" s="36">
        <v>56.0</v>
      </c>
    </row>
    <row r="87">
      <c r="A87" s="255">
        <v>15147.0</v>
      </c>
      <c r="B87" s="252" t="s">
        <v>105</v>
      </c>
      <c r="C87" s="253">
        <f t="shared" si="41"/>
        <v>23.56027778</v>
      </c>
      <c r="D87" s="36">
        <v>23.0</v>
      </c>
      <c r="E87" s="36">
        <v>33.0</v>
      </c>
      <c r="F87" s="36">
        <v>37.0</v>
      </c>
    </row>
    <row r="88">
      <c r="A88" s="248">
        <v>13333.0</v>
      </c>
      <c r="B88" s="249" t="s">
        <v>106</v>
      </c>
      <c r="C88" s="250">
        <f t="shared" si="41"/>
        <v>13.66138889</v>
      </c>
      <c r="D88" s="36">
        <v>13.0</v>
      </c>
      <c r="E88" s="36">
        <v>39.0</v>
      </c>
      <c r="F88" s="36">
        <v>41.0</v>
      </c>
    </row>
    <row r="89">
      <c r="A89" s="248">
        <v>13334.0</v>
      </c>
      <c r="B89" s="249" t="s">
        <v>107</v>
      </c>
      <c r="C89" s="250">
        <f t="shared" si="41"/>
        <v>9.8775</v>
      </c>
      <c r="D89" s="36">
        <v>9.0</v>
      </c>
      <c r="E89" s="36">
        <v>52.0</v>
      </c>
      <c r="F89" s="36">
        <v>39.0</v>
      </c>
    </row>
    <row r="90">
      <c r="A90" s="248">
        <v>13335.0</v>
      </c>
      <c r="B90" s="249" t="s">
        <v>108</v>
      </c>
      <c r="C90" s="250">
        <f t="shared" si="41"/>
        <v>12.62138889</v>
      </c>
      <c r="D90" s="36">
        <v>12.0</v>
      </c>
      <c r="E90" s="36">
        <v>37.0</v>
      </c>
      <c r="F90" s="36">
        <v>17.0</v>
      </c>
    </row>
    <row r="91">
      <c r="A91" s="248">
        <v>13336.0</v>
      </c>
      <c r="B91" s="249" t="s">
        <v>109</v>
      </c>
      <c r="C91" s="250">
        <f t="shared" si="41"/>
        <v>20.69583333</v>
      </c>
      <c r="D91" s="36">
        <v>20.0</v>
      </c>
      <c r="E91" s="36">
        <v>41.0</v>
      </c>
      <c r="F91" s="36">
        <v>45.0</v>
      </c>
    </row>
    <row r="92">
      <c r="A92" s="251">
        <v>13337.0</v>
      </c>
      <c r="B92" s="252" t="s">
        <v>110</v>
      </c>
      <c r="C92" s="253">
        <f t="shared" si="41"/>
        <v>69.05361111</v>
      </c>
      <c r="D92" s="36">
        <v>69.0</v>
      </c>
      <c r="E92" s="36">
        <v>3.0</v>
      </c>
      <c r="F92" s="36">
        <v>13.0</v>
      </c>
    </row>
    <row r="93">
      <c r="A93" s="251">
        <v>13338.0</v>
      </c>
      <c r="B93" s="252" t="s">
        <v>111</v>
      </c>
      <c r="C93" s="253">
        <f t="shared" si="41"/>
        <v>113.0394444</v>
      </c>
      <c r="D93" s="36">
        <v>113.0</v>
      </c>
      <c r="E93" s="36">
        <v>2.0</v>
      </c>
      <c r="F93" s="36">
        <v>22.0</v>
      </c>
    </row>
    <row r="94">
      <c r="A94" s="251">
        <v>13339.0</v>
      </c>
      <c r="B94" s="252" t="s">
        <v>112</v>
      </c>
      <c r="C94" s="253">
        <f t="shared" si="41"/>
        <v>115.8416667</v>
      </c>
      <c r="D94" s="36">
        <v>115.0</v>
      </c>
      <c r="E94" s="36">
        <v>50.0</v>
      </c>
      <c r="F94" s="36">
        <v>30.0</v>
      </c>
    </row>
    <row r="95">
      <c r="A95" s="251">
        <v>13437.0</v>
      </c>
      <c r="B95" s="252" t="s">
        <v>113</v>
      </c>
      <c r="C95" s="253">
        <f t="shared" si="41"/>
        <v>116.8047222</v>
      </c>
      <c r="D95" s="36">
        <v>116.0</v>
      </c>
      <c r="E95" s="36">
        <v>48.0</v>
      </c>
      <c r="F95" s="36">
        <v>17.0</v>
      </c>
    </row>
    <row r="96">
      <c r="A96" s="251">
        <v>13341.0</v>
      </c>
      <c r="B96" s="252" t="s">
        <v>114</v>
      </c>
      <c r="C96" s="253">
        <f t="shared" si="41"/>
        <v>116.7047222</v>
      </c>
      <c r="D96" s="36">
        <v>116.0</v>
      </c>
      <c r="E96" s="36">
        <v>42.0</v>
      </c>
      <c r="F96" s="36">
        <v>17.0</v>
      </c>
    </row>
    <row r="97">
      <c r="A97" s="251">
        <v>13342.0</v>
      </c>
      <c r="B97" s="252" t="s">
        <v>115</v>
      </c>
      <c r="C97" s="253">
        <f t="shared" si="41"/>
        <v>108.7475</v>
      </c>
      <c r="D97" s="36">
        <v>108.0</v>
      </c>
      <c r="E97" s="36">
        <v>44.0</v>
      </c>
      <c r="F97" s="36">
        <v>51.0</v>
      </c>
    </row>
    <row r="98">
      <c r="A98" s="245">
        <v>14405.0</v>
      </c>
      <c r="B98" s="246" t="s">
        <v>116</v>
      </c>
      <c r="C98" s="250">
        <f t="shared" si="41"/>
        <v>56.53527778</v>
      </c>
      <c r="D98" s="36">
        <v>56.0</v>
      </c>
      <c r="E98" s="36">
        <v>32.0</v>
      </c>
      <c r="F98" s="36">
        <v>7.0</v>
      </c>
    </row>
    <row r="99">
      <c r="A99" s="248">
        <v>14406.0</v>
      </c>
      <c r="B99" s="249" t="s">
        <v>117</v>
      </c>
      <c r="C99" s="250">
        <f t="shared" si="41"/>
        <v>60.72972222</v>
      </c>
      <c r="D99" s="36">
        <v>60.0</v>
      </c>
      <c r="E99" s="36">
        <v>43.0</v>
      </c>
      <c r="F99" s="36">
        <v>47.0</v>
      </c>
    </row>
    <row r="100">
      <c r="A100" s="251">
        <v>13780.0</v>
      </c>
      <c r="B100" s="252" t="s">
        <v>118</v>
      </c>
      <c r="C100" s="253">
        <f t="shared" si="41"/>
        <v>119.6733333</v>
      </c>
      <c r="D100" s="36">
        <v>119.0</v>
      </c>
      <c r="E100" s="36">
        <v>40.0</v>
      </c>
      <c r="F100" s="36">
        <v>24.0</v>
      </c>
    </row>
    <row r="101">
      <c r="A101" s="251">
        <v>14407.0</v>
      </c>
      <c r="B101" s="252" t="s">
        <v>119</v>
      </c>
      <c r="C101" s="253">
        <f t="shared" si="41"/>
        <v>118.2861111</v>
      </c>
      <c r="D101" s="36">
        <v>118.0</v>
      </c>
      <c r="E101" s="36">
        <v>17.0</v>
      </c>
      <c r="F101" s="36">
        <v>10.0</v>
      </c>
    </row>
    <row r="102">
      <c r="A102" s="251">
        <v>13792.0</v>
      </c>
      <c r="B102" s="252" t="s">
        <v>120</v>
      </c>
      <c r="C102" s="259">
        <f t="shared" si="41"/>
        <v>147.1386111</v>
      </c>
      <c r="D102" s="36">
        <v>147.0</v>
      </c>
      <c r="E102" s="36">
        <v>8.0</v>
      </c>
      <c r="F102" s="36">
        <v>19.0</v>
      </c>
    </row>
    <row r="103">
      <c r="A103" s="166" t="s">
        <v>19</v>
      </c>
      <c r="B103" s="6"/>
      <c r="C103" s="260">
        <f t="shared" ref="C103:F103" si="42">SUM(C38:C102)</f>
        <v>4374.741667</v>
      </c>
      <c r="D103" s="261">
        <f t="shared" si="42"/>
        <v>4342</v>
      </c>
      <c r="E103" s="261">
        <f t="shared" si="42"/>
        <v>1928</v>
      </c>
      <c r="F103" s="261">
        <f t="shared" si="42"/>
        <v>2190</v>
      </c>
    </row>
    <row r="107">
      <c r="B107" s="36" t="s">
        <v>130</v>
      </c>
      <c r="C107" s="250">
        <f t="shared" ref="C107:C109" si="43">D107+E107/60+F107/3600</f>
        <v>28.92138889</v>
      </c>
      <c r="D107" s="36">
        <v>28.0</v>
      </c>
      <c r="E107" s="36">
        <v>55.0</v>
      </c>
      <c r="F107" s="36">
        <v>17.0</v>
      </c>
    </row>
    <row r="108">
      <c r="B108" s="36" t="s">
        <v>131</v>
      </c>
      <c r="C108" s="250">
        <f t="shared" si="43"/>
        <v>22.22083333</v>
      </c>
      <c r="D108" s="36">
        <v>22.0</v>
      </c>
      <c r="E108" s="36">
        <v>13.0</v>
      </c>
      <c r="F108" s="36">
        <v>15.0</v>
      </c>
    </row>
    <row r="109">
      <c r="B109" s="36" t="s">
        <v>132</v>
      </c>
      <c r="C109" s="250">
        <f t="shared" si="43"/>
        <v>23.63694444</v>
      </c>
      <c r="D109" s="36">
        <v>23.0</v>
      </c>
      <c r="E109" s="36">
        <v>38.0</v>
      </c>
      <c r="F109" s="36">
        <v>13.0</v>
      </c>
    </row>
  </sheetData>
  <mergeCells count="24">
    <mergeCell ref="A4:A8"/>
    <mergeCell ref="A9:B9"/>
    <mergeCell ref="A10:B10"/>
    <mergeCell ref="A14:B16"/>
    <mergeCell ref="A17:A31"/>
    <mergeCell ref="A32:B32"/>
    <mergeCell ref="A103:B103"/>
    <mergeCell ref="A1:B3"/>
    <mergeCell ref="C1:N1"/>
    <mergeCell ref="O1:P2"/>
    <mergeCell ref="C2:D2"/>
    <mergeCell ref="E2:F2"/>
    <mergeCell ref="G2:H2"/>
    <mergeCell ref="I2:J2"/>
    <mergeCell ref="I15:J15"/>
    <mergeCell ref="K15:L15"/>
    <mergeCell ref="K2:L2"/>
    <mergeCell ref="M2:N2"/>
    <mergeCell ref="C14:N14"/>
    <mergeCell ref="O14:P15"/>
    <mergeCell ref="C15:D15"/>
    <mergeCell ref="E15:F15"/>
    <mergeCell ref="G15:H15"/>
    <mergeCell ref="M15:N1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25"/>
  </cols>
  <sheetData>
    <row r="1">
      <c r="A1" s="50" t="s">
        <v>133</v>
      </c>
      <c r="B1" s="51"/>
      <c r="C1" s="52" t="s">
        <v>26</v>
      </c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53" t="s">
        <v>19</v>
      </c>
      <c r="P1" s="54"/>
    </row>
    <row r="2">
      <c r="A2" s="55"/>
      <c r="B2" s="56"/>
      <c r="C2" s="57" t="s">
        <v>13</v>
      </c>
      <c r="D2" s="6"/>
      <c r="E2" s="57" t="s">
        <v>14</v>
      </c>
      <c r="F2" s="6"/>
      <c r="G2" s="57" t="s">
        <v>15</v>
      </c>
      <c r="H2" s="6"/>
      <c r="I2" s="57" t="s">
        <v>16</v>
      </c>
      <c r="J2" s="6"/>
      <c r="K2" s="57" t="s">
        <v>17</v>
      </c>
      <c r="L2" s="6"/>
      <c r="M2" s="57" t="s">
        <v>18</v>
      </c>
      <c r="N2" s="58"/>
      <c r="O2" s="59"/>
      <c r="P2" s="60"/>
    </row>
    <row r="3">
      <c r="A3" s="61"/>
      <c r="B3" s="62"/>
      <c r="C3" s="64" t="s">
        <v>125</v>
      </c>
      <c r="D3" s="64" t="s">
        <v>28</v>
      </c>
      <c r="E3" s="64" t="s">
        <v>125</v>
      </c>
      <c r="F3" s="64" t="s">
        <v>28</v>
      </c>
      <c r="G3" s="64" t="s">
        <v>125</v>
      </c>
      <c r="H3" s="64" t="s">
        <v>28</v>
      </c>
      <c r="I3" s="64" t="s">
        <v>125</v>
      </c>
      <c r="J3" s="64" t="s">
        <v>28</v>
      </c>
      <c r="K3" s="64" t="s">
        <v>125</v>
      </c>
      <c r="L3" s="64" t="s">
        <v>28</v>
      </c>
      <c r="M3" s="64" t="s">
        <v>125</v>
      </c>
      <c r="N3" s="65" t="s">
        <v>28</v>
      </c>
      <c r="O3" s="213" t="s">
        <v>125</v>
      </c>
      <c r="P3" s="66" t="s">
        <v>28</v>
      </c>
    </row>
    <row r="4">
      <c r="A4" s="67" t="s">
        <v>29</v>
      </c>
      <c r="B4" s="68" t="s">
        <v>30</v>
      </c>
      <c r="C4" s="184">
        <f t="shared" ref="C4:C8" si="1">C17+C22+C27</f>
        <v>40701</v>
      </c>
      <c r="D4" s="183">
        <f t="shared" ref="D4:D8" si="2">C4/42000</f>
        <v>0.9690714286</v>
      </c>
      <c r="E4" s="184">
        <f t="shared" ref="E4:E8" si="3">E17+E22+E27</f>
        <v>3451</v>
      </c>
      <c r="F4" s="183">
        <f t="shared" ref="F4:F8" si="4">E4/6000</f>
        <v>0.5751666667</v>
      </c>
      <c r="G4" s="184">
        <f t="shared" ref="G4:G8" si="5">G17+G22+G27</f>
        <v>47696</v>
      </c>
      <c r="H4" s="183">
        <f t="shared" ref="H4:H8" si="6">G4/42000</f>
        <v>1.135619048</v>
      </c>
      <c r="I4" s="184">
        <f t="shared" ref="I4:I8" si="7">I17+I22+I27</f>
        <v>63499</v>
      </c>
      <c r="J4" s="183">
        <f t="shared" ref="J4:J8" si="8">I4/60000</f>
        <v>1.058316667</v>
      </c>
      <c r="K4" s="184">
        <f t="shared" ref="K4:K8" si="9">K17+K22+K27</f>
        <v>25204</v>
      </c>
      <c r="L4" s="183">
        <f t="shared" ref="L4:L8" si="10">K4/30000</f>
        <v>0.8401333333</v>
      </c>
      <c r="M4" s="184">
        <f t="shared" ref="M4:M8" si="11">M17+M22+M27</f>
        <v>45961</v>
      </c>
      <c r="N4" s="262">
        <f t="shared" ref="N4:N8" si="12">M4/60000</f>
        <v>0.7660166667</v>
      </c>
      <c r="O4" s="263">
        <f t="shared" ref="O4:O8" si="13">O17+O22+O27</f>
        <v>226512</v>
      </c>
      <c r="P4" s="262">
        <f t="shared" ref="P4:P8" si="14">O4/240000</f>
        <v>0.9438</v>
      </c>
    </row>
    <row r="5">
      <c r="A5" s="73"/>
      <c r="B5" s="74" t="s">
        <v>31</v>
      </c>
      <c r="C5" s="264">
        <f t="shared" si="1"/>
        <v>38702</v>
      </c>
      <c r="D5" s="183">
        <f t="shared" si="2"/>
        <v>0.9214761905</v>
      </c>
      <c r="E5" s="264">
        <f t="shared" si="3"/>
        <v>2418</v>
      </c>
      <c r="F5" s="183">
        <f t="shared" si="4"/>
        <v>0.403</v>
      </c>
      <c r="G5" s="264">
        <f t="shared" si="5"/>
        <v>47636</v>
      </c>
      <c r="H5" s="183">
        <f t="shared" si="6"/>
        <v>1.134190476</v>
      </c>
      <c r="I5" s="264">
        <f t="shared" si="7"/>
        <v>54176</v>
      </c>
      <c r="J5" s="186">
        <f t="shared" si="8"/>
        <v>0.9029333333</v>
      </c>
      <c r="K5" s="264">
        <f t="shared" si="9"/>
        <v>20319</v>
      </c>
      <c r="L5" s="186">
        <f t="shared" si="10"/>
        <v>0.6773</v>
      </c>
      <c r="M5" s="264">
        <f t="shared" si="11"/>
        <v>46105</v>
      </c>
      <c r="N5" s="221">
        <f t="shared" si="12"/>
        <v>0.7684166667</v>
      </c>
      <c r="O5" s="265">
        <f t="shared" si="13"/>
        <v>209356</v>
      </c>
      <c r="P5" s="221">
        <f t="shared" si="14"/>
        <v>0.8723166667</v>
      </c>
      <c r="Q5" s="36">
        <v>86.07</v>
      </c>
    </row>
    <row r="6">
      <c r="A6" s="73"/>
      <c r="B6" s="74" t="s">
        <v>32</v>
      </c>
      <c r="C6" s="264">
        <f t="shared" si="1"/>
        <v>39098</v>
      </c>
      <c r="D6" s="183">
        <f t="shared" si="2"/>
        <v>0.9309047619</v>
      </c>
      <c r="E6" s="266">
        <f t="shared" si="3"/>
        <v>3462</v>
      </c>
      <c r="F6" s="267">
        <f t="shared" si="4"/>
        <v>0.577</v>
      </c>
      <c r="G6" s="264">
        <f t="shared" si="5"/>
        <v>40297</v>
      </c>
      <c r="H6" s="183">
        <f t="shared" si="6"/>
        <v>0.959452381</v>
      </c>
      <c r="I6" s="264">
        <f t="shared" si="7"/>
        <v>57395</v>
      </c>
      <c r="J6" s="186">
        <f t="shared" si="8"/>
        <v>0.9565833333</v>
      </c>
      <c r="K6" s="264">
        <f t="shared" si="9"/>
        <v>28687</v>
      </c>
      <c r="L6" s="186">
        <f t="shared" si="10"/>
        <v>0.9562333333</v>
      </c>
      <c r="M6" s="264">
        <f t="shared" si="11"/>
        <v>63430</v>
      </c>
      <c r="N6" s="221">
        <f t="shared" si="12"/>
        <v>1.057166667</v>
      </c>
      <c r="O6" s="268">
        <f t="shared" si="13"/>
        <v>232369</v>
      </c>
      <c r="P6" s="223">
        <f t="shared" si="14"/>
        <v>0.9682041667</v>
      </c>
    </row>
    <row r="7">
      <c r="A7" s="73"/>
      <c r="B7" s="74" t="s">
        <v>33</v>
      </c>
      <c r="C7" s="264">
        <f t="shared" si="1"/>
        <v>42224</v>
      </c>
      <c r="D7" s="183">
        <f t="shared" si="2"/>
        <v>1.005333333</v>
      </c>
      <c r="E7" s="264">
        <f t="shared" si="3"/>
        <v>5018</v>
      </c>
      <c r="F7" s="183">
        <f t="shared" si="4"/>
        <v>0.8363333333</v>
      </c>
      <c r="G7" s="264">
        <f t="shared" si="5"/>
        <v>42095</v>
      </c>
      <c r="H7" s="183">
        <f t="shared" si="6"/>
        <v>1.002261905</v>
      </c>
      <c r="I7" s="264">
        <f t="shared" si="7"/>
        <v>54249</v>
      </c>
      <c r="J7" s="186">
        <f t="shared" si="8"/>
        <v>0.90415</v>
      </c>
      <c r="K7" s="264">
        <f t="shared" si="9"/>
        <v>30291</v>
      </c>
      <c r="L7" s="186">
        <f t="shared" si="10"/>
        <v>1.0097</v>
      </c>
      <c r="M7" s="264">
        <f t="shared" si="11"/>
        <v>61789</v>
      </c>
      <c r="N7" s="221">
        <f t="shared" si="12"/>
        <v>1.029816667</v>
      </c>
      <c r="O7" s="265">
        <f t="shared" si="13"/>
        <v>235666</v>
      </c>
      <c r="P7" s="221">
        <f t="shared" si="14"/>
        <v>0.9819416667</v>
      </c>
    </row>
    <row r="8">
      <c r="A8" s="83"/>
      <c r="B8" s="84" t="s">
        <v>34</v>
      </c>
      <c r="C8" s="269">
        <f t="shared" si="1"/>
        <v>39065</v>
      </c>
      <c r="D8" s="183">
        <f t="shared" si="2"/>
        <v>0.9301190476</v>
      </c>
      <c r="E8" s="269">
        <f t="shared" si="3"/>
        <v>17433</v>
      </c>
      <c r="F8" s="183">
        <f t="shared" si="4"/>
        <v>2.9055</v>
      </c>
      <c r="G8" s="269">
        <f t="shared" si="5"/>
        <v>39967</v>
      </c>
      <c r="H8" s="183">
        <f t="shared" si="6"/>
        <v>0.9515952381</v>
      </c>
      <c r="I8" s="269">
        <f t="shared" si="7"/>
        <v>65315</v>
      </c>
      <c r="J8" s="226">
        <f t="shared" si="8"/>
        <v>1.088583333</v>
      </c>
      <c r="K8" s="269">
        <f t="shared" si="9"/>
        <v>35757</v>
      </c>
      <c r="L8" s="226">
        <f t="shared" si="10"/>
        <v>1.1919</v>
      </c>
      <c r="M8" s="269">
        <f t="shared" si="11"/>
        <v>71307</v>
      </c>
      <c r="N8" s="228">
        <f t="shared" si="12"/>
        <v>1.18845</v>
      </c>
      <c r="O8" s="270">
        <f t="shared" si="13"/>
        <v>268844</v>
      </c>
      <c r="P8" s="271">
        <f t="shared" si="14"/>
        <v>1.120183333</v>
      </c>
    </row>
    <row r="9">
      <c r="A9" s="91" t="s">
        <v>19</v>
      </c>
      <c r="B9" s="92"/>
      <c r="C9" s="272">
        <f>sum(C4:C8)</f>
        <v>199790</v>
      </c>
      <c r="D9" s="273">
        <f>C9/210000</f>
        <v>0.9513809524</v>
      </c>
      <c r="E9" s="272">
        <f>sum(E4:E8)</f>
        <v>31782</v>
      </c>
      <c r="F9" s="273">
        <f>E9/30000</f>
        <v>1.0594</v>
      </c>
      <c r="G9" s="272">
        <f>sum(G4:G8)</f>
        <v>217691</v>
      </c>
      <c r="H9" s="273">
        <f>G9/210000</f>
        <v>1.03662381</v>
      </c>
      <c r="I9" s="272">
        <f>sum(I4:I8)</f>
        <v>294634</v>
      </c>
      <c r="J9" s="273">
        <f>I9/300000</f>
        <v>0.9821133333</v>
      </c>
      <c r="K9" s="272">
        <f>sum(K4:K8)</f>
        <v>140258</v>
      </c>
      <c r="L9" s="273">
        <f>K9/150000</f>
        <v>0.9350533333</v>
      </c>
      <c r="M9" s="272">
        <f>sum(M4:M8)</f>
        <v>288592</v>
      </c>
      <c r="N9" s="274">
        <f>M9/300000</f>
        <v>0.9619733333</v>
      </c>
      <c r="O9" s="275">
        <f>sum(O4:O8)</f>
        <v>1172747</v>
      </c>
      <c r="P9" s="276">
        <f>O9/1200000</f>
        <v>0.9772891667</v>
      </c>
    </row>
    <row r="10">
      <c r="B10" s="243" t="s">
        <v>134</v>
      </c>
      <c r="C10" s="100">
        <v>194082.0</v>
      </c>
      <c r="D10" s="99">
        <f>C10/C9</f>
        <v>0.9714300015</v>
      </c>
      <c r="E10" s="100">
        <v>31554.0</v>
      </c>
      <c r="F10" s="99">
        <f>E10/E9</f>
        <v>0.992826128</v>
      </c>
      <c r="G10" s="100">
        <v>216902.0</v>
      </c>
      <c r="H10" s="99">
        <f>G10/G9</f>
        <v>0.9963755966</v>
      </c>
      <c r="I10" s="100">
        <v>292593.0</v>
      </c>
      <c r="J10" s="99">
        <f>I10/I9</f>
        <v>0.9930727615</v>
      </c>
      <c r="K10" s="100">
        <v>139692.0</v>
      </c>
      <c r="L10" s="99">
        <f>K10/K9</f>
        <v>0.9959645796</v>
      </c>
      <c r="M10" s="100">
        <v>284842.0</v>
      </c>
      <c r="N10" s="99">
        <f>M10/M9</f>
        <v>0.9870058768</v>
      </c>
      <c r="O10" s="275">
        <f>SUM(C10,E10,G10,I10,K10,M10)</f>
        <v>1159665</v>
      </c>
      <c r="P10" s="99">
        <f>O10/O9</f>
        <v>0.9888449938</v>
      </c>
      <c r="Q10" s="261">
        <f>O10*3</f>
        <v>3478995</v>
      </c>
    </row>
    <row r="11">
      <c r="B11" s="277"/>
      <c r="C11" s="98">
        <f>C9+C105+C106+C107</f>
        <v>218480</v>
      </c>
      <c r="D11" s="212"/>
      <c r="F11" s="212"/>
      <c r="H11" s="212"/>
      <c r="J11" s="212"/>
      <c r="L11" s="212"/>
      <c r="N11" s="212"/>
      <c r="P11" s="212"/>
    </row>
    <row r="12">
      <c r="B12" s="243"/>
      <c r="C12" s="98">
        <f>C10+21743</f>
        <v>215825</v>
      </c>
      <c r="D12" s="99">
        <f>C12/C11</f>
        <v>0.9878478579</v>
      </c>
    </row>
    <row r="13">
      <c r="B13" s="243"/>
      <c r="C13" s="190"/>
      <c r="D13" s="99"/>
      <c r="E13" s="190"/>
      <c r="F13" s="99"/>
      <c r="G13" s="190"/>
      <c r="H13" s="99"/>
      <c r="I13" s="190"/>
      <c r="J13" s="99"/>
      <c r="K13" s="190"/>
      <c r="L13" s="99"/>
      <c r="M13" s="190"/>
      <c r="N13" s="99"/>
      <c r="O13" s="190"/>
      <c r="P13" s="99"/>
    </row>
    <row r="14" ht="18.0" customHeight="1">
      <c r="A14" s="50" t="s">
        <v>133</v>
      </c>
      <c r="B14" s="51"/>
      <c r="C14" s="52" t="s">
        <v>26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101"/>
      <c r="O14" s="53" t="s">
        <v>19</v>
      </c>
      <c r="P14" s="54"/>
    </row>
    <row r="15" ht="18.0" customHeight="1">
      <c r="A15" s="55"/>
      <c r="B15" s="56"/>
      <c r="C15" s="57" t="s">
        <v>13</v>
      </c>
      <c r="D15" s="6"/>
      <c r="E15" s="57" t="s">
        <v>14</v>
      </c>
      <c r="F15" s="6"/>
      <c r="G15" s="57" t="s">
        <v>15</v>
      </c>
      <c r="H15" s="6"/>
      <c r="I15" s="57" t="s">
        <v>16</v>
      </c>
      <c r="J15" s="6"/>
      <c r="K15" s="57" t="s">
        <v>17</v>
      </c>
      <c r="L15" s="6"/>
      <c r="M15" s="57" t="s">
        <v>18</v>
      </c>
      <c r="N15" s="6"/>
      <c r="O15" s="59"/>
      <c r="P15" s="60"/>
    </row>
    <row r="16" ht="18.0" customHeight="1">
      <c r="A16" s="61"/>
      <c r="B16" s="62"/>
      <c r="C16" s="64" t="s">
        <v>125</v>
      </c>
      <c r="D16" s="63" t="s">
        <v>28</v>
      </c>
      <c r="E16" s="64" t="s">
        <v>125</v>
      </c>
      <c r="F16" s="63" t="s">
        <v>28</v>
      </c>
      <c r="G16" s="64" t="s">
        <v>125</v>
      </c>
      <c r="H16" s="63" t="s">
        <v>28</v>
      </c>
      <c r="I16" s="64" t="s">
        <v>125</v>
      </c>
      <c r="J16" s="63" t="s">
        <v>28</v>
      </c>
      <c r="K16" s="64" t="s">
        <v>125</v>
      </c>
      <c r="L16" s="63" t="s">
        <v>28</v>
      </c>
      <c r="M16" s="64" t="s">
        <v>125</v>
      </c>
      <c r="N16" s="102" t="s">
        <v>28</v>
      </c>
      <c r="O16" s="213" t="s">
        <v>125</v>
      </c>
      <c r="P16" s="66" t="s">
        <v>28</v>
      </c>
    </row>
    <row r="17" ht="18.0" customHeight="1">
      <c r="A17" s="104" t="s">
        <v>29</v>
      </c>
      <c r="B17" s="105" t="s">
        <v>30</v>
      </c>
      <c r="C17" s="214">
        <v>29663.0</v>
      </c>
      <c r="D17" s="215">
        <f t="shared" ref="D17:D21" si="15">C17/30000</f>
        <v>0.9887666667</v>
      </c>
      <c r="E17" s="214">
        <f t="shared" ref="E17:E21" si="16">C88</f>
        <v>3451</v>
      </c>
      <c r="F17" s="215">
        <f t="shared" ref="F17:F21" si="17">E17/30000</f>
        <v>0.1150333333</v>
      </c>
      <c r="G17" s="214">
        <f>C73</f>
        <v>30000</v>
      </c>
      <c r="H17" s="215">
        <f t="shared" ref="H17:H21" si="18">G17/30000</f>
        <v>1</v>
      </c>
      <c r="I17" s="214">
        <f t="shared" ref="I17:I26" si="19">C63</f>
        <v>30000</v>
      </c>
      <c r="J17" s="215">
        <f t="shared" ref="J17:J21" si="20">I17/30000</f>
        <v>1</v>
      </c>
      <c r="K17" s="214">
        <f t="shared" ref="K17:K21" si="21">C52</f>
        <v>21141</v>
      </c>
      <c r="L17" s="215">
        <f t="shared" ref="L17:L21" si="22">K17/30000</f>
        <v>0.7047</v>
      </c>
      <c r="M17" s="214">
        <f t="shared" ref="M17:M22" si="23">C93</f>
        <v>30000</v>
      </c>
      <c r="N17" s="216">
        <f t="shared" ref="N17:N21" si="24">M17/30000</f>
        <v>1</v>
      </c>
      <c r="O17" s="217">
        <f t="shared" ref="O17:O31" si="25">sum(C17,E17,G17,I17,K17,M17)</f>
        <v>144255</v>
      </c>
      <c r="P17" s="218">
        <f t="shared" ref="P17:P21" si="26">O17/180000</f>
        <v>0.8014166667</v>
      </c>
    </row>
    <row r="18" ht="18.0" customHeight="1">
      <c r="A18" s="55"/>
      <c r="B18" s="112" t="s">
        <v>31</v>
      </c>
      <c r="C18" s="219">
        <v>28364.0</v>
      </c>
      <c r="D18" s="186">
        <f t="shared" si="15"/>
        <v>0.9454666667</v>
      </c>
      <c r="E18" s="220">
        <f t="shared" si="16"/>
        <v>2418</v>
      </c>
      <c r="F18" s="186">
        <f t="shared" si="17"/>
        <v>0.0806</v>
      </c>
      <c r="G18" s="278">
        <v>30000.0</v>
      </c>
      <c r="H18" s="279">
        <f t="shared" si="18"/>
        <v>1</v>
      </c>
      <c r="I18" s="219">
        <f t="shared" si="19"/>
        <v>30000</v>
      </c>
      <c r="J18" s="186">
        <f t="shared" si="20"/>
        <v>1</v>
      </c>
      <c r="K18" s="219">
        <f t="shared" si="21"/>
        <v>17363</v>
      </c>
      <c r="L18" s="186">
        <f t="shared" si="22"/>
        <v>0.5787666667</v>
      </c>
      <c r="M18" s="220">
        <f t="shared" si="23"/>
        <v>30000</v>
      </c>
      <c r="N18" s="221">
        <f t="shared" si="24"/>
        <v>1</v>
      </c>
      <c r="O18" s="222">
        <f t="shared" si="25"/>
        <v>138145</v>
      </c>
      <c r="P18" s="223">
        <f t="shared" si="26"/>
        <v>0.7674722222</v>
      </c>
    </row>
    <row r="19" ht="18.0" customHeight="1">
      <c r="A19" s="55"/>
      <c r="B19" s="112" t="s">
        <v>32</v>
      </c>
      <c r="C19" s="219">
        <f t="shared" ref="C19:C22" si="27">C40</f>
        <v>29934</v>
      </c>
      <c r="D19" s="186">
        <f t="shared" si="15"/>
        <v>0.9978</v>
      </c>
      <c r="E19" s="220">
        <f t="shared" si="16"/>
        <v>3462</v>
      </c>
      <c r="F19" s="194">
        <f t="shared" si="17"/>
        <v>0.1154</v>
      </c>
      <c r="G19" s="219">
        <f t="shared" ref="G19:G27" si="28">C75</f>
        <v>30000</v>
      </c>
      <c r="H19" s="186">
        <f t="shared" si="18"/>
        <v>1</v>
      </c>
      <c r="I19" s="219">
        <f t="shared" si="19"/>
        <v>30000</v>
      </c>
      <c r="J19" s="186">
        <f t="shared" si="20"/>
        <v>1</v>
      </c>
      <c r="K19" s="219">
        <f t="shared" si="21"/>
        <v>26541</v>
      </c>
      <c r="L19" s="186">
        <f t="shared" si="22"/>
        <v>0.8847</v>
      </c>
      <c r="M19" s="220">
        <f t="shared" si="23"/>
        <v>30000</v>
      </c>
      <c r="N19" s="221">
        <f t="shared" si="24"/>
        <v>1</v>
      </c>
      <c r="O19" s="222">
        <f t="shared" si="25"/>
        <v>149937</v>
      </c>
      <c r="P19" s="223">
        <f t="shared" si="26"/>
        <v>0.8329833333</v>
      </c>
    </row>
    <row r="20" ht="18.0" customHeight="1">
      <c r="A20" s="55"/>
      <c r="B20" s="112" t="s">
        <v>33</v>
      </c>
      <c r="C20" s="219">
        <f t="shared" si="27"/>
        <v>29928</v>
      </c>
      <c r="D20" s="186">
        <f t="shared" si="15"/>
        <v>0.9976</v>
      </c>
      <c r="E20" s="220">
        <f t="shared" si="16"/>
        <v>5018</v>
      </c>
      <c r="F20" s="186">
        <f t="shared" si="17"/>
        <v>0.1672666667</v>
      </c>
      <c r="G20" s="219">
        <f t="shared" si="28"/>
        <v>30000</v>
      </c>
      <c r="H20" s="186">
        <f t="shared" si="18"/>
        <v>1</v>
      </c>
      <c r="I20" s="219">
        <f t="shared" si="19"/>
        <v>30000</v>
      </c>
      <c r="J20" s="186">
        <f t="shared" si="20"/>
        <v>1</v>
      </c>
      <c r="K20" s="219">
        <f t="shared" si="21"/>
        <v>29115</v>
      </c>
      <c r="L20" s="186">
        <f t="shared" si="22"/>
        <v>0.9705</v>
      </c>
      <c r="M20" s="220">
        <f t="shared" si="23"/>
        <v>30000</v>
      </c>
      <c r="N20" s="221">
        <f t="shared" si="24"/>
        <v>1</v>
      </c>
      <c r="O20" s="222">
        <f t="shared" si="25"/>
        <v>154061</v>
      </c>
      <c r="P20" s="223">
        <f t="shared" si="26"/>
        <v>0.8558944444</v>
      </c>
    </row>
    <row r="21" ht="18.0" customHeight="1">
      <c r="A21" s="55"/>
      <c r="B21" s="118" t="s">
        <v>34</v>
      </c>
      <c r="C21" s="225">
        <f t="shared" si="27"/>
        <v>30000</v>
      </c>
      <c r="D21" s="226">
        <f t="shared" si="15"/>
        <v>1</v>
      </c>
      <c r="E21" s="227">
        <f t="shared" si="16"/>
        <v>17433</v>
      </c>
      <c r="F21" s="226">
        <f t="shared" si="17"/>
        <v>0.5811</v>
      </c>
      <c r="G21" s="225">
        <f t="shared" si="28"/>
        <v>30000</v>
      </c>
      <c r="H21" s="226">
        <f t="shared" si="18"/>
        <v>1</v>
      </c>
      <c r="I21" s="225">
        <f t="shared" si="19"/>
        <v>30000</v>
      </c>
      <c r="J21" s="226">
        <f t="shared" si="20"/>
        <v>1</v>
      </c>
      <c r="K21" s="225">
        <f t="shared" si="21"/>
        <v>30000</v>
      </c>
      <c r="L21" s="226">
        <f t="shared" si="22"/>
        <v>1</v>
      </c>
      <c r="M21" s="227">
        <f t="shared" si="23"/>
        <v>30000</v>
      </c>
      <c r="N21" s="228">
        <f t="shared" si="24"/>
        <v>1</v>
      </c>
      <c r="O21" s="222">
        <f t="shared" si="25"/>
        <v>167433</v>
      </c>
      <c r="P21" s="223">
        <f t="shared" si="26"/>
        <v>0.9301833333</v>
      </c>
    </row>
    <row r="22" ht="18.0" customHeight="1">
      <c r="A22" s="55"/>
      <c r="B22" s="105" t="s">
        <v>35</v>
      </c>
      <c r="C22" s="214">
        <f t="shared" si="27"/>
        <v>2970</v>
      </c>
      <c r="D22" s="215">
        <f>C22/3000</f>
        <v>0.99</v>
      </c>
      <c r="E22" s="229"/>
      <c r="F22" s="229"/>
      <c r="G22" s="214">
        <f t="shared" si="28"/>
        <v>3000</v>
      </c>
      <c r="H22" s="215">
        <f t="shared" ref="H22:H26" si="29">G22/3000</f>
        <v>1</v>
      </c>
      <c r="I22" s="214">
        <f t="shared" si="19"/>
        <v>33499</v>
      </c>
      <c r="J22" s="215">
        <f t="shared" ref="J22:J26" si="30">I22/36000</f>
        <v>0.9305277778</v>
      </c>
      <c r="K22" s="229"/>
      <c r="L22" s="229"/>
      <c r="M22" s="214">
        <f t="shared" si="23"/>
        <v>15961</v>
      </c>
      <c r="N22" s="216">
        <f t="shared" ref="N22:N26" si="31">M22/42000</f>
        <v>0.3800238095</v>
      </c>
      <c r="O22" s="222">
        <f t="shared" si="25"/>
        <v>55430</v>
      </c>
      <c r="P22" s="223">
        <f>O22/84000</f>
        <v>0.6598809524</v>
      </c>
    </row>
    <row r="23" ht="18.0" customHeight="1">
      <c r="A23" s="55"/>
      <c r="B23" s="112" t="s">
        <v>36</v>
      </c>
      <c r="C23" s="230"/>
      <c r="D23" s="230"/>
      <c r="E23" s="230"/>
      <c r="F23" s="230"/>
      <c r="G23" s="219">
        <f t="shared" si="28"/>
        <v>3000</v>
      </c>
      <c r="H23" s="186">
        <f t="shared" si="29"/>
        <v>1</v>
      </c>
      <c r="I23" s="219">
        <f t="shared" si="19"/>
        <v>24176</v>
      </c>
      <c r="J23" s="186">
        <f t="shared" si="30"/>
        <v>0.6715555556</v>
      </c>
      <c r="K23" s="230"/>
      <c r="L23" s="230"/>
      <c r="M23" s="220">
        <v>16105.0</v>
      </c>
      <c r="N23" s="221">
        <f t="shared" si="31"/>
        <v>0.383452381</v>
      </c>
      <c r="O23" s="222">
        <f t="shared" si="25"/>
        <v>43281</v>
      </c>
      <c r="P23" s="223">
        <f>O23/81000</f>
        <v>0.5343333333</v>
      </c>
    </row>
    <row r="24" ht="18.0" customHeight="1">
      <c r="A24" s="55"/>
      <c r="B24" s="112" t="s">
        <v>37</v>
      </c>
      <c r="C24" s="219">
        <f t="shared" ref="C24:C27" si="32">C44</f>
        <v>3000</v>
      </c>
      <c r="D24" s="186">
        <f t="shared" ref="D24:D26" si="33">C24/3000</f>
        <v>1</v>
      </c>
      <c r="E24" s="230"/>
      <c r="F24" s="230"/>
      <c r="G24" s="219">
        <f t="shared" si="28"/>
        <v>3000</v>
      </c>
      <c r="H24" s="186">
        <f t="shared" si="29"/>
        <v>1</v>
      </c>
      <c r="I24" s="219">
        <f t="shared" si="19"/>
        <v>27395</v>
      </c>
      <c r="J24" s="186">
        <f t="shared" si="30"/>
        <v>0.7609722222</v>
      </c>
      <c r="K24" s="230"/>
      <c r="L24" s="230"/>
      <c r="M24" s="220">
        <f t="shared" ref="M24:M26" si="34">C100</f>
        <v>33430</v>
      </c>
      <c r="N24" s="221">
        <f t="shared" si="31"/>
        <v>0.795952381</v>
      </c>
      <c r="O24" s="222">
        <f t="shared" si="25"/>
        <v>66825</v>
      </c>
      <c r="P24" s="223">
        <f t="shared" ref="P24:P25" si="35">O24/84000</f>
        <v>0.7955357143</v>
      </c>
    </row>
    <row r="25" ht="18.0" customHeight="1">
      <c r="A25" s="55"/>
      <c r="B25" s="112" t="s">
        <v>38</v>
      </c>
      <c r="C25" s="219">
        <f t="shared" si="32"/>
        <v>3000</v>
      </c>
      <c r="D25" s="186">
        <f t="shared" si="33"/>
        <v>1</v>
      </c>
      <c r="E25" s="230"/>
      <c r="F25" s="230"/>
      <c r="G25" s="219">
        <f t="shared" si="28"/>
        <v>3000</v>
      </c>
      <c r="H25" s="186">
        <f t="shared" si="29"/>
        <v>1</v>
      </c>
      <c r="I25" s="219">
        <f t="shared" si="19"/>
        <v>24249</v>
      </c>
      <c r="J25" s="186">
        <f t="shared" si="30"/>
        <v>0.6735833333</v>
      </c>
      <c r="K25" s="230"/>
      <c r="L25" s="230"/>
      <c r="M25" s="220">
        <f t="shared" si="34"/>
        <v>31789</v>
      </c>
      <c r="N25" s="221">
        <f t="shared" si="31"/>
        <v>0.7568809524</v>
      </c>
      <c r="O25" s="222">
        <f t="shared" si="25"/>
        <v>62038</v>
      </c>
      <c r="P25" s="223">
        <f t="shared" si="35"/>
        <v>0.738547619</v>
      </c>
    </row>
    <row r="26" ht="18.0" customHeight="1">
      <c r="A26" s="55"/>
      <c r="B26" s="118" t="s">
        <v>39</v>
      </c>
      <c r="C26" s="225">
        <f t="shared" si="32"/>
        <v>3000</v>
      </c>
      <c r="D26" s="226">
        <f t="shared" si="33"/>
        <v>1</v>
      </c>
      <c r="E26" s="231"/>
      <c r="F26" s="231"/>
      <c r="G26" s="225">
        <f t="shared" si="28"/>
        <v>3000</v>
      </c>
      <c r="H26" s="226">
        <f t="shared" si="29"/>
        <v>1</v>
      </c>
      <c r="I26" s="225">
        <f t="shared" si="19"/>
        <v>35315</v>
      </c>
      <c r="J26" s="226">
        <f t="shared" si="30"/>
        <v>0.9809722222</v>
      </c>
      <c r="K26" s="227">
        <f t="shared" ref="K26:K27" si="36">C57</f>
        <v>2903</v>
      </c>
      <c r="L26" s="226">
        <f>K26/3000</f>
        <v>0.9676666667</v>
      </c>
      <c r="M26" s="220">
        <f t="shared" si="34"/>
        <v>41307</v>
      </c>
      <c r="N26" s="228">
        <f t="shared" si="31"/>
        <v>0.9835</v>
      </c>
      <c r="O26" s="222">
        <f t="shared" si="25"/>
        <v>85525</v>
      </c>
      <c r="P26" s="223">
        <f>O26/87000</f>
        <v>0.983045977</v>
      </c>
    </row>
    <row r="27" ht="18.0" customHeight="1">
      <c r="A27" s="55"/>
      <c r="B27" s="105" t="s">
        <v>40</v>
      </c>
      <c r="C27" s="214">
        <f t="shared" si="32"/>
        <v>8068</v>
      </c>
      <c r="D27" s="215">
        <f>C27/15000</f>
        <v>0.5378666667</v>
      </c>
      <c r="E27" s="229"/>
      <c r="F27" s="229"/>
      <c r="G27" s="214">
        <f t="shared" si="28"/>
        <v>14696</v>
      </c>
      <c r="H27" s="215">
        <f t="shared" ref="H27:H31" si="37">G27/15000</f>
        <v>0.9797333333</v>
      </c>
      <c r="I27" s="229"/>
      <c r="J27" s="229"/>
      <c r="K27" s="214">
        <f t="shared" si="36"/>
        <v>4063</v>
      </c>
      <c r="L27" s="215">
        <f t="shared" ref="L27:L30" si="38">K27/18000</f>
        <v>0.2257222222</v>
      </c>
      <c r="M27" s="229"/>
      <c r="N27" s="232"/>
      <c r="O27" s="222">
        <f t="shared" si="25"/>
        <v>26827</v>
      </c>
      <c r="P27" s="223">
        <f>O27/48000</f>
        <v>0.5588958333</v>
      </c>
    </row>
    <row r="28" ht="18.0" customHeight="1">
      <c r="A28" s="55"/>
      <c r="B28" s="112" t="s">
        <v>41</v>
      </c>
      <c r="C28" s="219">
        <v>10338.0</v>
      </c>
      <c r="D28" s="186">
        <f>C28/18000</f>
        <v>0.5743333333</v>
      </c>
      <c r="E28" s="230"/>
      <c r="F28" s="230"/>
      <c r="G28" s="219">
        <v>14636.0</v>
      </c>
      <c r="H28" s="186">
        <f t="shared" si="37"/>
        <v>0.9757333333</v>
      </c>
      <c r="I28" s="230"/>
      <c r="J28" s="230"/>
      <c r="K28" s="220">
        <v>2956.0</v>
      </c>
      <c r="L28" s="186">
        <f t="shared" si="38"/>
        <v>0.1642222222</v>
      </c>
      <c r="M28" s="230"/>
      <c r="N28" s="233"/>
      <c r="O28" s="222">
        <f t="shared" si="25"/>
        <v>27930</v>
      </c>
      <c r="P28" s="223">
        <f>O28/51000</f>
        <v>0.5476470588</v>
      </c>
    </row>
    <row r="29" ht="18.0" customHeight="1">
      <c r="A29" s="55"/>
      <c r="B29" s="112" t="s">
        <v>42</v>
      </c>
      <c r="C29" s="219">
        <f t="shared" ref="C29:C31" si="39">C49</f>
        <v>6164</v>
      </c>
      <c r="D29" s="186">
        <f t="shared" ref="D29:D31" si="40">C29/15000</f>
        <v>0.4109333333</v>
      </c>
      <c r="E29" s="230"/>
      <c r="F29" s="230"/>
      <c r="G29" s="219">
        <f t="shared" ref="G29:G31" si="41">C85</f>
        <v>7297</v>
      </c>
      <c r="H29" s="186">
        <f t="shared" si="37"/>
        <v>0.4864666667</v>
      </c>
      <c r="I29" s="230"/>
      <c r="J29" s="230"/>
      <c r="K29" s="220">
        <f t="shared" ref="K29:K31" si="42">C60</f>
        <v>2146</v>
      </c>
      <c r="L29" s="186">
        <f t="shared" si="38"/>
        <v>0.1192222222</v>
      </c>
      <c r="M29" s="230"/>
      <c r="N29" s="233"/>
      <c r="O29" s="222">
        <f t="shared" si="25"/>
        <v>15607</v>
      </c>
      <c r="P29" s="223">
        <f t="shared" ref="P29:P30" si="43">O29/48000</f>
        <v>0.3251458333</v>
      </c>
    </row>
    <row r="30" ht="18.0" customHeight="1">
      <c r="A30" s="55"/>
      <c r="B30" s="112" t="s">
        <v>43</v>
      </c>
      <c r="C30" s="219">
        <f t="shared" si="39"/>
        <v>9296</v>
      </c>
      <c r="D30" s="186">
        <f t="shared" si="40"/>
        <v>0.6197333333</v>
      </c>
      <c r="E30" s="230"/>
      <c r="F30" s="230"/>
      <c r="G30" s="219">
        <f t="shared" si="41"/>
        <v>9095</v>
      </c>
      <c r="H30" s="186">
        <f t="shared" si="37"/>
        <v>0.6063333333</v>
      </c>
      <c r="I30" s="230"/>
      <c r="J30" s="230"/>
      <c r="K30" s="220">
        <f t="shared" si="42"/>
        <v>1176</v>
      </c>
      <c r="L30" s="186">
        <f t="shared" si="38"/>
        <v>0.06533333333</v>
      </c>
      <c r="M30" s="230"/>
      <c r="N30" s="233"/>
      <c r="O30" s="222">
        <f t="shared" si="25"/>
        <v>19567</v>
      </c>
      <c r="P30" s="223">
        <f t="shared" si="43"/>
        <v>0.4076458333</v>
      </c>
    </row>
    <row r="31" ht="18.0" customHeight="1">
      <c r="A31" s="59"/>
      <c r="B31" s="118" t="s">
        <v>44</v>
      </c>
      <c r="C31" s="225">
        <f t="shared" si="39"/>
        <v>6065</v>
      </c>
      <c r="D31" s="226">
        <f t="shared" si="40"/>
        <v>0.4043333333</v>
      </c>
      <c r="E31" s="231"/>
      <c r="F31" s="231"/>
      <c r="G31" s="225">
        <f t="shared" si="41"/>
        <v>6967</v>
      </c>
      <c r="H31" s="226">
        <f t="shared" si="37"/>
        <v>0.4644666667</v>
      </c>
      <c r="I31" s="231"/>
      <c r="J31" s="231"/>
      <c r="K31" s="227">
        <f t="shared" si="42"/>
        <v>2854</v>
      </c>
      <c r="L31" s="226">
        <f>K31/15000</f>
        <v>0.1902666667</v>
      </c>
      <c r="M31" s="231"/>
      <c r="N31" s="234"/>
      <c r="O31" s="222">
        <f t="shared" si="25"/>
        <v>15886</v>
      </c>
      <c r="P31" s="235">
        <f>O31/45000</f>
        <v>0.3530222222</v>
      </c>
    </row>
    <row r="32" ht="18.0" customHeight="1">
      <c r="A32" s="91" t="s">
        <v>19</v>
      </c>
      <c r="B32" s="127"/>
      <c r="C32" s="236">
        <f>SUM(C17:C31)</f>
        <v>199790</v>
      </c>
      <c r="D32" s="237">
        <f>C32/165000</f>
        <v>1.210848485</v>
      </c>
      <c r="E32" s="236">
        <f>SUM(E17:E31)</f>
        <v>31782</v>
      </c>
      <c r="F32" s="237">
        <f>E32/165000</f>
        <v>0.1926181818</v>
      </c>
      <c r="G32" s="236">
        <f>SUM(G17:G31)</f>
        <v>217691</v>
      </c>
      <c r="H32" s="237">
        <f>G32/165000</f>
        <v>1.319339394</v>
      </c>
      <c r="I32" s="236">
        <f>SUM(I17:I31)</f>
        <v>294634</v>
      </c>
      <c r="J32" s="237">
        <f>I32/330000</f>
        <v>0.892830303</v>
      </c>
      <c r="K32" s="236">
        <f>SUM(K17:K31)</f>
        <v>140258</v>
      </c>
      <c r="L32" s="237">
        <f>K32/165000</f>
        <v>0.8500484848</v>
      </c>
      <c r="M32" s="236">
        <f>SUM(M17:M31)</f>
        <v>288592</v>
      </c>
      <c r="N32" s="238">
        <f>M32/330000</f>
        <v>0.8745212121</v>
      </c>
      <c r="O32" s="239">
        <f>sum(O17:O31)</f>
        <v>1172747</v>
      </c>
      <c r="P32" s="240">
        <f>O32/1230000</f>
        <v>0.9534528455</v>
      </c>
    </row>
    <row r="37">
      <c r="A37" s="133" t="s">
        <v>45</v>
      </c>
      <c r="B37" s="241" t="s">
        <v>46</v>
      </c>
      <c r="C37" s="242" t="s">
        <v>125</v>
      </c>
      <c r="F37" s="35"/>
    </row>
    <row r="38">
      <c r="A38" s="245">
        <v>13301.0</v>
      </c>
      <c r="B38" s="246" t="s">
        <v>53</v>
      </c>
      <c r="C38" s="280">
        <v>29663.0</v>
      </c>
    </row>
    <row r="39">
      <c r="A39" s="245">
        <v>13302.0</v>
      </c>
      <c r="B39" s="246" t="s">
        <v>55</v>
      </c>
      <c r="C39" s="281">
        <v>28364.0</v>
      </c>
      <c r="D39" s="212">
        <f>C39/30000</f>
        <v>0.9454666667</v>
      </c>
    </row>
    <row r="40">
      <c r="A40" s="251">
        <v>13303.0</v>
      </c>
      <c r="B40" s="252" t="s">
        <v>58</v>
      </c>
      <c r="C40" s="281">
        <v>29934.0</v>
      </c>
      <c r="D40" s="99"/>
    </row>
    <row r="41">
      <c r="A41" s="251">
        <v>13304.0</v>
      </c>
      <c r="B41" s="252" t="s">
        <v>59</v>
      </c>
      <c r="C41" s="281">
        <v>29928.0</v>
      </c>
      <c r="D41" s="212">
        <f t="shared" ref="D41:D42" si="44">C41/30000</f>
        <v>0.9976</v>
      </c>
    </row>
    <row r="42">
      <c r="A42" s="251">
        <v>13305.0</v>
      </c>
      <c r="B42" s="252" t="s">
        <v>60</v>
      </c>
      <c r="C42" s="281">
        <v>30000.0</v>
      </c>
      <c r="D42" s="212">
        <f t="shared" si="44"/>
        <v>1</v>
      </c>
    </row>
    <row r="43">
      <c r="A43" s="245">
        <v>14408.0</v>
      </c>
      <c r="B43" s="246" t="s">
        <v>61</v>
      </c>
      <c r="C43" s="281">
        <v>2970.0</v>
      </c>
    </row>
    <row r="44">
      <c r="A44" s="251">
        <v>14410.0</v>
      </c>
      <c r="B44" s="252" t="s">
        <v>62</v>
      </c>
      <c r="C44" s="281">
        <v>3000.0</v>
      </c>
    </row>
    <row r="45">
      <c r="A45" s="251">
        <v>14423.0</v>
      </c>
      <c r="B45" s="252" t="s">
        <v>63</v>
      </c>
      <c r="C45" s="281">
        <v>3000.0</v>
      </c>
    </row>
    <row r="46">
      <c r="A46" s="251">
        <v>13959.0</v>
      </c>
      <c r="B46" s="252" t="s">
        <v>64</v>
      </c>
      <c r="C46" s="281">
        <v>3000.0</v>
      </c>
    </row>
    <row r="47">
      <c r="A47" s="254">
        <v>15136.0</v>
      </c>
      <c r="B47" s="246" t="s">
        <v>65</v>
      </c>
      <c r="C47" s="281">
        <v>8068.0</v>
      </c>
    </row>
    <row r="48">
      <c r="A48" s="245">
        <v>15139.0</v>
      </c>
      <c r="B48" s="246" t="s">
        <v>66</v>
      </c>
      <c r="C48" s="281">
        <v>10338.0</v>
      </c>
    </row>
    <row r="49">
      <c r="A49" s="251">
        <v>15140.0</v>
      </c>
      <c r="B49" s="252" t="s">
        <v>67</v>
      </c>
      <c r="C49" s="281">
        <v>6164.0</v>
      </c>
    </row>
    <row r="50">
      <c r="A50" s="251">
        <v>15141.0</v>
      </c>
      <c r="B50" s="252" t="s">
        <v>68</v>
      </c>
      <c r="C50" s="281">
        <v>9296.0</v>
      </c>
    </row>
    <row r="51">
      <c r="A51" s="255">
        <v>15135.0</v>
      </c>
      <c r="B51" s="252" t="s">
        <v>69</v>
      </c>
      <c r="C51" s="281">
        <v>6065.0</v>
      </c>
    </row>
    <row r="52">
      <c r="A52" s="245">
        <v>13318.0</v>
      </c>
      <c r="B52" s="246" t="s">
        <v>70</v>
      </c>
      <c r="C52" s="281">
        <v>21141.0</v>
      </c>
    </row>
    <row r="53">
      <c r="A53" s="245">
        <v>13319.0</v>
      </c>
      <c r="B53" s="246" t="s">
        <v>71</v>
      </c>
      <c r="C53" s="281">
        <v>17363.0</v>
      </c>
    </row>
    <row r="54">
      <c r="A54" s="251">
        <v>13320.0</v>
      </c>
      <c r="B54" s="252" t="s">
        <v>72</v>
      </c>
      <c r="C54" s="281">
        <v>26541.0</v>
      </c>
    </row>
    <row r="55">
      <c r="A55" s="251">
        <v>13321.0</v>
      </c>
      <c r="B55" s="252" t="s">
        <v>73</v>
      </c>
      <c r="C55" s="281">
        <v>29115.0</v>
      </c>
    </row>
    <row r="56">
      <c r="A56" s="251">
        <v>13322.0</v>
      </c>
      <c r="B56" s="252" t="s">
        <v>74</v>
      </c>
      <c r="C56" s="281">
        <v>30000.0</v>
      </c>
    </row>
    <row r="57">
      <c r="A57" s="251">
        <v>14429.0</v>
      </c>
      <c r="B57" s="252" t="s">
        <v>75</v>
      </c>
      <c r="C57" s="281">
        <v>2903.0</v>
      </c>
    </row>
    <row r="58">
      <c r="A58" s="245">
        <v>15143.0</v>
      </c>
      <c r="B58" s="246" t="s">
        <v>76</v>
      </c>
      <c r="C58" s="281">
        <v>4063.0</v>
      </c>
    </row>
    <row r="59">
      <c r="A59" s="245">
        <v>15144.0</v>
      </c>
      <c r="B59" s="246" t="s">
        <v>77</v>
      </c>
      <c r="C59" s="281">
        <v>2956.0</v>
      </c>
    </row>
    <row r="60">
      <c r="A60" s="251">
        <v>15145.0</v>
      </c>
      <c r="B60" s="252" t="s">
        <v>78</v>
      </c>
      <c r="C60" s="281">
        <v>2146.0</v>
      </c>
    </row>
    <row r="61">
      <c r="A61" s="251">
        <v>15146.0</v>
      </c>
      <c r="B61" s="252" t="s">
        <v>79</v>
      </c>
      <c r="C61" s="281">
        <v>1176.0</v>
      </c>
    </row>
    <row r="62">
      <c r="A62" s="255">
        <v>15142.0</v>
      </c>
      <c r="B62" s="252" t="s">
        <v>80</v>
      </c>
      <c r="C62" s="281">
        <v>2854.0</v>
      </c>
    </row>
    <row r="63">
      <c r="A63" s="251">
        <v>13323.0</v>
      </c>
      <c r="B63" s="252" t="s">
        <v>81</v>
      </c>
      <c r="C63" s="281">
        <v>30000.0</v>
      </c>
    </row>
    <row r="64">
      <c r="A64" s="251">
        <v>13324.0</v>
      </c>
      <c r="B64" s="252" t="s">
        <v>82</v>
      </c>
      <c r="C64" s="281">
        <v>30000.0</v>
      </c>
    </row>
    <row r="65">
      <c r="A65" s="251">
        <v>13325.0</v>
      </c>
      <c r="B65" s="252" t="s">
        <v>83</v>
      </c>
      <c r="C65" s="281">
        <v>30000.0</v>
      </c>
    </row>
    <row r="66">
      <c r="A66" s="251">
        <v>13326.0</v>
      </c>
      <c r="B66" s="252" t="s">
        <v>84</v>
      </c>
      <c r="C66" s="281">
        <v>30000.0</v>
      </c>
    </row>
    <row r="67">
      <c r="A67" s="251">
        <v>13327.0</v>
      </c>
      <c r="B67" s="252" t="s">
        <v>85</v>
      </c>
      <c r="C67" s="281">
        <v>30000.0</v>
      </c>
    </row>
    <row r="68">
      <c r="A68" s="251">
        <v>14106.0</v>
      </c>
      <c r="B68" s="252" t="s">
        <v>86</v>
      </c>
      <c r="C68" s="281">
        <v>33499.0</v>
      </c>
    </row>
    <row r="69">
      <c r="A69" s="245">
        <v>14422.0</v>
      </c>
      <c r="B69" s="246" t="s">
        <v>87</v>
      </c>
      <c r="C69" s="281">
        <v>24176.0</v>
      </c>
    </row>
    <row r="70">
      <c r="A70" s="251">
        <v>13960.0</v>
      </c>
      <c r="B70" s="252" t="s">
        <v>88</v>
      </c>
      <c r="C70" s="281">
        <v>27395.0</v>
      </c>
    </row>
    <row r="71">
      <c r="A71" s="251">
        <v>13779.0</v>
      </c>
      <c r="B71" s="252" t="s">
        <v>89</v>
      </c>
      <c r="C71" s="281">
        <v>24249.0</v>
      </c>
    </row>
    <row r="72">
      <c r="A72" s="251">
        <v>13543.0</v>
      </c>
      <c r="B72" s="252" t="s">
        <v>90</v>
      </c>
      <c r="C72" s="281">
        <v>35315.0</v>
      </c>
    </row>
    <row r="73">
      <c r="A73" s="251">
        <v>13328.0</v>
      </c>
      <c r="B73" s="252" t="s">
        <v>91</v>
      </c>
      <c r="C73" s="281">
        <v>30000.0</v>
      </c>
    </row>
    <row r="74">
      <c r="A74" s="251">
        <v>13329.0</v>
      </c>
      <c r="B74" s="252" t="s">
        <v>92</v>
      </c>
      <c r="C74" s="282">
        <v>30000.0</v>
      </c>
    </row>
    <row r="75">
      <c r="A75" s="256">
        <v>13330.0</v>
      </c>
      <c r="B75" s="257" t="s">
        <v>93</v>
      </c>
      <c r="C75" s="281">
        <v>30000.0</v>
      </c>
    </row>
    <row r="76">
      <c r="A76" s="256">
        <v>13331.0</v>
      </c>
      <c r="B76" s="257" t="s">
        <v>94</v>
      </c>
      <c r="C76" s="281">
        <v>30000.0</v>
      </c>
    </row>
    <row r="77">
      <c r="A77" s="256">
        <v>13332.0</v>
      </c>
      <c r="B77" s="257" t="s">
        <v>95</v>
      </c>
      <c r="C77" s="281">
        <v>30000.0</v>
      </c>
    </row>
    <row r="78">
      <c r="A78" s="256">
        <v>14417.0</v>
      </c>
      <c r="B78" s="257" t="s">
        <v>96</v>
      </c>
      <c r="C78" s="281">
        <v>3000.0</v>
      </c>
    </row>
    <row r="79">
      <c r="A79" s="251">
        <v>14418.0</v>
      </c>
      <c r="B79" s="252" t="s">
        <v>97</v>
      </c>
      <c r="C79" s="283">
        <v>3000.0</v>
      </c>
    </row>
    <row r="80">
      <c r="A80" s="256">
        <v>14104.0</v>
      </c>
      <c r="B80" s="257" t="s">
        <v>98</v>
      </c>
      <c r="C80" s="281">
        <v>3000.0</v>
      </c>
    </row>
    <row r="81">
      <c r="A81" s="256">
        <v>14105.0</v>
      </c>
      <c r="B81" s="257" t="s">
        <v>99</v>
      </c>
      <c r="C81" s="281">
        <v>3000.0</v>
      </c>
    </row>
    <row r="82">
      <c r="A82" s="256">
        <v>13788.0</v>
      </c>
      <c r="B82" s="257" t="s">
        <v>100</v>
      </c>
      <c r="C82" s="281">
        <v>3000.0</v>
      </c>
    </row>
    <row r="83">
      <c r="A83" s="245">
        <v>15148.0</v>
      </c>
      <c r="B83" s="246" t="s">
        <v>101</v>
      </c>
      <c r="C83" s="281">
        <v>14696.0</v>
      </c>
    </row>
    <row r="84">
      <c r="A84" s="245">
        <v>15149.0</v>
      </c>
      <c r="B84" s="246" t="s">
        <v>102</v>
      </c>
      <c r="C84" s="281">
        <v>14636.0</v>
      </c>
    </row>
    <row r="85">
      <c r="A85" s="251">
        <v>15150.0</v>
      </c>
      <c r="B85" s="252" t="s">
        <v>103</v>
      </c>
      <c r="C85" s="284">
        <v>7297.0</v>
      </c>
    </row>
    <row r="86">
      <c r="A86" s="251">
        <v>15151.0</v>
      </c>
      <c r="B86" s="252" t="s">
        <v>104</v>
      </c>
      <c r="C86" s="283">
        <v>9095.0</v>
      </c>
    </row>
    <row r="87">
      <c r="A87" s="255">
        <v>15147.0</v>
      </c>
      <c r="B87" s="252" t="s">
        <v>105</v>
      </c>
      <c r="C87" s="281">
        <v>6967.0</v>
      </c>
    </row>
    <row r="88">
      <c r="A88" s="245">
        <v>13333.0</v>
      </c>
      <c r="B88" s="246" t="s">
        <v>106</v>
      </c>
      <c r="C88" s="281">
        <v>3451.0</v>
      </c>
    </row>
    <row r="89">
      <c r="A89" s="245">
        <v>13334.0</v>
      </c>
      <c r="B89" s="246" t="s">
        <v>107</v>
      </c>
      <c r="C89" s="281">
        <v>2418.0</v>
      </c>
    </row>
    <row r="90">
      <c r="A90" s="248">
        <v>13335.0</v>
      </c>
      <c r="B90" s="249" t="s">
        <v>108</v>
      </c>
      <c r="C90" s="283">
        <v>3462.0</v>
      </c>
    </row>
    <row r="91">
      <c r="A91" s="245">
        <v>13336.0</v>
      </c>
      <c r="B91" s="246" t="s">
        <v>109</v>
      </c>
      <c r="C91" s="281">
        <v>5018.0</v>
      </c>
    </row>
    <row r="92">
      <c r="A92" s="251">
        <v>13337.0</v>
      </c>
      <c r="B92" s="252" t="s">
        <v>110</v>
      </c>
      <c r="C92" s="281">
        <v>17433.0</v>
      </c>
    </row>
    <row r="93">
      <c r="A93" s="251">
        <v>13338.0</v>
      </c>
      <c r="B93" s="252" t="s">
        <v>111</v>
      </c>
      <c r="C93" s="281">
        <v>30000.0</v>
      </c>
    </row>
    <row r="94">
      <c r="A94" s="251">
        <v>13339.0</v>
      </c>
      <c r="B94" s="252" t="s">
        <v>112</v>
      </c>
      <c r="C94" s="281">
        <v>30000.0</v>
      </c>
    </row>
    <row r="95">
      <c r="A95" s="251">
        <v>13437.0</v>
      </c>
      <c r="B95" s="252" t="s">
        <v>113</v>
      </c>
      <c r="C95" s="281">
        <v>30000.0</v>
      </c>
    </row>
    <row r="96">
      <c r="A96" s="251">
        <v>13341.0</v>
      </c>
      <c r="B96" s="252" t="s">
        <v>114</v>
      </c>
      <c r="C96" s="281">
        <v>30000.0</v>
      </c>
    </row>
    <row r="97">
      <c r="A97" s="251">
        <v>13342.0</v>
      </c>
      <c r="B97" s="252" t="s">
        <v>115</v>
      </c>
      <c r="C97" s="281">
        <v>30000.0</v>
      </c>
    </row>
    <row r="98">
      <c r="A98" s="245">
        <v>14405.0</v>
      </c>
      <c r="B98" s="246" t="s">
        <v>116</v>
      </c>
      <c r="C98" s="281">
        <v>15961.0</v>
      </c>
    </row>
    <row r="99">
      <c r="A99" s="245">
        <v>14406.0</v>
      </c>
      <c r="B99" s="246" t="s">
        <v>117</v>
      </c>
      <c r="C99" s="281">
        <v>16105.0</v>
      </c>
    </row>
    <row r="100">
      <c r="A100" s="251">
        <v>13780.0</v>
      </c>
      <c r="B100" s="252" t="s">
        <v>118</v>
      </c>
      <c r="C100" s="281">
        <v>33430.0</v>
      </c>
    </row>
    <row r="101">
      <c r="A101" s="251">
        <v>14407.0</v>
      </c>
      <c r="B101" s="252" t="s">
        <v>119</v>
      </c>
      <c r="C101" s="281">
        <v>31789.0</v>
      </c>
    </row>
    <row r="102">
      <c r="A102" s="251">
        <v>13792.0</v>
      </c>
      <c r="B102" s="252" t="s">
        <v>120</v>
      </c>
      <c r="C102" s="281">
        <v>41307.0</v>
      </c>
    </row>
    <row r="103">
      <c r="A103" s="166" t="s">
        <v>19</v>
      </c>
      <c r="B103" s="6"/>
      <c r="C103" s="167">
        <f>SUM(C38:C102)</f>
        <v>1172747</v>
      </c>
    </row>
    <row r="105">
      <c r="A105" s="285">
        <v>9616.0</v>
      </c>
      <c r="B105" s="285" t="s">
        <v>135</v>
      </c>
      <c r="C105" s="42">
        <v>7021.0</v>
      </c>
      <c r="D105" s="42">
        <v>7500.0</v>
      </c>
      <c r="E105" s="286">
        <f t="shared" ref="E105:E107" si="45">C105/D105</f>
        <v>0.9361333333</v>
      </c>
    </row>
    <row r="106">
      <c r="A106" s="285">
        <v>9615.0</v>
      </c>
      <c r="B106" s="285" t="s">
        <v>131</v>
      </c>
      <c r="C106" s="42">
        <v>5220.0</v>
      </c>
      <c r="D106" s="42">
        <v>7500.0</v>
      </c>
      <c r="E106" s="286">
        <f t="shared" si="45"/>
        <v>0.696</v>
      </c>
    </row>
    <row r="107">
      <c r="A107" s="285">
        <v>9614.0</v>
      </c>
      <c r="B107" s="285" t="s">
        <v>132</v>
      </c>
      <c r="C107" s="42">
        <v>6449.0</v>
      </c>
      <c r="D107" s="42">
        <v>7600.0</v>
      </c>
      <c r="E107" s="286">
        <f t="shared" si="45"/>
        <v>0.8485526316</v>
      </c>
    </row>
    <row r="108">
      <c r="C108" s="98">
        <f>C9</f>
        <v>199790</v>
      </c>
    </row>
    <row r="109">
      <c r="C109" s="98">
        <f>SUM(C105:C108)</f>
        <v>218480</v>
      </c>
    </row>
    <row r="111">
      <c r="C111" s="100">
        <v>194082.0</v>
      </c>
    </row>
    <row r="112">
      <c r="C112" s="100">
        <v>21743.0</v>
      </c>
    </row>
    <row r="113">
      <c r="C113" s="98">
        <f>SUM(C111:C112)</f>
        <v>215825</v>
      </c>
      <c r="D113" s="98">
        <f>C109-C113</f>
        <v>2655</v>
      </c>
    </row>
    <row r="117">
      <c r="E117" s="68" t="s">
        <v>30</v>
      </c>
      <c r="F117" s="184">
        <v>40701.0</v>
      </c>
      <c r="G117" s="183"/>
    </row>
    <row r="118">
      <c r="E118" s="74" t="s">
        <v>31</v>
      </c>
      <c r="F118" s="264">
        <v>38702.0</v>
      </c>
      <c r="G118" s="287">
        <v>5220.0</v>
      </c>
    </row>
    <row r="119">
      <c r="E119" s="74" t="s">
        <v>32</v>
      </c>
      <c r="F119" s="264">
        <v>39098.0</v>
      </c>
      <c r="G119" s="183"/>
    </row>
    <row r="120">
      <c r="E120" s="74" t="s">
        <v>33</v>
      </c>
      <c r="F120" s="264">
        <v>42224.0</v>
      </c>
      <c r="G120" s="287">
        <v>7021.0</v>
      </c>
    </row>
    <row r="121">
      <c r="E121" s="84" t="s">
        <v>34</v>
      </c>
      <c r="F121" s="269">
        <v>39065.0</v>
      </c>
      <c r="G121" s="287">
        <v>6449.0</v>
      </c>
    </row>
    <row r="122">
      <c r="F122" s="272">
        <v>199790.0</v>
      </c>
      <c r="G122" s="288">
        <f>SUM(G117:G121)</f>
        <v>18690</v>
      </c>
      <c r="H122" s="98">
        <f>SUM(F122:G122)</f>
        <v>218480</v>
      </c>
    </row>
  </sheetData>
  <mergeCells count="23">
    <mergeCell ref="A4:A8"/>
    <mergeCell ref="A9:B9"/>
    <mergeCell ref="A14:B16"/>
    <mergeCell ref="A17:A31"/>
    <mergeCell ref="A32:B32"/>
    <mergeCell ref="A103:B103"/>
    <mergeCell ref="A1:B3"/>
    <mergeCell ref="C1:N1"/>
    <mergeCell ref="O1:P2"/>
    <mergeCell ref="C2:D2"/>
    <mergeCell ref="E2:F2"/>
    <mergeCell ref="G2:H2"/>
    <mergeCell ref="I2:J2"/>
    <mergeCell ref="I15:J15"/>
    <mergeCell ref="K15:L15"/>
    <mergeCell ref="K2:L2"/>
    <mergeCell ref="M2:N2"/>
    <mergeCell ref="C14:N14"/>
    <mergeCell ref="O14:P15"/>
    <mergeCell ref="C15:D15"/>
    <mergeCell ref="E15:F15"/>
    <mergeCell ref="G15:H15"/>
    <mergeCell ref="M15:N1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25"/>
  </cols>
  <sheetData>
    <row r="1">
      <c r="A1" s="50" t="s">
        <v>136</v>
      </c>
      <c r="B1" s="51"/>
      <c r="C1" s="52" t="s">
        <v>26</v>
      </c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53" t="s">
        <v>19</v>
      </c>
      <c r="P1" s="54"/>
    </row>
    <row r="2">
      <c r="A2" s="55"/>
      <c r="B2" s="56"/>
      <c r="C2" s="57" t="s">
        <v>13</v>
      </c>
      <c r="D2" s="6"/>
      <c r="E2" s="57" t="s">
        <v>14</v>
      </c>
      <c r="F2" s="6"/>
      <c r="G2" s="57" t="s">
        <v>15</v>
      </c>
      <c r="H2" s="6"/>
      <c r="I2" s="57" t="s">
        <v>16</v>
      </c>
      <c r="J2" s="6"/>
      <c r="K2" s="57" t="s">
        <v>17</v>
      </c>
      <c r="L2" s="6"/>
      <c r="M2" s="57" t="s">
        <v>18</v>
      </c>
      <c r="N2" s="58"/>
      <c r="O2" s="59"/>
      <c r="P2" s="60"/>
    </row>
    <row r="3">
      <c r="A3" s="61"/>
      <c r="B3" s="62"/>
      <c r="C3" s="63" t="s">
        <v>137</v>
      </c>
      <c r="D3" s="64" t="s">
        <v>28</v>
      </c>
      <c r="E3" s="63" t="s">
        <v>137</v>
      </c>
      <c r="F3" s="64" t="s">
        <v>28</v>
      </c>
      <c r="G3" s="63" t="s">
        <v>137</v>
      </c>
      <c r="H3" s="64" t="s">
        <v>28</v>
      </c>
      <c r="I3" s="63" t="s">
        <v>137</v>
      </c>
      <c r="J3" s="64" t="s">
        <v>28</v>
      </c>
      <c r="K3" s="63" t="s">
        <v>137</v>
      </c>
      <c r="L3" s="64" t="s">
        <v>28</v>
      </c>
      <c r="M3" s="63" t="s">
        <v>137</v>
      </c>
      <c r="N3" s="65" t="s">
        <v>28</v>
      </c>
      <c r="O3" s="63" t="s">
        <v>137</v>
      </c>
      <c r="P3" s="66" t="s">
        <v>28</v>
      </c>
    </row>
    <row r="4">
      <c r="A4" s="67" t="s">
        <v>29</v>
      </c>
      <c r="B4" s="68" t="s">
        <v>30</v>
      </c>
      <c r="C4" s="69">
        <f t="shared" ref="C4:C8" si="1">C17+C22+C27</f>
        <v>40701</v>
      </c>
      <c r="D4" s="289">
        <f t="shared" ref="D4:D8" si="2">C4/42000</f>
        <v>0.9690714286</v>
      </c>
      <c r="E4" s="69">
        <f t="shared" ref="E4:E8" si="3">E17+E22+E27</f>
        <v>3451</v>
      </c>
      <c r="F4" s="289">
        <f t="shared" ref="F4:F8" si="4">E4/6000</f>
        <v>0.5751666667</v>
      </c>
      <c r="G4" s="69">
        <f t="shared" ref="G4:G8" si="5">G17+G22+G27</f>
        <v>47696</v>
      </c>
      <c r="H4" s="289">
        <f t="shared" ref="H4:H8" si="6">G4/42000</f>
        <v>1.135619048</v>
      </c>
      <c r="I4" s="69">
        <f t="shared" ref="I4:I8" si="7">I17+I22+I27</f>
        <v>63499</v>
      </c>
      <c r="J4" s="289">
        <f t="shared" ref="J4:J8" si="8">I4/60000</f>
        <v>1.058316667</v>
      </c>
      <c r="K4" s="69">
        <f t="shared" ref="K4:K8" si="9">K17+K22+K27</f>
        <v>25204</v>
      </c>
      <c r="L4" s="289">
        <f t="shared" ref="L4:L8" si="10">K4/30000</f>
        <v>0.8401333333</v>
      </c>
      <c r="M4" s="69">
        <f t="shared" ref="M4:M8" si="11">M17+M22+M27</f>
        <v>45961</v>
      </c>
      <c r="N4" s="290">
        <f t="shared" ref="N4:N8" si="12">M4/60000</f>
        <v>0.7660166667</v>
      </c>
      <c r="O4" s="72">
        <f t="shared" ref="O4:O8" si="13">O17+O22+O27</f>
        <v>226512</v>
      </c>
      <c r="P4" s="290">
        <f t="shared" ref="P4:P8" si="14">O4/240000</f>
        <v>0.9438</v>
      </c>
    </row>
    <row r="5">
      <c r="A5" s="73"/>
      <c r="B5" s="74" t="s">
        <v>31</v>
      </c>
      <c r="C5" s="75">
        <f t="shared" si="1"/>
        <v>38702</v>
      </c>
      <c r="D5" s="289">
        <f t="shared" si="2"/>
        <v>0.9214761905</v>
      </c>
      <c r="E5" s="75">
        <f t="shared" si="3"/>
        <v>2418</v>
      </c>
      <c r="F5" s="289">
        <f t="shared" si="4"/>
        <v>0.403</v>
      </c>
      <c r="G5" s="75">
        <f t="shared" si="5"/>
        <v>47636</v>
      </c>
      <c r="H5" s="289">
        <f t="shared" si="6"/>
        <v>1.134190476</v>
      </c>
      <c r="I5" s="75">
        <f t="shared" si="7"/>
        <v>54176</v>
      </c>
      <c r="J5" s="291">
        <f t="shared" si="8"/>
        <v>0.9029333333</v>
      </c>
      <c r="K5" s="75">
        <f t="shared" si="9"/>
        <v>20319</v>
      </c>
      <c r="L5" s="291">
        <f t="shared" si="10"/>
        <v>0.6773</v>
      </c>
      <c r="M5" s="75">
        <f t="shared" si="11"/>
        <v>46105</v>
      </c>
      <c r="N5" s="292">
        <f t="shared" si="12"/>
        <v>0.7684166667</v>
      </c>
      <c r="O5" s="78">
        <f t="shared" si="13"/>
        <v>209356</v>
      </c>
      <c r="P5" s="292">
        <f t="shared" si="14"/>
        <v>0.8723166667</v>
      </c>
    </row>
    <row r="6">
      <c r="A6" s="73"/>
      <c r="B6" s="74" t="s">
        <v>32</v>
      </c>
      <c r="C6" s="75">
        <f t="shared" si="1"/>
        <v>39098</v>
      </c>
      <c r="D6" s="289">
        <f t="shared" si="2"/>
        <v>0.9309047619</v>
      </c>
      <c r="E6" s="75">
        <f t="shared" si="3"/>
        <v>3462</v>
      </c>
      <c r="F6" s="289">
        <f t="shared" si="4"/>
        <v>0.577</v>
      </c>
      <c r="G6" s="75">
        <f t="shared" si="5"/>
        <v>40297</v>
      </c>
      <c r="H6" s="289">
        <f t="shared" si="6"/>
        <v>0.959452381</v>
      </c>
      <c r="I6" s="75">
        <f t="shared" si="7"/>
        <v>57395</v>
      </c>
      <c r="J6" s="291">
        <f t="shared" si="8"/>
        <v>0.9565833333</v>
      </c>
      <c r="K6" s="75">
        <f t="shared" si="9"/>
        <v>28687</v>
      </c>
      <c r="L6" s="291">
        <f t="shared" si="10"/>
        <v>0.9562333333</v>
      </c>
      <c r="M6" s="75">
        <f t="shared" si="11"/>
        <v>63430</v>
      </c>
      <c r="N6" s="292">
        <f t="shared" si="12"/>
        <v>1.057166667</v>
      </c>
      <c r="O6" s="78">
        <f t="shared" si="13"/>
        <v>232369</v>
      </c>
      <c r="P6" s="292">
        <f t="shared" si="14"/>
        <v>0.9682041667</v>
      </c>
    </row>
    <row r="7">
      <c r="A7" s="73"/>
      <c r="B7" s="74" t="s">
        <v>33</v>
      </c>
      <c r="C7" s="75">
        <f t="shared" si="1"/>
        <v>42224</v>
      </c>
      <c r="D7" s="289">
        <f t="shared" si="2"/>
        <v>1.005333333</v>
      </c>
      <c r="E7" s="75">
        <f t="shared" si="3"/>
        <v>5018</v>
      </c>
      <c r="F7" s="289">
        <f t="shared" si="4"/>
        <v>0.8363333333</v>
      </c>
      <c r="G7" s="75">
        <f t="shared" si="5"/>
        <v>42095</v>
      </c>
      <c r="H7" s="289">
        <f t="shared" si="6"/>
        <v>1.002261905</v>
      </c>
      <c r="I7" s="75">
        <f t="shared" si="7"/>
        <v>54249</v>
      </c>
      <c r="J7" s="291">
        <f t="shared" si="8"/>
        <v>0.90415</v>
      </c>
      <c r="K7" s="75">
        <f t="shared" si="9"/>
        <v>30291</v>
      </c>
      <c r="L7" s="291">
        <f t="shared" si="10"/>
        <v>1.0097</v>
      </c>
      <c r="M7" s="75">
        <f t="shared" si="11"/>
        <v>61789</v>
      </c>
      <c r="N7" s="292">
        <f t="shared" si="12"/>
        <v>1.029816667</v>
      </c>
      <c r="O7" s="78">
        <f t="shared" si="13"/>
        <v>235666</v>
      </c>
      <c r="P7" s="292">
        <f t="shared" si="14"/>
        <v>0.9819416667</v>
      </c>
    </row>
    <row r="8">
      <c r="A8" s="83"/>
      <c r="B8" s="84" t="s">
        <v>34</v>
      </c>
      <c r="C8" s="85">
        <f t="shared" si="1"/>
        <v>39065</v>
      </c>
      <c r="D8" s="289">
        <f t="shared" si="2"/>
        <v>0.9301190476</v>
      </c>
      <c r="E8" s="85">
        <f t="shared" si="3"/>
        <v>17433</v>
      </c>
      <c r="F8" s="289">
        <f t="shared" si="4"/>
        <v>2.9055</v>
      </c>
      <c r="G8" s="85">
        <f t="shared" si="5"/>
        <v>39967</v>
      </c>
      <c r="H8" s="289">
        <f t="shared" si="6"/>
        <v>0.9515952381</v>
      </c>
      <c r="I8" s="85">
        <f t="shared" si="7"/>
        <v>65315</v>
      </c>
      <c r="J8" s="293">
        <f t="shared" si="8"/>
        <v>1.088583333</v>
      </c>
      <c r="K8" s="85">
        <f t="shared" si="9"/>
        <v>35757</v>
      </c>
      <c r="L8" s="293">
        <f t="shared" si="10"/>
        <v>1.1919</v>
      </c>
      <c r="M8" s="85">
        <f t="shared" si="11"/>
        <v>71307</v>
      </c>
      <c r="N8" s="294">
        <f t="shared" si="12"/>
        <v>1.18845</v>
      </c>
      <c r="O8" s="89">
        <f t="shared" si="13"/>
        <v>268844</v>
      </c>
      <c r="P8" s="295">
        <f t="shared" si="14"/>
        <v>1.120183333</v>
      </c>
    </row>
    <row r="9">
      <c r="A9" s="91" t="s">
        <v>19</v>
      </c>
      <c r="B9" s="92"/>
      <c r="C9" s="93">
        <f>sum(C4:C8)</f>
        <v>199790</v>
      </c>
      <c r="D9" s="296">
        <f>C9/210000</f>
        <v>0.9513809524</v>
      </c>
      <c r="E9" s="93">
        <f>sum(E4:E8)</f>
        <v>31782</v>
      </c>
      <c r="F9" s="296">
        <f>E9/30000</f>
        <v>1.0594</v>
      </c>
      <c r="G9" s="93">
        <f>sum(G4:G8)</f>
        <v>217691</v>
      </c>
      <c r="H9" s="296">
        <f>G9/210000</f>
        <v>1.03662381</v>
      </c>
      <c r="I9" s="93">
        <f>sum(I4:I8)</f>
        <v>294634</v>
      </c>
      <c r="J9" s="296">
        <f>I9/300000</f>
        <v>0.9821133333</v>
      </c>
      <c r="K9" s="93">
        <f>sum(K4:K8)</f>
        <v>140258</v>
      </c>
      <c r="L9" s="296">
        <f>K9/150000</f>
        <v>0.9350533333</v>
      </c>
      <c r="M9" s="93">
        <f>sum(M4:M8)</f>
        <v>288592</v>
      </c>
      <c r="N9" s="297">
        <f>M9/300000</f>
        <v>0.9619733333</v>
      </c>
      <c r="O9" s="96">
        <f>sum(O4:O8)</f>
        <v>1172747</v>
      </c>
      <c r="P9" s="298">
        <f>O9/1200000</f>
        <v>0.9772891667</v>
      </c>
    </row>
    <row r="10">
      <c r="A10" s="35"/>
      <c r="B10" s="35"/>
      <c r="C10" s="35"/>
      <c r="D10" s="35">
        <f>D9*700</f>
        <v>665.9666667</v>
      </c>
      <c r="E10" s="35"/>
      <c r="F10" s="35">
        <f>F9*100</f>
        <v>105.94</v>
      </c>
      <c r="G10" s="35"/>
      <c r="H10" s="35">
        <f>H9*700</f>
        <v>725.6366667</v>
      </c>
      <c r="I10" s="35"/>
      <c r="J10" s="35">
        <f>J9*1000</f>
        <v>982.1133333</v>
      </c>
      <c r="K10" s="35"/>
      <c r="L10" s="35">
        <f>L9*500</f>
        <v>467.5266667</v>
      </c>
      <c r="M10" s="35"/>
      <c r="N10" s="35">
        <f>N9*1000</f>
        <v>961.9733333</v>
      </c>
      <c r="O10" s="35"/>
      <c r="P10" s="98">
        <f>P9*4000</f>
        <v>3909.156667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>
      <c r="B11" s="36" t="s">
        <v>138</v>
      </c>
      <c r="D11" s="99">
        <f>D10/$P$10</f>
        <v>0.1703607001</v>
      </c>
      <c r="F11" s="99">
        <f>F10/$P$10</f>
        <v>0.02710047436</v>
      </c>
      <c r="H11" s="99">
        <f>H10/$P$10</f>
        <v>0.185624862</v>
      </c>
      <c r="J11" s="99">
        <f>J10/$P$10</f>
        <v>0.2512340684</v>
      </c>
      <c r="L11" s="99">
        <f>L10/$P$10</f>
        <v>0.1195978331</v>
      </c>
      <c r="N11" s="99">
        <f>N10/$P$10</f>
        <v>0.246082062</v>
      </c>
    </row>
    <row r="12">
      <c r="B12" s="36" t="s">
        <v>139</v>
      </c>
      <c r="C12" s="36"/>
      <c r="D12" s="36">
        <v>700.0</v>
      </c>
      <c r="F12" s="36">
        <v>100.0</v>
      </c>
      <c r="H12" s="36">
        <v>700.0</v>
      </c>
      <c r="J12" s="100">
        <v>1000.0</v>
      </c>
      <c r="L12" s="36">
        <v>500.0</v>
      </c>
      <c r="N12" s="100">
        <v>1000.0</v>
      </c>
      <c r="P12" s="98">
        <f>sum(D12,F12,H12,J12,L12,N12)</f>
        <v>4000</v>
      </c>
    </row>
    <row r="14" ht="18.0" customHeight="1">
      <c r="A14" s="50" t="s">
        <v>136</v>
      </c>
      <c r="B14" s="51"/>
      <c r="C14" s="52" t="s">
        <v>26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101"/>
      <c r="O14" s="53" t="s">
        <v>19</v>
      </c>
      <c r="P14" s="54"/>
    </row>
    <row r="15" ht="18.0" customHeight="1">
      <c r="A15" s="55"/>
      <c r="B15" s="56"/>
      <c r="C15" s="57" t="s">
        <v>13</v>
      </c>
      <c r="D15" s="6"/>
      <c r="E15" s="57" t="s">
        <v>14</v>
      </c>
      <c r="F15" s="6"/>
      <c r="G15" s="57" t="s">
        <v>15</v>
      </c>
      <c r="H15" s="6"/>
      <c r="I15" s="57" t="s">
        <v>16</v>
      </c>
      <c r="J15" s="6"/>
      <c r="K15" s="57" t="s">
        <v>17</v>
      </c>
      <c r="L15" s="6"/>
      <c r="M15" s="57" t="s">
        <v>18</v>
      </c>
      <c r="N15" s="6"/>
      <c r="O15" s="59"/>
      <c r="P15" s="60"/>
    </row>
    <row r="16" ht="18.0" customHeight="1">
      <c r="A16" s="61"/>
      <c r="B16" s="62"/>
      <c r="C16" s="63" t="s">
        <v>137</v>
      </c>
      <c r="D16" s="63" t="s">
        <v>28</v>
      </c>
      <c r="E16" s="63" t="s">
        <v>137</v>
      </c>
      <c r="F16" s="63" t="s">
        <v>28</v>
      </c>
      <c r="G16" s="63" t="s">
        <v>137</v>
      </c>
      <c r="H16" s="63" t="s">
        <v>28</v>
      </c>
      <c r="I16" s="63" t="s">
        <v>137</v>
      </c>
      <c r="J16" s="63" t="s">
        <v>28</v>
      </c>
      <c r="K16" s="63" t="s">
        <v>137</v>
      </c>
      <c r="L16" s="63" t="s">
        <v>28</v>
      </c>
      <c r="M16" s="63" t="s">
        <v>137</v>
      </c>
      <c r="N16" s="102" t="s">
        <v>28</v>
      </c>
      <c r="O16" s="213" t="s">
        <v>137</v>
      </c>
      <c r="P16" s="103" t="s">
        <v>28</v>
      </c>
    </row>
    <row r="17" ht="18.0" customHeight="1">
      <c r="A17" s="104" t="s">
        <v>29</v>
      </c>
      <c r="B17" s="105" t="s">
        <v>30</v>
      </c>
      <c r="C17" s="106">
        <f>C38</f>
        <v>29663</v>
      </c>
      <c r="D17" s="299">
        <f t="shared" ref="D17:D21" si="15">C17/30000</f>
        <v>0.9887666667</v>
      </c>
      <c r="E17" s="106">
        <f t="shared" ref="E17:E21" si="16">C88</f>
        <v>3451</v>
      </c>
      <c r="F17" s="299">
        <f t="shared" ref="F17:F21" si="17">E17/30000</f>
        <v>0.1150333333</v>
      </c>
      <c r="G17" s="106">
        <f>C73</f>
        <v>30000</v>
      </c>
      <c r="H17" s="299">
        <f t="shared" ref="H17:H21" si="18">G17/30000</f>
        <v>1</v>
      </c>
      <c r="I17" s="106">
        <f t="shared" ref="I17:I26" si="19">C63</f>
        <v>30000</v>
      </c>
      <c r="J17" s="299">
        <f t="shared" ref="J17:J21" si="20">I17/30000</f>
        <v>1</v>
      </c>
      <c r="K17" s="106">
        <f t="shared" ref="K17:K21" si="21">C52</f>
        <v>21141</v>
      </c>
      <c r="L17" s="299">
        <f t="shared" ref="L17:L21" si="22">K17/30000</f>
        <v>0.7047</v>
      </c>
      <c r="M17" s="106">
        <f t="shared" ref="M17:M26" si="23">C93</f>
        <v>30000</v>
      </c>
      <c r="N17" s="300">
        <f t="shared" ref="N17:N21" si="24">M17/30000</f>
        <v>1</v>
      </c>
      <c r="O17" s="111">
        <f t="shared" ref="O17:O31" si="25">sum(C17,E17,G17,I17,K17,M17)</f>
        <v>144255</v>
      </c>
      <c r="P17" s="290">
        <f t="shared" ref="P17:P21" si="26">O17/180000</f>
        <v>0.8014166667</v>
      </c>
    </row>
    <row r="18" ht="18.0" customHeight="1">
      <c r="A18" s="55"/>
      <c r="B18" s="112" t="s">
        <v>31</v>
      </c>
      <c r="C18" s="113">
        <v>28364.0</v>
      </c>
      <c r="D18" s="291">
        <f t="shared" si="15"/>
        <v>0.9454666667</v>
      </c>
      <c r="E18" s="114">
        <f t="shared" si="16"/>
        <v>2418</v>
      </c>
      <c r="F18" s="291">
        <f t="shared" si="17"/>
        <v>0.0806</v>
      </c>
      <c r="G18" s="113">
        <v>30000.0</v>
      </c>
      <c r="H18" s="291">
        <f t="shared" si="18"/>
        <v>1</v>
      </c>
      <c r="I18" s="113">
        <f t="shared" si="19"/>
        <v>30000</v>
      </c>
      <c r="J18" s="291">
        <f t="shared" si="20"/>
        <v>1</v>
      </c>
      <c r="K18" s="113">
        <f t="shared" si="21"/>
        <v>17363</v>
      </c>
      <c r="L18" s="291">
        <f t="shared" si="22"/>
        <v>0.5787666667</v>
      </c>
      <c r="M18" s="114">
        <f t="shared" si="23"/>
        <v>30000</v>
      </c>
      <c r="N18" s="292">
        <f t="shared" si="24"/>
        <v>1</v>
      </c>
      <c r="O18" s="117">
        <f t="shared" si="25"/>
        <v>138145</v>
      </c>
      <c r="P18" s="292">
        <f t="shared" si="26"/>
        <v>0.7674722222</v>
      </c>
    </row>
    <row r="19" ht="18.0" customHeight="1">
      <c r="A19" s="55"/>
      <c r="B19" s="112" t="s">
        <v>32</v>
      </c>
      <c r="C19" s="113">
        <f t="shared" ref="C19:C22" si="27">C40</f>
        <v>29934</v>
      </c>
      <c r="D19" s="291">
        <f t="shared" si="15"/>
        <v>0.9978</v>
      </c>
      <c r="E19" s="114">
        <f t="shared" si="16"/>
        <v>3462</v>
      </c>
      <c r="F19" s="291">
        <f t="shared" si="17"/>
        <v>0.1154</v>
      </c>
      <c r="G19" s="113">
        <f t="shared" ref="G19:G31" si="28">C75</f>
        <v>30000</v>
      </c>
      <c r="H19" s="291">
        <f t="shared" si="18"/>
        <v>1</v>
      </c>
      <c r="I19" s="113">
        <f t="shared" si="19"/>
        <v>30000</v>
      </c>
      <c r="J19" s="291">
        <f t="shared" si="20"/>
        <v>1</v>
      </c>
      <c r="K19" s="113">
        <f t="shared" si="21"/>
        <v>26541</v>
      </c>
      <c r="L19" s="291">
        <f t="shared" si="22"/>
        <v>0.8847</v>
      </c>
      <c r="M19" s="114">
        <f t="shared" si="23"/>
        <v>30000</v>
      </c>
      <c r="N19" s="292">
        <f t="shared" si="24"/>
        <v>1</v>
      </c>
      <c r="O19" s="117">
        <f t="shared" si="25"/>
        <v>149937</v>
      </c>
      <c r="P19" s="292">
        <f t="shared" si="26"/>
        <v>0.8329833333</v>
      </c>
    </row>
    <row r="20" ht="18.0" customHeight="1">
      <c r="A20" s="55"/>
      <c r="B20" s="112" t="s">
        <v>33</v>
      </c>
      <c r="C20" s="113">
        <f t="shared" si="27"/>
        <v>29928</v>
      </c>
      <c r="D20" s="291">
        <f t="shared" si="15"/>
        <v>0.9976</v>
      </c>
      <c r="E20" s="114">
        <f t="shared" si="16"/>
        <v>5018</v>
      </c>
      <c r="F20" s="291">
        <f t="shared" si="17"/>
        <v>0.1672666667</v>
      </c>
      <c r="G20" s="113">
        <f t="shared" si="28"/>
        <v>30000</v>
      </c>
      <c r="H20" s="291">
        <f t="shared" si="18"/>
        <v>1</v>
      </c>
      <c r="I20" s="113">
        <f t="shared" si="19"/>
        <v>30000</v>
      </c>
      <c r="J20" s="291">
        <f t="shared" si="20"/>
        <v>1</v>
      </c>
      <c r="K20" s="113">
        <f t="shared" si="21"/>
        <v>29115</v>
      </c>
      <c r="L20" s="291">
        <f t="shared" si="22"/>
        <v>0.9705</v>
      </c>
      <c r="M20" s="114">
        <f t="shared" si="23"/>
        <v>30000</v>
      </c>
      <c r="N20" s="292">
        <f t="shared" si="24"/>
        <v>1</v>
      </c>
      <c r="O20" s="117">
        <f t="shared" si="25"/>
        <v>154061</v>
      </c>
      <c r="P20" s="292">
        <f t="shared" si="26"/>
        <v>0.8558944444</v>
      </c>
    </row>
    <row r="21" ht="18.0" customHeight="1">
      <c r="A21" s="55"/>
      <c r="B21" s="118" t="s">
        <v>34</v>
      </c>
      <c r="C21" s="301">
        <f t="shared" si="27"/>
        <v>30000</v>
      </c>
      <c r="D21" s="293">
        <f t="shared" si="15"/>
        <v>1</v>
      </c>
      <c r="E21" s="125">
        <f t="shared" si="16"/>
        <v>17433</v>
      </c>
      <c r="F21" s="293">
        <f t="shared" si="17"/>
        <v>0.5811</v>
      </c>
      <c r="G21" s="301">
        <f t="shared" si="28"/>
        <v>30000</v>
      </c>
      <c r="H21" s="293">
        <f t="shared" si="18"/>
        <v>1</v>
      </c>
      <c r="I21" s="301">
        <f t="shared" si="19"/>
        <v>30000</v>
      </c>
      <c r="J21" s="293">
        <f t="shared" si="20"/>
        <v>1</v>
      </c>
      <c r="K21" s="301">
        <f t="shared" si="21"/>
        <v>30000</v>
      </c>
      <c r="L21" s="302">
        <f t="shared" si="22"/>
        <v>1</v>
      </c>
      <c r="M21" s="125">
        <f t="shared" si="23"/>
        <v>30000</v>
      </c>
      <c r="N21" s="294">
        <f t="shared" si="24"/>
        <v>1</v>
      </c>
      <c r="O21" s="117">
        <f t="shared" si="25"/>
        <v>167433</v>
      </c>
      <c r="P21" s="292">
        <f t="shared" si="26"/>
        <v>0.9301833333</v>
      </c>
    </row>
    <row r="22" ht="18.0" customHeight="1">
      <c r="A22" s="55"/>
      <c r="B22" s="105" t="s">
        <v>35</v>
      </c>
      <c r="C22" s="106">
        <f t="shared" si="27"/>
        <v>2970</v>
      </c>
      <c r="D22" s="299">
        <f>C22/3000</f>
        <v>0.99</v>
      </c>
      <c r="E22" s="121"/>
      <c r="F22" s="121"/>
      <c r="G22" s="106">
        <f t="shared" si="28"/>
        <v>3000</v>
      </c>
      <c r="H22" s="299">
        <f t="shared" ref="H22:H26" si="29">G22/3000</f>
        <v>1</v>
      </c>
      <c r="I22" s="106">
        <f t="shared" si="19"/>
        <v>33499</v>
      </c>
      <c r="J22" s="299">
        <f t="shared" ref="J22:J26" si="30">I22/36000</f>
        <v>0.9305277778</v>
      </c>
      <c r="K22" s="121"/>
      <c r="L22" s="121"/>
      <c r="M22" s="106">
        <f t="shared" si="23"/>
        <v>15961</v>
      </c>
      <c r="N22" s="300">
        <f t="shared" ref="N22:N26" si="31">M22/42000</f>
        <v>0.3800238095</v>
      </c>
      <c r="O22" s="117">
        <f t="shared" si="25"/>
        <v>55430</v>
      </c>
      <c r="P22" s="292">
        <f>O22/84000</f>
        <v>0.6598809524</v>
      </c>
    </row>
    <row r="23" ht="18.0" customHeight="1">
      <c r="A23" s="55"/>
      <c r="B23" s="112" t="s">
        <v>36</v>
      </c>
      <c r="C23" s="123"/>
      <c r="D23" s="123"/>
      <c r="E23" s="123"/>
      <c r="F23" s="123"/>
      <c r="G23" s="113">
        <f t="shared" si="28"/>
        <v>3000</v>
      </c>
      <c r="H23" s="291">
        <f t="shared" si="29"/>
        <v>1</v>
      </c>
      <c r="I23" s="113">
        <f t="shared" si="19"/>
        <v>24176</v>
      </c>
      <c r="J23" s="291">
        <f t="shared" si="30"/>
        <v>0.6715555556</v>
      </c>
      <c r="K23" s="123"/>
      <c r="L23" s="123"/>
      <c r="M23" s="114">
        <f t="shared" si="23"/>
        <v>16105</v>
      </c>
      <c r="N23" s="292">
        <f t="shared" si="31"/>
        <v>0.383452381</v>
      </c>
      <c r="O23" s="117">
        <f t="shared" si="25"/>
        <v>43281</v>
      </c>
      <c r="P23" s="292">
        <f>O23/81000</f>
        <v>0.5343333333</v>
      </c>
    </row>
    <row r="24" ht="18.0" customHeight="1">
      <c r="A24" s="55"/>
      <c r="B24" s="112" t="s">
        <v>37</v>
      </c>
      <c r="C24" s="113">
        <f t="shared" ref="C24:C27" si="32">C44</f>
        <v>3000</v>
      </c>
      <c r="D24" s="291">
        <f t="shared" ref="D24:D26" si="33">C24/3000</f>
        <v>1</v>
      </c>
      <c r="E24" s="123"/>
      <c r="F24" s="123"/>
      <c r="G24" s="113">
        <f t="shared" si="28"/>
        <v>3000</v>
      </c>
      <c r="H24" s="291">
        <f t="shared" si="29"/>
        <v>1</v>
      </c>
      <c r="I24" s="113">
        <f t="shared" si="19"/>
        <v>27395</v>
      </c>
      <c r="J24" s="291">
        <f t="shared" si="30"/>
        <v>0.7609722222</v>
      </c>
      <c r="K24" s="123"/>
      <c r="L24" s="123"/>
      <c r="M24" s="114">
        <f t="shared" si="23"/>
        <v>33430</v>
      </c>
      <c r="N24" s="292">
        <f t="shared" si="31"/>
        <v>0.795952381</v>
      </c>
      <c r="O24" s="117">
        <f t="shared" si="25"/>
        <v>66825</v>
      </c>
      <c r="P24" s="292">
        <f t="shared" ref="P24:P25" si="34">O24/84000</f>
        <v>0.7955357143</v>
      </c>
    </row>
    <row r="25" ht="18.0" customHeight="1">
      <c r="A25" s="55"/>
      <c r="B25" s="112" t="s">
        <v>38</v>
      </c>
      <c r="C25" s="113">
        <f t="shared" si="32"/>
        <v>3000</v>
      </c>
      <c r="D25" s="291">
        <f t="shared" si="33"/>
        <v>1</v>
      </c>
      <c r="E25" s="123"/>
      <c r="F25" s="123"/>
      <c r="G25" s="113">
        <f t="shared" si="28"/>
        <v>3000</v>
      </c>
      <c r="H25" s="291">
        <f t="shared" si="29"/>
        <v>1</v>
      </c>
      <c r="I25" s="113">
        <f t="shared" si="19"/>
        <v>24249</v>
      </c>
      <c r="J25" s="291">
        <f t="shared" si="30"/>
        <v>0.6735833333</v>
      </c>
      <c r="K25" s="123"/>
      <c r="L25" s="123"/>
      <c r="M25" s="114">
        <f t="shared" si="23"/>
        <v>31789</v>
      </c>
      <c r="N25" s="292">
        <f t="shared" si="31"/>
        <v>0.7568809524</v>
      </c>
      <c r="O25" s="117">
        <f t="shared" si="25"/>
        <v>62038</v>
      </c>
      <c r="P25" s="292">
        <f t="shared" si="34"/>
        <v>0.738547619</v>
      </c>
    </row>
    <row r="26" ht="18.0" customHeight="1">
      <c r="A26" s="55"/>
      <c r="B26" s="118" t="s">
        <v>39</v>
      </c>
      <c r="C26" s="301">
        <f t="shared" si="32"/>
        <v>3000</v>
      </c>
      <c r="D26" s="293">
        <f t="shared" si="33"/>
        <v>1</v>
      </c>
      <c r="E26" s="124"/>
      <c r="F26" s="124"/>
      <c r="G26" s="301">
        <f t="shared" si="28"/>
        <v>3000</v>
      </c>
      <c r="H26" s="293">
        <f t="shared" si="29"/>
        <v>1</v>
      </c>
      <c r="I26" s="301">
        <f t="shared" si="19"/>
        <v>35315</v>
      </c>
      <c r="J26" s="293">
        <f t="shared" si="30"/>
        <v>0.9809722222</v>
      </c>
      <c r="K26" s="125">
        <f t="shared" ref="K26:K27" si="35">C57</f>
        <v>2903</v>
      </c>
      <c r="L26" s="293">
        <f>K26/3000</f>
        <v>0.9676666667</v>
      </c>
      <c r="M26" s="125">
        <f t="shared" si="23"/>
        <v>41307</v>
      </c>
      <c r="N26" s="294">
        <f t="shared" si="31"/>
        <v>0.9835</v>
      </c>
      <c r="O26" s="117">
        <f t="shared" si="25"/>
        <v>85525</v>
      </c>
      <c r="P26" s="292">
        <f>O26/87000</f>
        <v>0.983045977</v>
      </c>
    </row>
    <row r="27" ht="18.0" customHeight="1">
      <c r="A27" s="55"/>
      <c r="B27" s="105" t="s">
        <v>40</v>
      </c>
      <c r="C27" s="106">
        <f t="shared" si="32"/>
        <v>8068</v>
      </c>
      <c r="D27" s="299">
        <f>C27/15000</f>
        <v>0.5378666667</v>
      </c>
      <c r="E27" s="121"/>
      <c r="F27" s="121"/>
      <c r="G27" s="106">
        <f t="shared" si="28"/>
        <v>14696</v>
      </c>
      <c r="H27" s="299">
        <f t="shared" ref="H27:H31" si="36">G27/15000</f>
        <v>0.9797333333</v>
      </c>
      <c r="I27" s="121"/>
      <c r="J27" s="121"/>
      <c r="K27" s="106">
        <f t="shared" si="35"/>
        <v>4063</v>
      </c>
      <c r="L27" s="299">
        <f t="shared" ref="L27:L30" si="37">K27/18000</f>
        <v>0.2257222222</v>
      </c>
      <c r="M27" s="121"/>
      <c r="N27" s="303"/>
      <c r="O27" s="117">
        <f t="shared" si="25"/>
        <v>26827</v>
      </c>
      <c r="P27" s="292">
        <f>O27/48000</f>
        <v>0.5588958333</v>
      </c>
    </row>
    <row r="28" ht="18.0" customHeight="1">
      <c r="A28" s="55"/>
      <c r="B28" s="112" t="s">
        <v>41</v>
      </c>
      <c r="C28" s="113">
        <v>10338.0</v>
      </c>
      <c r="D28" s="291">
        <f>C28/18000</f>
        <v>0.5743333333</v>
      </c>
      <c r="E28" s="123"/>
      <c r="F28" s="123"/>
      <c r="G28" s="113">
        <f t="shared" si="28"/>
        <v>14636</v>
      </c>
      <c r="H28" s="291">
        <f t="shared" si="36"/>
        <v>0.9757333333</v>
      </c>
      <c r="I28" s="123"/>
      <c r="J28" s="123"/>
      <c r="K28" s="114">
        <v>2956.0</v>
      </c>
      <c r="L28" s="291">
        <f t="shared" si="37"/>
        <v>0.1642222222</v>
      </c>
      <c r="M28" s="123"/>
      <c r="N28" s="304"/>
      <c r="O28" s="117">
        <f t="shared" si="25"/>
        <v>27930</v>
      </c>
      <c r="P28" s="292">
        <f>O28/51000</f>
        <v>0.5476470588</v>
      </c>
    </row>
    <row r="29" ht="18.0" customHeight="1">
      <c r="A29" s="55"/>
      <c r="B29" s="112" t="s">
        <v>42</v>
      </c>
      <c r="C29" s="113">
        <f t="shared" ref="C29:C31" si="38">C49</f>
        <v>6164</v>
      </c>
      <c r="D29" s="291">
        <f t="shared" ref="D29:D31" si="39">C29/15000</f>
        <v>0.4109333333</v>
      </c>
      <c r="E29" s="123"/>
      <c r="F29" s="123"/>
      <c r="G29" s="113">
        <f t="shared" si="28"/>
        <v>7297</v>
      </c>
      <c r="H29" s="291">
        <f t="shared" si="36"/>
        <v>0.4864666667</v>
      </c>
      <c r="I29" s="123"/>
      <c r="J29" s="123"/>
      <c r="K29" s="114">
        <f t="shared" ref="K29:K31" si="40">C60</f>
        <v>2146</v>
      </c>
      <c r="L29" s="291">
        <f t="shared" si="37"/>
        <v>0.1192222222</v>
      </c>
      <c r="M29" s="123"/>
      <c r="N29" s="304"/>
      <c r="O29" s="117">
        <f t="shared" si="25"/>
        <v>15607</v>
      </c>
      <c r="P29" s="292">
        <f t="shared" ref="P29:P30" si="41">O29/48000</f>
        <v>0.3251458333</v>
      </c>
    </row>
    <row r="30" ht="18.0" customHeight="1">
      <c r="A30" s="55"/>
      <c r="B30" s="112" t="s">
        <v>43</v>
      </c>
      <c r="C30" s="113">
        <f t="shared" si="38"/>
        <v>9296</v>
      </c>
      <c r="D30" s="291">
        <f t="shared" si="39"/>
        <v>0.6197333333</v>
      </c>
      <c r="E30" s="123"/>
      <c r="F30" s="123"/>
      <c r="G30" s="113">
        <f t="shared" si="28"/>
        <v>9095</v>
      </c>
      <c r="H30" s="291">
        <f t="shared" si="36"/>
        <v>0.6063333333</v>
      </c>
      <c r="I30" s="123"/>
      <c r="J30" s="123"/>
      <c r="K30" s="114">
        <f t="shared" si="40"/>
        <v>1176</v>
      </c>
      <c r="L30" s="291">
        <f t="shared" si="37"/>
        <v>0.06533333333</v>
      </c>
      <c r="M30" s="123"/>
      <c r="N30" s="304"/>
      <c r="O30" s="117">
        <f t="shared" si="25"/>
        <v>19567</v>
      </c>
      <c r="P30" s="292">
        <f t="shared" si="41"/>
        <v>0.4076458333</v>
      </c>
    </row>
    <row r="31" ht="18.0" customHeight="1">
      <c r="A31" s="59"/>
      <c r="B31" s="118" t="s">
        <v>44</v>
      </c>
      <c r="C31" s="301">
        <f t="shared" si="38"/>
        <v>6065</v>
      </c>
      <c r="D31" s="293">
        <f t="shared" si="39"/>
        <v>0.4043333333</v>
      </c>
      <c r="E31" s="124"/>
      <c r="F31" s="124"/>
      <c r="G31" s="301">
        <f t="shared" si="28"/>
        <v>6967</v>
      </c>
      <c r="H31" s="293">
        <f t="shared" si="36"/>
        <v>0.4644666667</v>
      </c>
      <c r="I31" s="124"/>
      <c r="J31" s="124"/>
      <c r="K31" s="125">
        <f t="shared" si="40"/>
        <v>2854</v>
      </c>
      <c r="L31" s="293">
        <f>K31/15000</f>
        <v>0.1902666667</v>
      </c>
      <c r="M31" s="124"/>
      <c r="N31" s="305"/>
      <c r="O31" s="117">
        <f t="shared" si="25"/>
        <v>15886</v>
      </c>
      <c r="P31" s="295">
        <f>O31/45000</f>
        <v>0.3530222222</v>
      </c>
    </row>
    <row r="32" ht="18.0" customHeight="1">
      <c r="A32" s="91" t="s">
        <v>19</v>
      </c>
      <c r="B32" s="127"/>
      <c r="C32" s="128">
        <f>SUM(C17:C31)</f>
        <v>199790</v>
      </c>
      <c r="D32" s="306">
        <f>C32/165000</f>
        <v>1.210848485</v>
      </c>
      <c r="E32" s="128">
        <f>SUM(E17:E31)</f>
        <v>31782</v>
      </c>
      <c r="F32" s="306">
        <f>E32/165000</f>
        <v>0.1926181818</v>
      </c>
      <c r="G32" s="128">
        <f>SUM(G17:G31)</f>
        <v>217691</v>
      </c>
      <c r="H32" s="306">
        <f>G32/165000</f>
        <v>1.319339394</v>
      </c>
      <c r="I32" s="128">
        <f>SUM(I17:I31)</f>
        <v>294634</v>
      </c>
      <c r="J32" s="306">
        <f>I32/330000</f>
        <v>0.892830303</v>
      </c>
      <c r="K32" s="128">
        <f>SUM(K17:K31)</f>
        <v>140258</v>
      </c>
      <c r="L32" s="306">
        <f>K32/165000</f>
        <v>0.8500484848</v>
      </c>
      <c r="M32" s="128">
        <f>SUM(M17:M31)</f>
        <v>288592</v>
      </c>
      <c r="N32" s="307">
        <f>M32/330000</f>
        <v>0.8745212121</v>
      </c>
      <c r="O32" s="131">
        <f>sum(O17:O31)</f>
        <v>1172747</v>
      </c>
      <c r="P32" s="308">
        <f>O32/1230000</f>
        <v>0.9534528455</v>
      </c>
    </row>
    <row r="33">
      <c r="A33" s="309"/>
      <c r="B33" s="309"/>
      <c r="C33" s="309"/>
      <c r="D33" s="309"/>
      <c r="E33" s="309"/>
      <c r="F33" s="309"/>
      <c r="G33" s="309"/>
      <c r="H33" s="309"/>
      <c r="I33" s="309"/>
      <c r="J33" s="309"/>
      <c r="K33" s="309"/>
      <c r="L33" s="309"/>
      <c r="M33" s="309"/>
      <c r="N33" s="309"/>
      <c r="O33" s="309"/>
      <c r="P33" s="309"/>
      <c r="Q33" s="309"/>
      <c r="R33" s="309"/>
      <c r="S33" s="309"/>
      <c r="T33" s="309"/>
      <c r="U33" s="309"/>
      <c r="V33" s="309"/>
      <c r="W33" s="309"/>
    </row>
    <row r="34">
      <c r="A34" s="309"/>
      <c r="B34" s="309"/>
      <c r="C34" s="309"/>
      <c r="D34" s="309"/>
      <c r="E34" s="309"/>
      <c r="F34" s="309"/>
      <c r="G34" s="309"/>
      <c r="H34" s="309"/>
      <c r="I34" s="309"/>
      <c r="J34" s="309"/>
      <c r="K34" s="309"/>
      <c r="L34" s="309"/>
      <c r="M34" s="309"/>
      <c r="N34" s="309"/>
      <c r="O34" s="309"/>
      <c r="P34" s="309"/>
      <c r="Q34" s="309"/>
      <c r="R34" s="309"/>
      <c r="S34" s="309"/>
      <c r="T34" s="309"/>
      <c r="U34" s="309"/>
      <c r="V34" s="309"/>
      <c r="W34" s="309"/>
    </row>
    <row r="35">
      <c r="A35" s="309"/>
      <c r="B35" s="309"/>
      <c r="C35" s="309"/>
      <c r="D35" s="309"/>
      <c r="E35" s="309"/>
      <c r="F35" s="309"/>
      <c r="G35" s="309"/>
      <c r="H35" s="309"/>
      <c r="I35" s="309"/>
      <c r="J35" s="309"/>
      <c r="K35" s="309"/>
      <c r="L35" s="309"/>
      <c r="M35" s="309"/>
      <c r="N35" s="309"/>
      <c r="O35" s="309"/>
      <c r="P35" s="309"/>
      <c r="Q35" s="309"/>
      <c r="R35" s="309"/>
      <c r="S35" s="309"/>
      <c r="T35" s="309"/>
      <c r="U35" s="309"/>
      <c r="V35" s="309"/>
      <c r="W35" s="309"/>
    </row>
    <row r="36">
      <c r="A36" s="309"/>
      <c r="B36" s="309"/>
      <c r="C36" s="309"/>
      <c r="D36" s="309"/>
      <c r="E36" s="309"/>
      <c r="F36" s="309"/>
      <c r="G36" s="309"/>
      <c r="H36" s="309"/>
      <c r="I36" s="309"/>
      <c r="J36" s="309"/>
      <c r="K36" s="309"/>
      <c r="L36" s="309"/>
      <c r="M36" s="309"/>
      <c r="N36" s="309"/>
      <c r="O36" s="309"/>
      <c r="P36" s="309"/>
      <c r="Q36" s="309"/>
      <c r="R36" s="309"/>
      <c r="S36" s="309"/>
      <c r="T36" s="309"/>
      <c r="U36" s="309"/>
      <c r="V36" s="309"/>
      <c r="W36" s="309"/>
    </row>
    <row r="37">
      <c r="A37" s="133" t="s">
        <v>45</v>
      </c>
      <c r="B37" s="241" t="s">
        <v>46</v>
      </c>
      <c r="C37" s="242" t="s">
        <v>125</v>
      </c>
    </row>
    <row r="38">
      <c r="A38" s="248">
        <v>13301.0</v>
      </c>
      <c r="B38" s="249" t="s">
        <v>53</v>
      </c>
      <c r="C38" s="280">
        <v>29663.0</v>
      </c>
    </row>
    <row r="39">
      <c r="A39" s="248">
        <v>13302.0</v>
      </c>
      <c r="B39" s="249" t="s">
        <v>55</v>
      </c>
      <c r="C39" s="281">
        <v>28364.0</v>
      </c>
    </row>
    <row r="40">
      <c r="A40" s="251">
        <v>13303.0</v>
      </c>
      <c r="B40" s="252" t="s">
        <v>58</v>
      </c>
      <c r="C40" s="281">
        <v>29934.0</v>
      </c>
    </row>
    <row r="41">
      <c r="A41" s="251">
        <v>13304.0</v>
      </c>
      <c r="B41" s="252" t="s">
        <v>59</v>
      </c>
      <c r="C41" s="281">
        <v>29928.0</v>
      </c>
    </row>
    <row r="42">
      <c r="A42" s="251">
        <v>13305.0</v>
      </c>
      <c r="B42" s="252" t="s">
        <v>60</v>
      </c>
      <c r="C42" s="281">
        <v>30000.0</v>
      </c>
    </row>
    <row r="43">
      <c r="A43" s="248">
        <v>14408.0</v>
      </c>
      <c r="B43" s="249" t="s">
        <v>61</v>
      </c>
      <c r="C43" s="281">
        <v>2970.0</v>
      </c>
    </row>
    <row r="44">
      <c r="A44" s="251">
        <v>14410.0</v>
      </c>
      <c r="B44" s="252" t="s">
        <v>62</v>
      </c>
      <c r="C44" s="281">
        <v>3000.0</v>
      </c>
    </row>
    <row r="45">
      <c r="A45" s="251">
        <v>14423.0</v>
      </c>
      <c r="B45" s="252" t="s">
        <v>63</v>
      </c>
      <c r="C45" s="281">
        <v>3000.0</v>
      </c>
    </row>
    <row r="46">
      <c r="A46" s="251">
        <v>13959.0</v>
      </c>
      <c r="B46" s="252" t="s">
        <v>64</v>
      </c>
      <c r="C46" s="281">
        <v>3000.0</v>
      </c>
    </row>
    <row r="47">
      <c r="A47" s="310">
        <v>15136.0</v>
      </c>
      <c r="B47" s="249" t="s">
        <v>65</v>
      </c>
      <c r="C47" s="281">
        <v>8068.0</v>
      </c>
    </row>
    <row r="48">
      <c r="A48" s="248">
        <v>15139.0</v>
      </c>
      <c r="B48" s="249" t="s">
        <v>66</v>
      </c>
      <c r="C48" s="281">
        <v>10338.0</v>
      </c>
    </row>
    <row r="49">
      <c r="A49" s="251">
        <v>15140.0</v>
      </c>
      <c r="B49" s="252" t="s">
        <v>67</v>
      </c>
      <c r="C49" s="281">
        <v>6164.0</v>
      </c>
    </row>
    <row r="50">
      <c r="A50" s="251">
        <v>15141.0</v>
      </c>
      <c r="B50" s="252" t="s">
        <v>68</v>
      </c>
      <c r="C50" s="281">
        <v>9296.0</v>
      </c>
    </row>
    <row r="51">
      <c r="A51" s="255">
        <v>15135.0</v>
      </c>
      <c r="B51" s="252" t="s">
        <v>69</v>
      </c>
      <c r="C51" s="281">
        <v>6065.0</v>
      </c>
    </row>
    <row r="52">
      <c r="A52" s="248">
        <v>13318.0</v>
      </c>
      <c r="B52" s="249" t="s">
        <v>70</v>
      </c>
      <c r="C52" s="281">
        <v>21141.0</v>
      </c>
    </row>
    <row r="53">
      <c r="A53" s="248">
        <v>13319.0</v>
      </c>
      <c r="B53" s="249" t="s">
        <v>71</v>
      </c>
      <c r="C53" s="281">
        <v>17363.0</v>
      </c>
    </row>
    <row r="54">
      <c r="A54" s="251">
        <v>13320.0</v>
      </c>
      <c r="B54" s="252" t="s">
        <v>72</v>
      </c>
      <c r="C54" s="281">
        <v>26541.0</v>
      </c>
    </row>
    <row r="55">
      <c r="A55" s="251">
        <v>13321.0</v>
      </c>
      <c r="B55" s="252" t="s">
        <v>73</v>
      </c>
      <c r="C55" s="281">
        <v>29115.0</v>
      </c>
    </row>
    <row r="56">
      <c r="A56" s="251">
        <v>13322.0</v>
      </c>
      <c r="B56" s="252" t="s">
        <v>74</v>
      </c>
      <c r="C56" s="281">
        <v>30000.0</v>
      </c>
    </row>
    <row r="57">
      <c r="A57" s="251">
        <v>14429.0</v>
      </c>
      <c r="B57" s="252" t="s">
        <v>75</v>
      </c>
      <c r="C57" s="281">
        <v>2903.0</v>
      </c>
    </row>
    <row r="58">
      <c r="A58" s="248">
        <v>15143.0</v>
      </c>
      <c r="B58" s="249" t="s">
        <v>76</v>
      </c>
      <c r="C58" s="281">
        <v>4063.0</v>
      </c>
    </row>
    <row r="59">
      <c r="A59" s="248">
        <v>15144.0</v>
      </c>
      <c r="B59" s="249" t="s">
        <v>77</v>
      </c>
      <c r="C59" s="281">
        <v>2956.0</v>
      </c>
    </row>
    <row r="60">
      <c r="A60" s="251">
        <v>15145.0</v>
      </c>
      <c r="B60" s="252" t="s">
        <v>78</v>
      </c>
      <c r="C60" s="281">
        <v>2146.0</v>
      </c>
    </row>
    <row r="61">
      <c r="A61" s="311">
        <v>15146.0</v>
      </c>
      <c r="B61" s="312" t="s">
        <v>79</v>
      </c>
      <c r="C61" s="281">
        <v>1176.0</v>
      </c>
    </row>
    <row r="62">
      <c r="A62" s="255">
        <v>15142.0</v>
      </c>
      <c r="B62" s="252" t="s">
        <v>80</v>
      </c>
      <c r="C62" s="281">
        <v>2854.0</v>
      </c>
    </row>
    <row r="63">
      <c r="A63" s="251">
        <v>13323.0</v>
      </c>
      <c r="B63" s="252" t="s">
        <v>81</v>
      </c>
      <c r="C63" s="281">
        <v>30000.0</v>
      </c>
    </row>
    <row r="64">
      <c r="A64" s="251">
        <v>13324.0</v>
      </c>
      <c r="B64" s="252" t="s">
        <v>82</v>
      </c>
      <c r="C64" s="281">
        <v>30000.0</v>
      </c>
    </row>
    <row r="65">
      <c r="A65" s="251">
        <v>13325.0</v>
      </c>
      <c r="B65" s="252" t="s">
        <v>83</v>
      </c>
      <c r="C65" s="281">
        <v>30000.0</v>
      </c>
    </row>
    <row r="66">
      <c r="A66" s="251">
        <v>13326.0</v>
      </c>
      <c r="B66" s="252" t="s">
        <v>84</v>
      </c>
      <c r="C66" s="281">
        <v>30000.0</v>
      </c>
    </row>
    <row r="67">
      <c r="A67" s="251">
        <v>13327.0</v>
      </c>
      <c r="B67" s="252" t="s">
        <v>85</v>
      </c>
      <c r="C67" s="281">
        <v>30000.0</v>
      </c>
    </row>
    <row r="68">
      <c r="A68" s="251">
        <v>14106.0</v>
      </c>
      <c r="B68" s="252" t="s">
        <v>86</v>
      </c>
      <c r="C68" s="281">
        <v>33499.0</v>
      </c>
    </row>
    <row r="69">
      <c r="A69" s="248">
        <v>14422.0</v>
      </c>
      <c r="B69" s="249" t="s">
        <v>87</v>
      </c>
      <c r="C69" s="281">
        <v>24176.0</v>
      </c>
    </row>
    <row r="70">
      <c r="A70" s="251">
        <v>13960.0</v>
      </c>
      <c r="B70" s="252" t="s">
        <v>88</v>
      </c>
      <c r="C70" s="281">
        <v>27395.0</v>
      </c>
    </row>
    <row r="71">
      <c r="A71" s="251">
        <v>13779.0</v>
      </c>
      <c r="B71" s="252" t="s">
        <v>89</v>
      </c>
      <c r="C71" s="281">
        <v>24249.0</v>
      </c>
    </row>
    <row r="72">
      <c r="A72" s="251">
        <v>13543.0</v>
      </c>
      <c r="B72" s="252" t="s">
        <v>90</v>
      </c>
      <c r="C72" s="281">
        <v>35315.0</v>
      </c>
    </row>
    <row r="73">
      <c r="A73" s="251">
        <v>13328.0</v>
      </c>
      <c r="B73" s="252" t="s">
        <v>91</v>
      </c>
      <c r="C73" s="281">
        <v>30000.0</v>
      </c>
    </row>
    <row r="74">
      <c r="A74" s="251">
        <v>13329.0</v>
      </c>
      <c r="B74" s="252" t="s">
        <v>92</v>
      </c>
      <c r="C74" s="282">
        <v>30000.0</v>
      </c>
    </row>
    <row r="75">
      <c r="A75" s="256">
        <v>13330.0</v>
      </c>
      <c r="B75" s="257" t="s">
        <v>93</v>
      </c>
      <c r="C75" s="281">
        <v>30000.0</v>
      </c>
    </row>
    <row r="76">
      <c r="A76" s="256">
        <v>13331.0</v>
      </c>
      <c r="B76" s="257" t="s">
        <v>94</v>
      </c>
      <c r="C76" s="281">
        <v>30000.0</v>
      </c>
    </row>
    <row r="77">
      <c r="A77" s="256">
        <v>13332.0</v>
      </c>
      <c r="B77" s="257" t="s">
        <v>95</v>
      </c>
      <c r="C77" s="281">
        <v>30000.0</v>
      </c>
    </row>
    <row r="78">
      <c r="A78" s="256">
        <v>14417.0</v>
      </c>
      <c r="B78" s="257" t="s">
        <v>96</v>
      </c>
      <c r="C78" s="281">
        <v>3000.0</v>
      </c>
    </row>
    <row r="79">
      <c r="A79" s="251">
        <v>14418.0</v>
      </c>
      <c r="B79" s="252" t="s">
        <v>97</v>
      </c>
      <c r="C79" s="283">
        <v>3000.0</v>
      </c>
    </row>
    <row r="80">
      <c r="A80" s="256">
        <v>14104.0</v>
      </c>
      <c r="B80" s="257" t="s">
        <v>98</v>
      </c>
      <c r="C80" s="281">
        <v>3000.0</v>
      </c>
    </row>
    <row r="81">
      <c r="A81" s="256">
        <v>14105.0</v>
      </c>
      <c r="B81" s="257" t="s">
        <v>99</v>
      </c>
      <c r="C81" s="281">
        <v>3000.0</v>
      </c>
    </row>
    <row r="82">
      <c r="A82" s="256">
        <v>13788.0</v>
      </c>
      <c r="B82" s="257" t="s">
        <v>100</v>
      </c>
      <c r="C82" s="281">
        <v>3000.0</v>
      </c>
    </row>
    <row r="83">
      <c r="A83" s="248">
        <v>15148.0</v>
      </c>
      <c r="B83" s="249" t="s">
        <v>101</v>
      </c>
      <c r="C83" s="281">
        <v>14696.0</v>
      </c>
    </row>
    <row r="84">
      <c r="A84" s="248">
        <v>15149.0</v>
      </c>
      <c r="B84" s="249" t="s">
        <v>102</v>
      </c>
      <c r="C84" s="281">
        <v>14636.0</v>
      </c>
    </row>
    <row r="85">
      <c r="A85" s="251">
        <v>15150.0</v>
      </c>
      <c r="B85" s="252" t="s">
        <v>103</v>
      </c>
      <c r="C85" s="284">
        <v>7297.0</v>
      </c>
    </row>
    <row r="86">
      <c r="A86" s="251">
        <v>15151.0</v>
      </c>
      <c r="B86" s="252" t="s">
        <v>104</v>
      </c>
      <c r="C86" s="283">
        <v>9095.0</v>
      </c>
    </row>
    <row r="87">
      <c r="A87" s="255">
        <v>15147.0</v>
      </c>
      <c r="B87" s="252" t="s">
        <v>105</v>
      </c>
      <c r="C87" s="281">
        <v>6967.0</v>
      </c>
    </row>
    <row r="88">
      <c r="A88" s="248">
        <v>13333.0</v>
      </c>
      <c r="B88" s="249" t="s">
        <v>106</v>
      </c>
      <c r="C88" s="281">
        <v>3451.0</v>
      </c>
    </row>
    <row r="89">
      <c r="A89" s="248">
        <v>13334.0</v>
      </c>
      <c r="B89" s="249" t="s">
        <v>107</v>
      </c>
      <c r="C89" s="281">
        <v>2418.0</v>
      </c>
    </row>
    <row r="90">
      <c r="A90" s="248">
        <v>13335.0</v>
      </c>
      <c r="B90" s="249" t="s">
        <v>108</v>
      </c>
      <c r="C90" s="283">
        <v>3462.0</v>
      </c>
    </row>
    <row r="91">
      <c r="A91" s="248">
        <v>13336.0</v>
      </c>
      <c r="B91" s="249" t="s">
        <v>109</v>
      </c>
      <c r="C91" s="281">
        <v>5018.0</v>
      </c>
    </row>
    <row r="92">
      <c r="A92" s="251">
        <v>13337.0</v>
      </c>
      <c r="B92" s="252" t="s">
        <v>110</v>
      </c>
      <c r="C92" s="281">
        <v>17433.0</v>
      </c>
    </row>
    <row r="93">
      <c r="A93" s="251">
        <v>13338.0</v>
      </c>
      <c r="B93" s="252" t="s">
        <v>111</v>
      </c>
      <c r="C93" s="281">
        <v>30000.0</v>
      </c>
    </row>
    <row r="94">
      <c r="A94" s="251">
        <v>13339.0</v>
      </c>
      <c r="B94" s="252" t="s">
        <v>112</v>
      </c>
      <c r="C94" s="281">
        <v>30000.0</v>
      </c>
    </row>
    <row r="95">
      <c r="A95" s="251">
        <v>13437.0</v>
      </c>
      <c r="B95" s="252" t="s">
        <v>113</v>
      </c>
      <c r="C95" s="281">
        <v>30000.0</v>
      </c>
    </row>
    <row r="96">
      <c r="A96" s="251">
        <v>13341.0</v>
      </c>
      <c r="B96" s="252" t="s">
        <v>114</v>
      </c>
      <c r="C96" s="281">
        <v>30000.0</v>
      </c>
    </row>
    <row r="97">
      <c r="A97" s="251">
        <v>13342.0</v>
      </c>
      <c r="B97" s="252" t="s">
        <v>115</v>
      </c>
      <c r="C97" s="281">
        <v>30000.0</v>
      </c>
    </row>
    <row r="98">
      <c r="A98" s="248">
        <v>14405.0</v>
      </c>
      <c r="B98" s="249" t="s">
        <v>116</v>
      </c>
      <c r="C98" s="281">
        <v>15961.0</v>
      </c>
    </row>
    <row r="99">
      <c r="A99" s="248">
        <v>14406.0</v>
      </c>
      <c r="B99" s="249" t="s">
        <v>117</v>
      </c>
      <c r="C99" s="281">
        <v>16105.0</v>
      </c>
    </row>
    <row r="100">
      <c r="A100" s="251">
        <v>13780.0</v>
      </c>
      <c r="B100" s="252" t="s">
        <v>118</v>
      </c>
      <c r="C100" s="281">
        <v>33430.0</v>
      </c>
    </row>
    <row r="101">
      <c r="A101" s="251">
        <v>14407.0</v>
      </c>
      <c r="B101" s="252" t="s">
        <v>119</v>
      </c>
      <c r="C101" s="281">
        <v>31789.0</v>
      </c>
    </row>
    <row r="102">
      <c r="A102" s="251">
        <v>13792.0</v>
      </c>
      <c r="B102" s="252" t="s">
        <v>120</v>
      </c>
      <c r="C102" s="281">
        <v>41307.0</v>
      </c>
    </row>
    <row r="103">
      <c r="A103" s="166" t="s">
        <v>19</v>
      </c>
      <c r="B103" s="6"/>
      <c r="C103" s="167">
        <f>SUM(C38:C102)</f>
        <v>1172747</v>
      </c>
    </row>
  </sheetData>
  <mergeCells count="23">
    <mergeCell ref="A4:A8"/>
    <mergeCell ref="A9:B9"/>
    <mergeCell ref="A14:B16"/>
    <mergeCell ref="A17:A31"/>
    <mergeCell ref="A32:B32"/>
    <mergeCell ref="A103:B103"/>
    <mergeCell ref="A1:B3"/>
    <mergeCell ref="C1:N1"/>
    <mergeCell ref="O1:P2"/>
    <mergeCell ref="C2:D2"/>
    <mergeCell ref="E2:F2"/>
    <mergeCell ref="G2:H2"/>
    <mergeCell ref="I2:J2"/>
    <mergeCell ref="I15:J15"/>
    <mergeCell ref="K15:L15"/>
    <mergeCell ref="K2:L2"/>
    <mergeCell ref="M2:N2"/>
    <mergeCell ref="C14:N14"/>
    <mergeCell ref="O14:P15"/>
    <mergeCell ref="C15:D15"/>
    <mergeCell ref="E15:F15"/>
    <mergeCell ref="G15:H15"/>
    <mergeCell ref="M15:N15"/>
  </mergeCells>
  <conditionalFormatting sqref="D4:D9 F4:F9 H4:H9 J4:J9 L4:L9 N4:N9 P4:P9 D17:D32 F17:F21 H17:H32 J17:J26 L17:L21 N17:N26 P17:P32 L26:L32 F32 J32 N32">
    <cfRule type="cellIs" dxfId="3" priority="1" operator="lessThanOrEqual">
      <formula>"20%"</formula>
    </cfRule>
  </conditionalFormatting>
  <conditionalFormatting sqref="D4:D9 F4:F9 H4:H9 J4:J9 L4:L9 N4:N9 P4:P9 D17:D32 F17:F21 H17:H32 J17:J26 L17:L21 N17:N26 P17:P32 L26:L32 F32 J32 N32">
    <cfRule type="cellIs" dxfId="4" priority="2" operator="between">
      <formula>"20%"</formula>
      <formula>"80%"</formula>
    </cfRule>
  </conditionalFormatting>
  <conditionalFormatting sqref="D4:D9 F4:F9 H4:H9 J4:J9 L4:L9 N4:N9 P4:P9 D17:D32 F17:F21 H17:H32 J17:J26 L17:L21 N17:N26 P17:P32 L26:L32 F32 J32 N32">
    <cfRule type="cellIs" dxfId="2" priority="3" operator="greaterThanOrEqual">
      <formula>"80%"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5.5"/>
  </cols>
  <sheetData>
    <row r="1">
      <c r="A1" s="50" t="s">
        <v>140</v>
      </c>
      <c r="B1" s="51"/>
      <c r="C1" s="313" t="s">
        <v>26</v>
      </c>
      <c r="D1" s="5"/>
      <c r="E1" s="5"/>
      <c r="F1" s="5"/>
      <c r="G1" s="5"/>
      <c r="H1" s="5"/>
      <c r="I1" s="5"/>
      <c r="J1" s="5"/>
      <c r="K1" s="5"/>
      <c r="L1" s="5"/>
      <c r="M1" s="5"/>
      <c r="N1" s="6"/>
      <c r="O1" s="314" t="s">
        <v>19</v>
      </c>
      <c r="P1" s="169"/>
    </row>
    <row r="2">
      <c r="A2" s="55"/>
      <c r="B2" s="56"/>
      <c r="C2" s="313" t="s">
        <v>13</v>
      </c>
      <c r="D2" s="6"/>
      <c r="E2" s="313" t="s">
        <v>14</v>
      </c>
      <c r="F2" s="6"/>
      <c r="G2" s="313" t="s">
        <v>15</v>
      </c>
      <c r="H2" s="6"/>
      <c r="I2" s="313" t="s">
        <v>16</v>
      </c>
      <c r="J2" s="6"/>
      <c r="K2" s="313" t="s">
        <v>17</v>
      </c>
      <c r="L2" s="6"/>
      <c r="M2" s="313" t="s">
        <v>18</v>
      </c>
      <c r="N2" s="6"/>
      <c r="O2" s="176"/>
      <c r="P2" s="177"/>
    </row>
    <row r="3">
      <c r="A3" s="61"/>
      <c r="B3" s="62"/>
      <c r="C3" s="315" t="s">
        <v>141</v>
      </c>
      <c r="D3" s="316" t="s">
        <v>28</v>
      </c>
      <c r="E3" s="315" t="s">
        <v>141</v>
      </c>
      <c r="F3" s="316" t="s">
        <v>28</v>
      </c>
      <c r="G3" s="315" t="s">
        <v>141</v>
      </c>
      <c r="H3" s="316" t="s">
        <v>28</v>
      </c>
      <c r="I3" s="315" t="s">
        <v>141</v>
      </c>
      <c r="J3" s="316" t="s">
        <v>28</v>
      </c>
      <c r="K3" s="315" t="s">
        <v>141</v>
      </c>
      <c r="L3" s="316" t="s">
        <v>28</v>
      </c>
      <c r="M3" s="315" t="s">
        <v>141</v>
      </c>
      <c r="N3" s="316" t="s">
        <v>28</v>
      </c>
      <c r="O3" s="315" t="s">
        <v>141</v>
      </c>
      <c r="P3" s="316" t="s">
        <v>28</v>
      </c>
    </row>
    <row r="4">
      <c r="A4" s="317" t="s">
        <v>48</v>
      </c>
      <c r="B4" s="318" t="s">
        <v>30</v>
      </c>
      <c r="C4" s="319">
        <f t="shared" ref="C4:C8" si="1">C17+C22+C27</f>
        <v>63386</v>
      </c>
      <c r="D4" s="291">
        <f>C4/(2*sum(G38,G43,G47))</f>
        <v>1</v>
      </c>
      <c r="E4" s="319">
        <f t="shared" ref="E4:E8" si="2">E17+E22+E27</f>
        <v>5404</v>
      </c>
      <c r="F4" s="291">
        <f t="shared" ref="F4:F8" si="3">E4/(2*G88)</f>
        <v>1</v>
      </c>
      <c r="G4" s="319">
        <f t="shared" ref="G4:G8" si="4">G17+G22+G27</f>
        <v>71998</v>
      </c>
      <c r="H4" s="291">
        <f t="shared" ref="H4:H8" si="5">G4/(2*sum(G73,G78,G83))</f>
        <v>1</v>
      </c>
      <c r="I4" s="319">
        <f t="shared" ref="I4:I8" si="6">I17+I22+I27</f>
        <v>98802</v>
      </c>
      <c r="J4" s="291">
        <f t="shared" ref="J4:J8" si="7">I4/(2*sum(G63,G68))</f>
        <v>0.9999797579</v>
      </c>
      <c r="K4" s="319">
        <f t="shared" ref="K4:K8" si="8">K17+K22+K27</f>
        <v>39930</v>
      </c>
      <c r="L4" s="291">
        <f t="shared" ref="L4:L7" si="9">K4/(2*sum(G52,G58))</f>
        <v>1</v>
      </c>
      <c r="M4" s="319">
        <f t="shared" ref="M4:M8" si="10">M17+M22+M27</f>
        <v>71644</v>
      </c>
      <c r="N4" s="291">
        <f t="shared" ref="N4:N8" si="11">M4/(2*sum(G93,G98))</f>
        <v>1</v>
      </c>
      <c r="O4" s="319">
        <f t="shared" ref="O4:O8" si="12">O17+O22+O27</f>
        <v>351164</v>
      </c>
      <c r="P4" s="291">
        <f>O4/351166</f>
        <v>0.9999943047</v>
      </c>
    </row>
    <row r="5">
      <c r="A5" s="191"/>
      <c r="B5" s="318" t="s">
        <v>31</v>
      </c>
      <c r="C5" s="319">
        <f t="shared" si="1"/>
        <v>62990</v>
      </c>
      <c r="D5" s="291">
        <f>C5/(2*sum(G39,G48))</f>
        <v>1</v>
      </c>
      <c r="E5" s="319">
        <f t="shared" si="2"/>
        <v>3936</v>
      </c>
      <c r="F5" s="291">
        <f t="shared" si="3"/>
        <v>1</v>
      </c>
      <c r="G5" s="319">
        <f t="shared" si="4"/>
        <v>72000</v>
      </c>
      <c r="H5" s="291">
        <f t="shared" si="5"/>
        <v>1</v>
      </c>
      <c r="I5" s="319">
        <f t="shared" si="6"/>
        <v>84794</v>
      </c>
      <c r="J5" s="291">
        <f t="shared" si="7"/>
        <v>1</v>
      </c>
      <c r="K5" s="319">
        <f t="shared" si="8"/>
        <v>33112</v>
      </c>
      <c r="L5" s="291">
        <f t="shared" si="9"/>
        <v>1</v>
      </c>
      <c r="M5" s="319">
        <f t="shared" si="10"/>
        <v>72074</v>
      </c>
      <c r="N5" s="291">
        <f t="shared" si="11"/>
        <v>1</v>
      </c>
      <c r="O5" s="319">
        <f t="shared" si="12"/>
        <v>328906</v>
      </c>
      <c r="P5" s="291">
        <f>O5/328906</f>
        <v>1</v>
      </c>
    </row>
    <row r="6">
      <c r="A6" s="191"/>
      <c r="B6" s="318" t="s">
        <v>32</v>
      </c>
      <c r="C6" s="319">
        <f t="shared" si="1"/>
        <v>60034</v>
      </c>
      <c r="D6" s="291">
        <f t="shared" ref="D6:D8" si="13">C6/(2*sum(G40,G44,G49))</f>
        <v>1</v>
      </c>
      <c r="E6" s="319">
        <f t="shared" si="2"/>
        <v>5806</v>
      </c>
      <c r="F6" s="291">
        <f t="shared" si="3"/>
        <v>1</v>
      </c>
      <c r="G6" s="319">
        <f t="shared" si="4"/>
        <v>61326</v>
      </c>
      <c r="H6" s="291">
        <f t="shared" si="5"/>
        <v>1</v>
      </c>
      <c r="I6" s="319">
        <f t="shared" si="6"/>
        <v>89086</v>
      </c>
      <c r="J6" s="291">
        <f t="shared" si="7"/>
        <v>1</v>
      </c>
      <c r="K6" s="319">
        <f t="shared" si="8"/>
        <v>46956</v>
      </c>
      <c r="L6" s="291">
        <f t="shared" si="9"/>
        <v>1</v>
      </c>
      <c r="M6" s="319">
        <f t="shared" si="10"/>
        <v>99332</v>
      </c>
      <c r="N6" s="291">
        <f t="shared" si="11"/>
        <v>1</v>
      </c>
      <c r="O6" s="319">
        <f t="shared" si="12"/>
        <v>362540</v>
      </c>
      <c r="P6" s="291">
        <f>O6/362204</f>
        <v>1.000927654</v>
      </c>
    </row>
    <row r="7">
      <c r="A7" s="191"/>
      <c r="B7" s="318" t="s">
        <v>33</v>
      </c>
      <c r="C7" s="319">
        <f t="shared" si="1"/>
        <v>65810</v>
      </c>
      <c r="D7" s="291">
        <f t="shared" si="13"/>
        <v>1</v>
      </c>
      <c r="E7" s="319">
        <f t="shared" si="2"/>
        <v>8540</v>
      </c>
      <c r="F7" s="291">
        <f t="shared" si="3"/>
        <v>1</v>
      </c>
      <c r="G7" s="319">
        <f t="shared" si="4"/>
        <v>64268</v>
      </c>
      <c r="H7" s="291">
        <f t="shared" si="5"/>
        <v>1</v>
      </c>
      <c r="I7" s="319">
        <f t="shared" si="6"/>
        <v>84238</v>
      </c>
      <c r="J7" s="291">
        <f t="shared" si="7"/>
        <v>1</v>
      </c>
      <c r="K7" s="319">
        <f t="shared" si="8"/>
        <v>47038</v>
      </c>
      <c r="L7" s="291">
        <f t="shared" si="9"/>
        <v>1</v>
      </c>
      <c r="M7" s="319">
        <f t="shared" si="10"/>
        <v>98106</v>
      </c>
      <c r="N7" s="291">
        <f t="shared" si="11"/>
        <v>1</v>
      </c>
      <c r="O7" s="319">
        <f t="shared" si="12"/>
        <v>368000</v>
      </c>
      <c r="P7" s="291">
        <f>O7/368000</f>
        <v>1</v>
      </c>
    </row>
    <row r="8">
      <c r="A8" s="195"/>
      <c r="B8" s="318" t="s">
        <v>34</v>
      </c>
      <c r="C8" s="319">
        <f t="shared" si="1"/>
        <v>59546</v>
      </c>
      <c r="D8" s="291">
        <f t="shared" si="13"/>
        <v>1</v>
      </c>
      <c r="E8" s="319">
        <f t="shared" si="2"/>
        <v>27470</v>
      </c>
      <c r="F8" s="291">
        <f t="shared" si="3"/>
        <v>1</v>
      </c>
      <c r="G8" s="319">
        <f t="shared" si="4"/>
        <v>60584</v>
      </c>
      <c r="H8" s="291">
        <f t="shared" si="5"/>
        <v>1</v>
      </c>
      <c r="I8" s="319">
        <f t="shared" si="6"/>
        <v>99000</v>
      </c>
      <c r="J8" s="291">
        <f t="shared" si="7"/>
        <v>1</v>
      </c>
      <c r="K8" s="319">
        <f t="shared" si="8"/>
        <v>54348</v>
      </c>
      <c r="L8" s="291">
        <f>K8/(2*sum(G56, G57,G62))</f>
        <v>1</v>
      </c>
      <c r="M8" s="319">
        <f t="shared" si="10"/>
        <v>108000</v>
      </c>
      <c r="N8" s="291">
        <f t="shared" si="11"/>
        <v>1</v>
      </c>
      <c r="O8" s="319">
        <f t="shared" si="12"/>
        <v>408948</v>
      </c>
      <c r="P8" s="291">
        <f>O8/408948</f>
        <v>1</v>
      </c>
    </row>
    <row r="9">
      <c r="A9" s="320" t="s">
        <v>19</v>
      </c>
      <c r="B9" s="6"/>
      <c r="C9" s="319">
        <f>sum(C4:C8)</f>
        <v>311766</v>
      </c>
      <c r="D9" s="291">
        <f>C9/311766</f>
        <v>1</v>
      </c>
      <c r="E9" s="319">
        <f>sum(E4:E8)</f>
        <v>51156</v>
      </c>
      <c r="F9" s="291">
        <f>E9/53762</f>
        <v>0.9515271009</v>
      </c>
      <c r="G9" s="319">
        <f>sum(G4:G8)</f>
        <v>330176</v>
      </c>
      <c r="H9" s="291">
        <f>G9/330176</f>
        <v>1</v>
      </c>
      <c r="I9" s="319">
        <f>sum(I4:I8)</f>
        <v>455920</v>
      </c>
      <c r="J9" s="291">
        <f>I9/455922</f>
        <v>0.9999956133</v>
      </c>
      <c r="K9" s="319">
        <f>sum(K4:K8)</f>
        <v>221384</v>
      </c>
      <c r="L9" s="291">
        <f>K9/221384</f>
        <v>1</v>
      </c>
      <c r="M9" s="319">
        <f>sum(M4:M8)</f>
        <v>449156</v>
      </c>
      <c r="N9" s="291">
        <f>M9/449156</f>
        <v>1</v>
      </c>
      <c r="O9" s="319">
        <f>sum(O4:O8)</f>
        <v>1819558</v>
      </c>
      <c r="P9" s="291">
        <f>O9/1819558</f>
        <v>1</v>
      </c>
    </row>
    <row r="10">
      <c r="P10" s="98">
        <f>P9*225/300*4000</f>
        <v>3000</v>
      </c>
    </row>
    <row r="11">
      <c r="P11" s="261">
        <f>'전사(질의응답)'!P10</f>
        <v>989.5178438</v>
      </c>
    </row>
    <row r="12">
      <c r="A12" s="321"/>
      <c r="B12" s="322"/>
    </row>
    <row r="13">
      <c r="A13" s="243"/>
      <c r="B13" s="323"/>
    </row>
    <row r="14" ht="18.0" customHeight="1">
      <c r="A14" s="50" t="s">
        <v>140</v>
      </c>
      <c r="B14" s="51"/>
      <c r="C14" s="170" t="s">
        <v>26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6"/>
      <c r="O14" s="324" t="s">
        <v>19</v>
      </c>
      <c r="P14" s="169"/>
    </row>
    <row r="15" ht="18.0" customHeight="1">
      <c r="A15" s="55"/>
      <c r="B15" s="56"/>
      <c r="C15" s="170" t="s">
        <v>13</v>
      </c>
      <c r="D15" s="6"/>
      <c r="E15" s="170" t="s">
        <v>14</v>
      </c>
      <c r="F15" s="6"/>
      <c r="G15" s="170" t="s">
        <v>15</v>
      </c>
      <c r="H15" s="6"/>
      <c r="I15" s="170" t="s">
        <v>16</v>
      </c>
      <c r="J15" s="6"/>
      <c r="K15" s="170" t="s">
        <v>17</v>
      </c>
      <c r="L15" s="6"/>
      <c r="M15" s="170" t="s">
        <v>18</v>
      </c>
      <c r="N15" s="6"/>
      <c r="O15" s="176"/>
      <c r="P15" s="177"/>
    </row>
    <row r="16" ht="18.0" customHeight="1">
      <c r="A16" s="61"/>
      <c r="B16" s="62"/>
      <c r="C16" s="315" t="s">
        <v>141</v>
      </c>
      <c r="D16" s="178" t="s">
        <v>28</v>
      </c>
      <c r="E16" s="315" t="s">
        <v>141</v>
      </c>
      <c r="F16" s="178" t="s">
        <v>28</v>
      </c>
      <c r="G16" s="315" t="s">
        <v>141</v>
      </c>
      <c r="H16" s="178" t="s">
        <v>28</v>
      </c>
      <c r="I16" s="315" t="s">
        <v>141</v>
      </c>
      <c r="J16" s="178" t="s">
        <v>28</v>
      </c>
      <c r="K16" s="315" t="s">
        <v>141</v>
      </c>
      <c r="L16" s="178" t="s">
        <v>28</v>
      </c>
      <c r="M16" s="315" t="s">
        <v>141</v>
      </c>
      <c r="N16" s="178" t="s">
        <v>28</v>
      </c>
      <c r="O16" s="315" t="s">
        <v>141</v>
      </c>
      <c r="P16" s="178" t="s">
        <v>28</v>
      </c>
    </row>
    <row r="17" ht="18.0" customHeight="1">
      <c r="A17" s="181" t="s">
        <v>29</v>
      </c>
      <c r="B17" s="74" t="s">
        <v>30</v>
      </c>
      <c r="C17" s="325">
        <f t="shared" ref="C17:C22" si="14">D38</f>
        <v>45000</v>
      </c>
      <c r="D17" s="291">
        <f t="shared" ref="D17:D22" si="15">C17/(2*G38)</f>
        <v>1</v>
      </c>
      <c r="E17" s="325">
        <f t="shared" ref="E17:E21" si="16">D88</f>
        <v>5404</v>
      </c>
      <c r="F17" s="291">
        <f t="shared" ref="F17:F21" si="17">E17/(2*G88)</f>
        <v>1</v>
      </c>
      <c r="G17" s="325">
        <f t="shared" ref="G17:G31" si="18">D73</f>
        <v>45000</v>
      </c>
      <c r="H17" s="291">
        <f t="shared" ref="H17:H31" si="19">G17/(2*G73)</f>
        <v>1</v>
      </c>
      <c r="I17" s="325">
        <f t="shared" ref="I17:I26" si="20">D63</f>
        <v>45000</v>
      </c>
      <c r="J17" s="291">
        <f t="shared" ref="J17:J26" si="21">I17/(2*G63)</f>
        <v>1</v>
      </c>
      <c r="K17" s="325">
        <f t="shared" ref="K17:K21" si="22">D52</f>
        <v>33300</v>
      </c>
      <c r="L17" s="291">
        <f t="shared" ref="L17:L21" si="23">K17/(2*G52)</f>
        <v>1</v>
      </c>
      <c r="M17" s="325">
        <f t="shared" ref="M17:M26" si="24">D93</f>
        <v>45000</v>
      </c>
      <c r="N17" s="291">
        <f t="shared" ref="N17:N26" si="25">M17/(2*G93)</f>
        <v>1</v>
      </c>
      <c r="O17" s="325">
        <f t="shared" ref="O17:O31" si="26">sum(C17,E17,G17,I17,K17,M17)</f>
        <v>218704</v>
      </c>
      <c r="P17" s="291">
        <f t="shared" ref="P17:P21" si="27">O17/(2*sum(G38,G52,G63,G73,G88,G93))</f>
        <v>1</v>
      </c>
    </row>
    <row r="18" ht="18.0" customHeight="1">
      <c r="A18" s="191"/>
      <c r="B18" s="74" t="s">
        <v>31</v>
      </c>
      <c r="C18" s="325">
        <f t="shared" si="14"/>
        <v>44848</v>
      </c>
      <c r="D18" s="291">
        <f t="shared" si="15"/>
        <v>1</v>
      </c>
      <c r="E18" s="325">
        <f t="shared" si="16"/>
        <v>3936</v>
      </c>
      <c r="F18" s="291">
        <f t="shared" si="17"/>
        <v>1</v>
      </c>
      <c r="G18" s="325">
        <f t="shared" si="18"/>
        <v>45000</v>
      </c>
      <c r="H18" s="291">
        <f t="shared" si="19"/>
        <v>1</v>
      </c>
      <c r="I18" s="325">
        <f t="shared" si="20"/>
        <v>45000</v>
      </c>
      <c r="J18" s="291">
        <f t="shared" si="21"/>
        <v>1</v>
      </c>
      <c r="K18" s="325">
        <f t="shared" si="22"/>
        <v>28194</v>
      </c>
      <c r="L18" s="291">
        <f t="shared" si="23"/>
        <v>1</v>
      </c>
      <c r="M18" s="325">
        <f t="shared" si="24"/>
        <v>45000</v>
      </c>
      <c r="N18" s="291">
        <f t="shared" si="25"/>
        <v>1</v>
      </c>
      <c r="O18" s="325">
        <f t="shared" si="26"/>
        <v>211978</v>
      </c>
      <c r="P18" s="291">
        <f t="shared" si="27"/>
        <v>1</v>
      </c>
    </row>
    <row r="19" ht="18.0" customHeight="1">
      <c r="A19" s="191"/>
      <c r="B19" s="74" t="s">
        <v>32</v>
      </c>
      <c r="C19" s="325">
        <f t="shared" si="14"/>
        <v>45000</v>
      </c>
      <c r="D19" s="291">
        <f t="shared" si="15"/>
        <v>1</v>
      </c>
      <c r="E19" s="325">
        <f t="shared" si="16"/>
        <v>5806</v>
      </c>
      <c r="F19" s="291">
        <f t="shared" si="17"/>
        <v>1</v>
      </c>
      <c r="G19" s="325">
        <f t="shared" si="18"/>
        <v>45000</v>
      </c>
      <c r="H19" s="291">
        <f t="shared" si="19"/>
        <v>1</v>
      </c>
      <c r="I19" s="325">
        <f t="shared" si="20"/>
        <v>45000</v>
      </c>
      <c r="J19" s="291">
        <f t="shared" si="21"/>
        <v>1</v>
      </c>
      <c r="K19" s="325">
        <f t="shared" si="22"/>
        <v>43226</v>
      </c>
      <c r="L19" s="291">
        <f t="shared" si="23"/>
        <v>1</v>
      </c>
      <c r="M19" s="325">
        <f t="shared" si="24"/>
        <v>45000</v>
      </c>
      <c r="N19" s="291">
        <f t="shared" si="25"/>
        <v>1</v>
      </c>
      <c r="O19" s="325">
        <f t="shared" si="26"/>
        <v>229032</v>
      </c>
      <c r="P19" s="291">
        <f t="shared" si="27"/>
        <v>1</v>
      </c>
    </row>
    <row r="20" ht="18.0" customHeight="1">
      <c r="A20" s="191"/>
      <c r="B20" s="74" t="s">
        <v>33</v>
      </c>
      <c r="C20" s="325">
        <f t="shared" si="14"/>
        <v>45000</v>
      </c>
      <c r="D20" s="291">
        <f t="shared" si="15"/>
        <v>1</v>
      </c>
      <c r="E20" s="325">
        <f t="shared" si="16"/>
        <v>8540</v>
      </c>
      <c r="F20" s="291">
        <f t="shared" si="17"/>
        <v>1</v>
      </c>
      <c r="G20" s="325">
        <f t="shared" si="18"/>
        <v>45000</v>
      </c>
      <c r="H20" s="291">
        <f t="shared" si="19"/>
        <v>1</v>
      </c>
      <c r="I20" s="325">
        <f t="shared" si="20"/>
        <v>45000</v>
      </c>
      <c r="J20" s="291">
        <f t="shared" si="21"/>
        <v>1</v>
      </c>
      <c r="K20" s="325">
        <f t="shared" si="22"/>
        <v>45000</v>
      </c>
      <c r="L20" s="291">
        <f t="shared" si="23"/>
        <v>1</v>
      </c>
      <c r="M20" s="325">
        <f t="shared" si="24"/>
        <v>45000</v>
      </c>
      <c r="N20" s="291">
        <f t="shared" si="25"/>
        <v>1</v>
      </c>
      <c r="O20" s="325">
        <f t="shared" si="26"/>
        <v>233540</v>
      </c>
      <c r="P20" s="291">
        <f t="shared" si="27"/>
        <v>1</v>
      </c>
    </row>
    <row r="21" ht="18.0" customHeight="1">
      <c r="A21" s="191"/>
      <c r="B21" s="74" t="s">
        <v>34</v>
      </c>
      <c r="C21" s="325">
        <f t="shared" si="14"/>
        <v>45000</v>
      </c>
      <c r="D21" s="291">
        <f t="shared" si="15"/>
        <v>1</v>
      </c>
      <c r="E21" s="325">
        <f t="shared" si="16"/>
        <v>27470</v>
      </c>
      <c r="F21" s="291">
        <f t="shared" si="17"/>
        <v>1</v>
      </c>
      <c r="G21" s="325">
        <f t="shared" si="18"/>
        <v>45000</v>
      </c>
      <c r="H21" s="291">
        <f t="shared" si="19"/>
        <v>1</v>
      </c>
      <c r="I21" s="325">
        <f t="shared" si="20"/>
        <v>45000</v>
      </c>
      <c r="J21" s="291">
        <f t="shared" si="21"/>
        <v>1</v>
      </c>
      <c r="K21" s="325">
        <f t="shared" si="22"/>
        <v>45000</v>
      </c>
      <c r="L21" s="291">
        <f t="shared" si="23"/>
        <v>1</v>
      </c>
      <c r="M21" s="325">
        <f t="shared" si="24"/>
        <v>45000</v>
      </c>
      <c r="N21" s="291">
        <f t="shared" si="25"/>
        <v>1</v>
      </c>
      <c r="O21" s="325">
        <f t="shared" si="26"/>
        <v>252470</v>
      </c>
      <c r="P21" s="291">
        <f t="shared" si="27"/>
        <v>1</v>
      </c>
    </row>
    <row r="22" ht="18.0" customHeight="1">
      <c r="A22" s="191"/>
      <c r="B22" s="74" t="s">
        <v>35</v>
      </c>
      <c r="C22" s="325">
        <f t="shared" si="14"/>
        <v>4500</v>
      </c>
      <c r="D22" s="291">
        <f t="shared" si="15"/>
        <v>1</v>
      </c>
      <c r="E22" s="326"/>
      <c r="F22" s="326"/>
      <c r="G22" s="325">
        <f t="shared" si="18"/>
        <v>4500</v>
      </c>
      <c r="H22" s="291">
        <f t="shared" si="19"/>
        <v>1</v>
      </c>
      <c r="I22" s="325">
        <f t="shared" si="20"/>
        <v>53802</v>
      </c>
      <c r="J22" s="291">
        <f t="shared" si="21"/>
        <v>0.999962828</v>
      </c>
      <c r="K22" s="326"/>
      <c r="L22" s="326"/>
      <c r="M22" s="325">
        <f t="shared" si="24"/>
        <v>26644</v>
      </c>
      <c r="N22" s="291">
        <f t="shared" si="25"/>
        <v>1</v>
      </c>
      <c r="O22" s="325">
        <f t="shared" si="26"/>
        <v>89446</v>
      </c>
      <c r="P22" s="291">
        <f>O22/(2*sum(G43,G68,G78,G98))</f>
        <v>0.9999776406</v>
      </c>
    </row>
    <row r="23" ht="18.0" customHeight="1">
      <c r="A23" s="191"/>
      <c r="B23" s="74" t="s">
        <v>36</v>
      </c>
      <c r="C23" s="326"/>
      <c r="D23" s="326"/>
      <c r="E23" s="326"/>
      <c r="F23" s="326"/>
      <c r="G23" s="325">
        <f t="shared" si="18"/>
        <v>4500</v>
      </c>
      <c r="H23" s="291">
        <f t="shared" si="19"/>
        <v>1</v>
      </c>
      <c r="I23" s="325">
        <f t="shared" si="20"/>
        <v>39794</v>
      </c>
      <c r="J23" s="291">
        <f t="shared" si="21"/>
        <v>1</v>
      </c>
      <c r="K23" s="326"/>
      <c r="L23" s="326"/>
      <c r="M23" s="325">
        <f t="shared" si="24"/>
        <v>27074</v>
      </c>
      <c r="N23" s="291">
        <f t="shared" si="25"/>
        <v>1</v>
      </c>
      <c r="O23" s="325">
        <f t="shared" si="26"/>
        <v>71368</v>
      </c>
      <c r="P23" s="291">
        <f>O23/(2*sum(G69,G79,G99))</f>
        <v>1</v>
      </c>
    </row>
    <row r="24" ht="18.0" customHeight="1">
      <c r="A24" s="191"/>
      <c r="B24" s="74" t="s">
        <v>37</v>
      </c>
      <c r="C24" s="325">
        <f t="shared" ref="C24:C31" si="28">D44</f>
        <v>4500</v>
      </c>
      <c r="D24" s="291">
        <f t="shared" ref="D24:D31" si="29">C24/(2*G44)</f>
        <v>1</v>
      </c>
      <c r="E24" s="326"/>
      <c r="F24" s="326"/>
      <c r="G24" s="325">
        <f t="shared" si="18"/>
        <v>4500</v>
      </c>
      <c r="H24" s="291">
        <f t="shared" si="19"/>
        <v>1</v>
      </c>
      <c r="I24" s="325">
        <f t="shared" si="20"/>
        <v>44086</v>
      </c>
      <c r="J24" s="291">
        <f t="shared" si="21"/>
        <v>1</v>
      </c>
      <c r="K24" s="326"/>
      <c r="L24" s="326"/>
      <c r="M24" s="325">
        <f t="shared" si="24"/>
        <v>54332</v>
      </c>
      <c r="N24" s="291">
        <f t="shared" si="25"/>
        <v>1</v>
      </c>
      <c r="O24" s="325">
        <f t="shared" si="26"/>
        <v>107418</v>
      </c>
      <c r="P24" s="291">
        <f t="shared" ref="P24:P25" si="30">O24/(2*sum(G45,G70,G80,G100))</f>
        <v>1</v>
      </c>
    </row>
    <row r="25" ht="18.0" customHeight="1">
      <c r="A25" s="191"/>
      <c r="B25" s="74" t="s">
        <v>38</v>
      </c>
      <c r="C25" s="325">
        <f t="shared" si="28"/>
        <v>4500</v>
      </c>
      <c r="D25" s="291">
        <f t="shared" si="29"/>
        <v>1</v>
      </c>
      <c r="E25" s="326"/>
      <c r="F25" s="326"/>
      <c r="G25" s="325">
        <f t="shared" si="18"/>
        <v>4500</v>
      </c>
      <c r="H25" s="291">
        <f t="shared" si="19"/>
        <v>1</v>
      </c>
      <c r="I25" s="325">
        <f t="shared" si="20"/>
        <v>39238</v>
      </c>
      <c r="J25" s="291">
        <f t="shared" si="21"/>
        <v>1</v>
      </c>
      <c r="K25" s="326"/>
      <c r="L25" s="326"/>
      <c r="M25" s="325">
        <f t="shared" si="24"/>
        <v>53106</v>
      </c>
      <c r="N25" s="291">
        <f t="shared" si="25"/>
        <v>1</v>
      </c>
      <c r="O25" s="325">
        <f t="shared" si="26"/>
        <v>101344</v>
      </c>
      <c r="P25" s="291">
        <f t="shared" si="30"/>
        <v>1</v>
      </c>
    </row>
    <row r="26" ht="18.0" customHeight="1">
      <c r="A26" s="191"/>
      <c r="B26" s="74" t="s">
        <v>39</v>
      </c>
      <c r="C26" s="325">
        <f t="shared" si="28"/>
        <v>4500</v>
      </c>
      <c r="D26" s="291">
        <f t="shared" si="29"/>
        <v>1</v>
      </c>
      <c r="E26" s="326"/>
      <c r="F26" s="326"/>
      <c r="G26" s="325">
        <f t="shared" si="18"/>
        <v>4500</v>
      </c>
      <c r="H26" s="291">
        <f t="shared" si="19"/>
        <v>1</v>
      </c>
      <c r="I26" s="325">
        <f t="shared" si="20"/>
        <v>54000</v>
      </c>
      <c r="J26" s="291">
        <f t="shared" si="21"/>
        <v>1</v>
      </c>
      <c r="K26" s="325">
        <f t="shared" ref="K26:K31" si="31">D57</f>
        <v>4500</v>
      </c>
      <c r="L26" s="291">
        <f t="shared" ref="L26:L31" si="32">K26/(2*G57)</f>
        <v>1</v>
      </c>
      <c r="M26" s="325">
        <f t="shared" si="24"/>
        <v>63000</v>
      </c>
      <c r="N26" s="291">
        <f t="shared" si="25"/>
        <v>1</v>
      </c>
      <c r="O26" s="325">
        <f t="shared" si="26"/>
        <v>130500</v>
      </c>
      <c r="P26" s="291">
        <f>O26/(2*sum(G46,G72,G81,G57,G102))</f>
        <v>1</v>
      </c>
    </row>
    <row r="27" ht="18.0" customHeight="1">
      <c r="A27" s="191"/>
      <c r="B27" s="74" t="s">
        <v>40</v>
      </c>
      <c r="C27" s="325">
        <f t="shared" si="28"/>
        <v>13886</v>
      </c>
      <c r="D27" s="291">
        <f t="shared" si="29"/>
        <v>1</v>
      </c>
      <c r="E27" s="326"/>
      <c r="F27" s="326"/>
      <c r="G27" s="325">
        <f t="shared" si="18"/>
        <v>22498</v>
      </c>
      <c r="H27" s="291">
        <f t="shared" si="19"/>
        <v>1</v>
      </c>
      <c r="I27" s="326"/>
      <c r="J27" s="326"/>
      <c r="K27" s="325">
        <f t="shared" si="31"/>
        <v>6630</v>
      </c>
      <c r="L27" s="291">
        <f t="shared" si="32"/>
        <v>1</v>
      </c>
      <c r="M27" s="326"/>
      <c r="N27" s="326"/>
      <c r="O27" s="325">
        <f t="shared" si="26"/>
        <v>43014</v>
      </c>
      <c r="P27" s="291">
        <f t="shared" ref="P27:P31" si="33">O27/(2*sum(G47,G83,G58))</f>
        <v>1</v>
      </c>
    </row>
    <row r="28" ht="18.0" customHeight="1">
      <c r="A28" s="191"/>
      <c r="B28" s="74" t="s">
        <v>41</v>
      </c>
      <c r="C28" s="325">
        <f t="shared" si="28"/>
        <v>18142</v>
      </c>
      <c r="D28" s="291">
        <f t="shared" si="29"/>
        <v>1</v>
      </c>
      <c r="E28" s="326"/>
      <c r="F28" s="326"/>
      <c r="G28" s="325">
        <f t="shared" si="18"/>
        <v>22500</v>
      </c>
      <c r="H28" s="291">
        <f t="shared" si="19"/>
        <v>1</v>
      </c>
      <c r="I28" s="326"/>
      <c r="J28" s="326"/>
      <c r="K28" s="325">
        <f t="shared" si="31"/>
        <v>4918</v>
      </c>
      <c r="L28" s="291">
        <f t="shared" si="32"/>
        <v>1</v>
      </c>
      <c r="M28" s="326"/>
      <c r="N28" s="326"/>
      <c r="O28" s="325">
        <f t="shared" si="26"/>
        <v>45560</v>
      </c>
      <c r="P28" s="291">
        <f t="shared" si="33"/>
        <v>1</v>
      </c>
    </row>
    <row r="29" ht="18.0" customHeight="1">
      <c r="A29" s="191"/>
      <c r="B29" s="74" t="s">
        <v>42</v>
      </c>
      <c r="C29" s="325">
        <f t="shared" si="28"/>
        <v>10534</v>
      </c>
      <c r="D29" s="291">
        <f t="shared" si="29"/>
        <v>1</v>
      </c>
      <c r="E29" s="326"/>
      <c r="F29" s="326"/>
      <c r="G29" s="325">
        <f t="shared" si="18"/>
        <v>11826</v>
      </c>
      <c r="H29" s="291">
        <f t="shared" si="19"/>
        <v>1</v>
      </c>
      <c r="I29" s="326"/>
      <c r="J29" s="326"/>
      <c r="K29" s="325">
        <f t="shared" si="31"/>
        <v>3730</v>
      </c>
      <c r="L29" s="291">
        <f t="shared" si="32"/>
        <v>1</v>
      </c>
      <c r="M29" s="326"/>
      <c r="N29" s="326"/>
      <c r="O29" s="325">
        <f t="shared" si="26"/>
        <v>26090</v>
      </c>
      <c r="P29" s="291">
        <f t="shared" si="33"/>
        <v>1</v>
      </c>
    </row>
    <row r="30" ht="18.0" customHeight="1">
      <c r="A30" s="191"/>
      <c r="B30" s="74" t="s">
        <v>43</v>
      </c>
      <c r="C30" s="325">
        <f t="shared" si="28"/>
        <v>16310</v>
      </c>
      <c r="D30" s="291">
        <f t="shared" si="29"/>
        <v>1</v>
      </c>
      <c r="E30" s="326"/>
      <c r="F30" s="326"/>
      <c r="G30" s="325">
        <f t="shared" si="18"/>
        <v>14768</v>
      </c>
      <c r="H30" s="291">
        <f t="shared" si="19"/>
        <v>1</v>
      </c>
      <c r="I30" s="326"/>
      <c r="J30" s="326"/>
      <c r="K30" s="325">
        <f t="shared" si="31"/>
        <v>2038</v>
      </c>
      <c r="L30" s="291">
        <f t="shared" si="32"/>
        <v>1</v>
      </c>
      <c r="M30" s="326"/>
      <c r="N30" s="326"/>
      <c r="O30" s="325">
        <f t="shared" si="26"/>
        <v>33116</v>
      </c>
      <c r="P30" s="291">
        <f t="shared" si="33"/>
        <v>1</v>
      </c>
    </row>
    <row r="31" ht="18.0" customHeight="1">
      <c r="A31" s="195"/>
      <c r="B31" s="74" t="s">
        <v>44</v>
      </c>
      <c r="C31" s="325">
        <f t="shared" si="28"/>
        <v>10046</v>
      </c>
      <c r="D31" s="291">
        <f t="shared" si="29"/>
        <v>1</v>
      </c>
      <c r="E31" s="326"/>
      <c r="F31" s="326"/>
      <c r="G31" s="325">
        <f t="shared" si="18"/>
        <v>11084</v>
      </c>
      <c r="H31" s="291">
        <f t="shared" si="19"/>
        <v>1</v>
      </c>
      <c r="I31" s="326"/>
      <c r="J31" s="326"/>
      <c r="K31" s="325">
        <f t="shared" si="31"/>
        <v>4848</v>
      </c>
      <c r="L31" s="291">
        <f t="shared" si="32"/>
        <v>1</v>
      </c>
      <c r="M31" s="326"/>
      <c r="N31" s="326"/>
      <c r="O31" s="325">
        <f t="shared" si="26"/>
        <v>25978</v>
      </c>
      <c r="P31" s="291">
        <f t="shared" si="33"/>
        <v>1</v>
      </c>
    </row>
    <row r="32" ht="18.0" customHeight="1">
      <c r="A32" s="327" t="s">
        <v>19</v>
      </c>
      <c r="B32" s="6"/>
      <c r="C32" s="328">
        <f>SUM(C17:C31)</f>
        <v>311766</v>
      </c>
      <c r="D32" s="329">
        <f>C32/(2*sum(G38:G51))</f>
        <v>1</v>
      </c>
      <c r="E32" s="328">
        <f>SUM(E17:E31)</f>
        <v>51156</v>
      </c>
      <c r="F32" s="329">
        <f>E32/(2*sum(G88:G92))</f>
        <v>1</v>
      </c>
      <c r="G32" s="328">
        <f>SUM(G17:G31)</f>
        <v>330176</v>
      </c>
      <c r="H32" s="329">
        <f>G32/(2*sum(G73:G87))</f>
        <v>1</v>
      </c>
      <c r="I32" s="328">
        <f>SUM(I17:I31)</f>
        <v>455920</v>
      </c>
      <c r="J32" s="329">
        <f>I32/(2*sum(G63:G72))</f>
        <v>0.9999956133</v>
      </c>
      <c r="K32" s="328">
        <f>SUM(K17:K31)</f>
        <v>221384</v>
      </c>
      <c r="L32" s="329">
        <f>K32/(2*sum(G52:G62))</f>
        <v>1</v>
      </c>
      <c r="M32" s="328">
        <f>SUM(M17:M31)</f>
        <v>449156</v>
      </c>
      <c r="N32" s="329">
        <f>M32/(2*sum(G93:G102))</f>
        <v>1</v>
      </c>
      <c r="O32" s="328">
        <f>SUM(O17:O31)</f>
        <v>1819558</v>
      </c>
      <c r="P32" s="329">
        <f>O32/(2*sum(G38:G102))</f>
        <v>0.9999989008</v>
      </c>
    </row>
    <row r="33" ht="15.75" customHeight="1">
      <c r="A33" s="330"/>
      <c r="B33" s="331"/>
      <c r="E33" s="332"/>
    </row>
    <row r="34" ht="15.75" customHeight="1">
      <c r="A34" s="243"/>
      <c r="B34" s="331"/>
      <c r="E34" s="332"/>
    </row>
    <row r="35" ht="15.75" customHeight="1">
      <c r="A35" s="243"/>
      <c r="B35" s="331"/>
      <c r="E35" s="332"/>
    </row>
    <row r="36" ht="15.75" customHeight="1">
      <c r="A36" s="243"/>
      <c r="B36" s="331"/>
      <c r="E36" s="332"/>
    </row>
    <row r="37">
      <c r="A37" s="333" t="s">
        <v>45</v>
      </c>
      <c r="B37" s="333" t="s">
        <v>142</v>
      </c>
      <c r="C37" s="334" t="s">
        <v>46</v>
      </c>
      <c r="D37" s="315" t="s">
        <v>141</v>
      </c>
      <c r="E37" s="315" t="s">
        <v>143</v>
      </c>
      <c r="F37" s="151"/>
      <c r="G37" s="134" t="s">
        <v>48</v>
      </c>
    </row>
    <row r="38">
      <c r="A38" s="248">
        <v>13301.0</v>
      </c>
      <c r="B38" s="248">
        <v>1.0</v>
      </c>
      <c r="C38" s="249" t="s">
        <v>53</v>
      </c>
      <c r="D38" s="335">
        <v>45000.0</v>
      </c>
      <c r="E38" s="142"/>
      <c r="F38" s="142"/>
      <c r="G38" s="140">
        <v>22500.0</v>
      </c>
    </row>
    <row r="39">
      <c r="A39" s="248">
        <v>13302.0</v>
      </c>
      <c r="B39" s="248">
        <v>2.0</v>
      </c>
      <c r="C39" s="249" t="s">
        <v>55</v>
      </c>
      <c r="D39" s="335">
        <v>44848.0</v>
      </c>
      <c r="E39" s="142"/>
      <c r="F39" s="142"/>
      <c r="G39" s="145">
        <v>22424.0</v>
      </c>
    </row>
    <row r="40">
      <c r="A40" s="248">
        <v>13303.0</v>
      </c>
      <c r="B40" s="248">
        <v>3.0</v>
      </c>
      <c r="C40" s="249" t="s">
        <v>58</v>
      </c>
      <c r="D40" s="335">
        <v>45000.0</v>
      </c>
      <c r="E40" s="142"/>
      <c r="F40" s="142"/>
      <c r="G40" s="149">
        <v>22500.0</v>
      </c>
      <c r="N40" s="336" t="s">
        <v>144</v>
      </c>
      <c r="O40" s="336">
        <v>158981.0</v>
      </c>
      <c r="P40" s="337">
        <f t="shared" ref="P40:P43" si="34">O40*2</f>
        <v>317962</v>
      </c>
    </row>
    <row r="41">
      <c r="A41" s="248">
        <v>13304.0</v>
      </c>
      <c r="B41" s="248">
        <v>4.0</v>
      </c>
      <c r="C41" s="249" t="s">
        <v>59</v>
      </c>
      <c r="D41" s="335">
        <v>45000.0</v>
      </c>
      <c r="E41" s="142"/>
      <c r="F41" s="142"/>
      <c r="G41" s="149">
        <v>22500.0</v>
      </c>
      <c r="N41" s="336" t="s">
        <v>145</v>
      </c>
      <c r="O41" s="336">
        <v>153582.0</v>
      </c>
      <c r="P41" s="337">
        <f t="shared" si="34"/>
        <v>307164</v>
      </c>
    </row>
    <row r="42">
      <c r="A42" s="256">
        <v>13305.0</v>
      </c>
      <c r="B42" s="256">
        <v>5.0</v>
      </c>
      <c r="C42" s="257" t="s">
        <v>60</v>
      </c>
      <c r="D42" s="338">
        <v>45000.0</v>
      </c>
      <c r="E42" s="142"/>
      <c r="F42" s="142"/>
      <c r="G42" s="155">
        <v>22500.0</v>
      </c>
      <c r="N42" s="336" t="s">
        <v>146</v>
      </c>
      <c r="O42" s="336">
        <v>113480.0</v>
      </c>
      <c r="P42" s="337">
        <f t="shared" si="34"/>
        <v>226960</v>
      </c>
    </row>
    <row r="43">
      <c r="A43" s="248">
        <v>14408.0</v>
      </c>
      <c r="B43" s="248">
        <v>6.0</v>
      </c>
      <c r="C43" s="249" t="s">
        <v>61</v>
      </c>
      <c r="D43" s="338">
        <v>4500.0</v>
      </c>
      <c r="E43" s="142"/>
      <c r="F43" s="142"/>
      <c r="G43" s="157">
        <v>2250.0</v>
      </c>
      <c r="N43" s="339" t="s">
        <v>147</v>
      </c>
      <c r="O43" s="339">
        <v>86282.0</v>
      </c>
      <c r="P43" s="261">
        <f t="shared" si="34"/>
        <v>172564</v>
      </c>
    </row>
    <row r="44">
      <c r="A44" s="248">
        <v>14410.0</v>
      </c>
      <c r="B44" s="248">
        <v>7.0</v>
      </c>
      <c r="C44" s="249" t="s">
        <v>62</v>
      </c>
      <c r="D44" s="338">
        <v>4500.0</v>
      </c>
      <c r="E44" s="142"/>
      <c r="F44" s="142"/>
      <c r="G44" s="155">
        <v>2250.0</v>
      </c>
    </row>
    <row r="45">
      <c r="A45" s="248">
        <v>14423.0</v>
      </c>
      <c r="B45" s="248">
        <v>8.0</v>
      </c>
      <c r="C45" s="249" t="s">
        <v>63</v>
      </c>
      <c r="D45" s="338">
        <v>4500.0</v>
      </c>
      <c r="E45" s="142"/>
      <c r="F45" s="142"/>
      <c r="G45" s="155">
        <v>2250.0</v>
      </c>
    </row>
    <row r="46">
      <c r="A46" s="256">
        <v>13959.0</v>
      </c>
      <c r="B46" s="256">
        <v>9.0</v>
      </c>
      <c r="C46" s="257" t="s">
        <v>64</v>
      </c>
      <c r="D46" s="338">
        <v>4500.0</v>
      </c>
      <c r="E46" s="142"/>
      <c r="F46" s="142"/>
      <c r="G46" s="160">
        <v>2250.0</v>
      </c>
      <c r="P46" s="339">
        <v>50000.0</v>
      </c>
    </row>
    <row r="47">
      <c r="A47" s="310">
        <v>15136.0</v>
      </c>
      <c r="B47" s="310">
        <v>11.0</v>
      </c>
      <c r="C47" s="249" t="s">
        <v>65</v>
      </c>
      <c r="D47" s="335">
        <v>13886.0</v>
      </c>
      <c r="E47" s="142"/>
      <c r="F47" s="142"/>
      <c r="G47" s="145">
        <v>6943.0</v>
      </c>
      <c r="K47" s="340"/>
      <c r="P47" s="339">
        <v>150000.0</v>
      </c>
    </row>
    <row r="48">
      <c r="A48" s="248">
        <v>15139.0</v>
      </c>
      <c r="B48" s="248">
        <v>12.0</v>
      </c>
      <c r="C48" s="249" t="s">
        <v>66</v>
      </c>
      <c r="D48" s="335">
        <v>18142.0</v>
      </c>
      <c r="E48" s="142"/>
      <c r="F48" s="142"/>
      <c r="G48" s="145">
        <v>9071.0</v>
      </c>
      <c r="K48" s="341"/>
      <c r="P48" s="261">
        <f>P41+P42+P43+P46+P47</f>
        <v>906688</v>
      </c>
      <c r="Q48" s="261">
        <f>P48/300</f>
        <v>3022.293333</v>
      </c>
    </row>
    <row r="49">
      <c r="A49" s="248">
        <v>15140.0</v>
      </c>
      <c r="B49" s="248">
        <v>13.0</v>
      </c>
      <c r="C49" s="249" t="s">
        <v>67</v>
      </c>
      <c r="D49" s="335">
        <v>10534.0</v>
      </c>
      <c r="E49" s="142"/>
      <c r="F49" s="142"/>
      <c r="G49" s="149">
        <v>5267.0</v>
      </c>
      <c r="I49" s="340"/>
      <c r="K49" s="340"/>
      <c r="Q49" s="339">
        <v>3020.0</v>
      </c>
      <c r="R49" s="261">
        <f>Q49*150</f>
        <v>453000</v>
      </c>
      <c r="S49" s="261">
        <f>R49/1000</f>
        <v>453</v>
      </c>
    </row>
    <row r="50">
      <c r="A50" s="248">
        <v>15141.0</v>
      </c>
      <c r="B50" s="248">
        <v>14.0</v>
      </c>
      <c r="C50" s="249" t="s">
        <v>68</v>
      </c>
      <c r="D50" s="338">
        <v>16310.0</v>
      </c>
      <c r="E50" s="142"/>
      <c r="F50" s="142"/>
      <c r="G50" s="149">
        <v>8155.0</v>
      </c>
      <c r="I50" s="340"/>
      <c r="K50" s="341"/>
      <c r="Q50" s="261">
        <f>Q49/100</f>
        <v>30.2</v>
      </c>
    </row>
    <row r="51">
      <c r="A51" s="310">
        <v>15135.0</v>
      </c>
      <c r="B51" s="248">
        <v>15.0</v>
      </c>
      <c r="C51" s="249" t="s">
        <v>69</v>
      </c>
      <c r="D51" s="338">
        <v>10046.0</v>
      </c>
      <c r="E51" s="142"/>
      <c r="F51" s="142"/>
      <c r="G51" s="149">
        <v>5023.0</v>
      </c>
      <c r="I51" s="340"/>
      <c r="K51" s="341"/>
    </row>
    <row r="52">
      <c r="A52" s="248">
        <v>13318.0</v>
      </c>
      <c r="B52" s="248">
        <v>21.0</v>
      </c>
      <c r="C52" s="249" t="s">
        <v>70</v>
      </c>
      <c r="D52" s="338">
        <v>33300.0</v>
      </c>
      <c r="E52" s="142"/>
      <c r="F52" s="142"/>
      <c r="G52" s="145">
        <v>16650.0</v>
      </c>
      <c r="I52" s="340"/>
      <c r="K52" s="340"/>
    </row>
    <row r="53" ht="15.75" customHeight="1">
      <c r="A53" s="248">
        <v>13319.0</v>
      </c>
      <c r="B53" s="248">
        <v>22.0</v>
      </c>
      <c r="C53" s="249" t="s">
        <v>71</v>
      </c>
      <c r="D53" s="338">
        <v>28194.0</v>
      </c>
      <c r="E53" s="142"/>
      <c r="F53" s="142"/>
      <c r="G53" s="145">
        <v>14097.0</v>
      </c>
      <c r="I53" s="340"/>
      <c r="K53" s="340"/>
    </row>
    <row r="54" ht="15.75" customHeight="1">
      <c r="A54" s="248">
        <v>13320.0</v>
      </c>
      <c r="B54" s="248">
        <v>23.0</v>
      </c>
      <c r="C54" s="249" t="s">
        <v>72</v>
      </c>
      <c r="D54" s="338">
        <v>43226.0</v>
      </c>
      <c r="E54" s="142"/>
      <c r="F54" s="142"/>
      <c r="G54" s="149">
        <v>21613.0</v>
      </c>
      <c r="I54" s="340"/>
      <c r="K54" s="340"/>
    </row>
    <row r="55" ht="15.75" customHeight="1">
      <c r="A55" s="248">
        <v>13321.0</v>
      </c>
      <c r="B55" s="248">
        <v>24.0</v>
      </c>
      <c r="C55" s="249" t="s">
        <v>73</v>
      </c>
      <c r="D55" s="338">
        <v>45000.0</v>
      </c>
      <c r="E55" s="142"/>
      <c r="F55" s="142"/>
      <c r="G55" s="149">
        <v>22500.0</v>
      </c>
      <c r="I55" s="340"/>
      <c r="K55" s="340"/>
    </row>
    <row r="56" ht="15.75" customHeight="1">
      <c r="A56" s="256">
        <v>13322.0</v>
      </c>
      <c r="B56" s="256">
        <v>25.0</v>
      </c>
      <c r="C56" s="257" t="s">
        <v>74</v>
      </c>
      <c r="D56" s="338">
        <v>45000.0</v>
      </c>
      <c r="E56" s="142"/>
      <c r="F56" s="142"/>
      <c r="G56" s="160">
        <v>22500.0</v>
      </c>
      <c r="I56" s="340"/>
      <c r="K56" s="340"/>
    </row>
    <row r="57" ht="15.75" customHeight="1">
      <c r="A57" s="248">
        <v>14429.0</v>
      </c>
      <c r="B57" s="248">
        <v>26.0</v>
      </c>
      <c r="C57" s="249" t="s">
        <v>75</v>
      </c>
      <c r="D57" s="338">
        <v>4500.0</v>
      </c>
      <c r="E57" s="142"/>
      <c r="F57" s="142"/>
      <c r="G57" s="149">
        <v>2250.0</v>
      </c>
      <c r="I57" s="340"/>
      <c r="K57" s="340"/>
    </row>
    <row r="58" ht="15.75" customHeight="1">
      <c r="A58" s="248">
        <v>15143.0</v>
      </c>
      <c r="B58" s="248">
        <v>31.0</v>
      </c>
      <c r="C58" s="249" t="s">
        <v>76</v>
      </c>
      <c r="D58" s="338">
        <v>6630.0</v>
      </c>
      <c r="E58" s="142"/>
      <c r="F58" s="142"/>
      <c r="G58" s="145">
        <v>3315.0</v>
      </c>
      <c r="I58" s="340"/>
      <c r="K58" s="340"/>
    </row>
    <row r="59" ht="15.75" customHeight="1">
      <c r="A59" s="248">
        <v>15144.0</v>
      </c>
      <c r="B59" s="248">
        <v>32.0</v>
      </c>
      <c r="C59" s="249" t="s">
        <v>77</v>
      </c>
      <c r="D59" s="338">
        <v>4918.0</v>
      </c>
      <c r="E59" s="142"/>
      <c r="F59" s="142"/>
      <c r="G59" s="145">
        <v>2459.0</v>
      </c>
      <c r="I59" s="340"/>
      <c r="K59" s="340"/>
    </row>
    <row r="60" ht="15.75" customHeight="1">
      <c r="A60" s="248">
        <v>15145.0</v>
      </c>
      <c r="B60" s="248">
        <v>33.0</v>
      </c>
      <c r="C60" s="249" t="s">
        <v>78</v>
      </c>
      <c r="D60" s="338">
        <v>3730.0</v>
      </c>
      <c r="E60" s="142"/>
      <c r="F60" s="142"/>
      <c r="G60" s="149">
        <v>1865.0</v>
      </c>
      <c r="K60" s="340"/>
    </row>
    <row r="61" ht="15.75" customHeight="1">
      <c r="A61" s="248">
        <v>15146.0</v>
      </c>
      <c r="B61" s="248">
        <v>34.0</v>
      </c>
      <c r="C61" s="249" t="s">
        <v>79</v>
      </c>
      <c r="D61" s="338">
        <v>2038.0</v>
      </c>
      <c r="E61" s="142"/>
      <c r="F61" s="142"/>
      <c r="G61" s="149">
        <v>1019.0</v>
      </c>
    </row>
    <row r="62" ht="15.75" customHeight="1">
      <c r="A62" s="310">
        <v>15142.0</v>
      </c>
      <c r="B62" s="248">
        <v>35.0</v>
      </c>
      <c r="C62" s="249" t="s">
        <v>80</v>
      </c>
      <c r="D62" s="338">
        <v>4848.0</v>
      </c>
      <c r="E62" s="142"/>
      <c r="F62" s="142"/>
      <c r="G62" s="149">
        <v>2424.0</v>
      </c>
      <c r="I62" s="340"/>
    </row>
    <row r="63" ht="15.75" customHeight="1">
      <c r="A63" s="256">
        <v>13323.0</v>
      </c>
      <c r="B63" s="256">
        <v>41.0</v>
      </c>
      <c r="C63" s="257" t="s">
        <v>81</v>
      </c>
      <c r="D63" s="338">
        <v>45000.0</v>
      </c>
      <c r="E63" s="142"/>
      <c r="F63" s="142"/>
      <c r="G63" s="160">
        <v>22500.0</v>
      </c>
      <c r="I63" s="340"/>
    </row>
    <row r="64" ht="15.75" customHeight="1">
      <c r="A64" s="256">
        <v>13324.0</v>
      </c>
      <c r="B64" s="256">
        <v>42.0</v>
      </c>
      <c r="C64" s="257" t="s">
        <v>82</v>
      </c>
      <c r="D64" s="338">
        <v>45000.0</v>
      </c>
      <c r="E64" s="142"/>
      <c r="F64" s="142"/>
      <c r="G64" s="160">
        <v>22500.0</v>
      </c>
      <c r="I64" s="340"/>
    </row>
    <row r="65" ht="15.75" customHeight="1">
      <c r="A65" s="256">
        <v>13325.0</v>
      </c>
      <c r="B65" s="256">
        <v>43.0</v>
      </c>
      <c r="C65" s="257" t="s">
        <v>83</v>
      </c>
      <c r="D65" s="338">
        <v>45000.0</v>
      </c>
      <c r="E65" s="142"/>
      <c r="F65" s="142"/>
      <c r="G65" s="160">
        <v>22500.0</v>
      </c>
      <c r="I65" s="340"/>
    </row>
    <row r="66" ht="15.75" customHeight="1">
      <c r="A66" s="256">
        <v>13326.0</v>
      </c>
      <c r="B66" s="256">
        <v>44.0</v>
      </c>
      <c r="C66" s="257" t="s">
        <v>84</v>
      </c>
      <c r="D66" s="338">
        <v>45000.0</v>
      </c>
      <c r="E66" s="142"/>
      <c r="F66" s="142"/>
      <c r="G66" s="160">
        <v>22500.0</v>
      </c>
      <c r="I66" s="340"/>
    </row>
    <row r="67" ht="15.75" customHeight="1">
      <c r="A67" s="256">
        <v>13327.0</v>
      </c>
      <c r="B67" s="256">
        <v>45.0</v>
      </c>
      <c r="C67" s="257" t="s">
        <v>85</v>
      </c>
      <c r="D67" s="338">
        <v>45000.0</v>
      </c>
      <c r="E67" s="142"/>
      <c r="F67" s="142"/>
      <c r="G67" s="160">
        <v>22500.0</v>
      </c>
      <c r="I67" s="340"/>
    </row>
    <row r="68" ht="15.75" customHeight="1">
      <c r="A68" s="248">
        <v>14106.0</v>
      </c>
      <c r="B68" s="248">
        <v>46.0</v>
      </c>
      <c r="C68" s="249" t="s">
        <v>86</v>
      </c>
      <c r="D68" s="338">
        <v>53802.0</v>
      </c>
      <c r="E68" s="142"/>
      <c r="F68" s="142"/>
      <c r="G68" s="145">
        <v>26902.0</v>
      </c>
      <c r="I68" s="340"/>
    </row>
    <row r="69" ht="15.75" customHeight="1">
      <c r="A69" s="248">
        <v>14422.0</v>
      </c>
      <c r="B69" s="248">
        <v>47.0</v>
      </c>
      <c r="C69" s="249" t="s">
        <v>87</v>
      </c>
      <c r="D69" s="338">
        <v>39794.0</v>
      </c>
      <c r="E69" s="142"/>
      <c r="F69" s="142"/>
      <c r="G69" s="145">
        <v>19897.0</v>
      </c>
      <c r="I69" s="340"/>
    </row>
    <row r="70" ht="15.75" customHeight="1">
      <c r="A70" s="248">
        <v>13960.0</v>
      </c>
      <c r="B70" s="248">
        <v>48.0</v>
      </c>
      <c r="C70" s="249" t="s">
        <v>88</v>
      </c>
      <c r="D70" s="338">
        <v>44086.0</v>
      </c>
      <c r="E70" s="142"/>
      <c r="F70" s="142"/>
      <c r="G70" s="149">
        <v>22043.0</v>
      </c>
      <c r="I70" s="340"/>
    </row>
    <row r="71" ht="15.75" customHeight="1">
      <c r="A71" s="248">
        <v>13779.0</v>
      </c>
      <c r="B71" s="248">
        <v>49.0</v>
      </c>
      <c r="C71" s="249" t="s">
        <v>89</v>
      </c>
      <c r="D71" s="338">
        <v>39238.0</v>
      </c>
      <c r="E71" s="142"/>
      <c r="F71" s="142"/>
      <c r="G71" s="149">
        <v>19619.0</v>
      </c>
      <c r="I71" s="340"/>
      <c r="J71" s="340"/>
    </row>
    <row r="72" ht="15.75" customHeight="1">
      <c r="A72" s="248">
        <v>13543.0</v>
      </c>
      <c r="B72" s="248">
        <v>50.0</v>
      </c>
      <c r="C72" s="249" t="s">
        <v>90</v>
      </c>
      <c r="D72" s="338">
        <v>54000.0</v>
      </c>
      <c r="E72" s="142"/>
      <c r="F72" s="142"/>
      <c r="G72" s="149">
        <v>27000.0</v>
      </c>
      <c r="J72" s="340"/>
    </row>
    <row r="73" ht="15.75" customHeight="1">
      <c r="A73" s="248">
        <v>13328.0</v>
      </c>
      <c r="B73" s="248">
        <v>61.0</v>
      </c>
      <c r="C73" s="249" t="s">
        <v>91</v>
      </c>
      <c r="D73" s="338">
        <v>45000.0</v>
      </c>
      <c r="E73" s="151"/>
      <c r="F73" s="342"/>
      <c r="G73" s="164">
        <v>22500.0</v>
      </c>
      <c r="J73" s="340"/>
    </row>
    <row r="74" ht="15.75" customHeight="1">
      <c r="A74" s="248">
        <v>13329.0</v>
      </c>
      <c r="B74" s="248">
        <v>62.0</v>
      </c>
      <c r="C74" s="249" t="s">
        <v>92</v>
      </c>
      <c r="D74" s="338">
        <v>45000.0</v>
      </c>
      <c r="E74" s="151"/>
      <c r="F74" s="342"/>
      <c r="G74" s="145">
        <v>22500.0</v>
      </c>
      <c r="J74" s="340"/>
    </row>
    <row r="75" ht="15.75" customHeight="1">
      <c r="A75" s="256">
        <v>13330.0</v>
      </c>
      <c r="B75" s="256">
        <v>63.0</v>
      </c>
      <c r="C75" s="257" t="s">
        <v>93</v>
      </c>
      <c r="D75" s="338">
        <v>45000.0</v>
      </c>
      <c r="E75" s="142"/>
      <c r="F75" s="142"/>
      <c r="G75" s="160">
        <v>22500.0</v>
      </c>
      <c r="J75" s="340"/>
    </row>
    <row r="76" ht="15.75" customHeight="1">
      <c r="A76" s="256">
        <v>13331.0</v>
      </c>
      <c r="B76" s="256">
        <v>64.0</v>
      </c>
      <c r="C76" s="257" t="s">
        <v>94</v>
      </c>
      <c r="D76" s="338">
        <v>45000.0</v>
      </c>
      <c r="E76" s="142"/>
      <c r="F76" s="142"/>
      <c r="G76" s="160">
        <v>22500.0</v>
      </c>
      <c r="J76" s="340"/>
    </row>
    <row r="77" ht="15.75" customHeight="1">
      <c r="A77" s="256">
        <v>13332.0</v>
      </c>
      <c r="B77" s="256">
        <v>65.0</v>
      </c>
      <c r="C77" s="257" t="s">
        <v>95</v>
      </c>
      <c r="D77" s="338">
        <v>45000.0</v>
      </c>
      <c r="E77" s="142"/>
      <c r="F77" s="142"/>
      <c r="G77" s="160">
        <v>22500.0</v>
      </c>
      <c r="J77" s="340"/>
    </row>
    <row r="78" ht="15.75" customHeight="1">
      <c r="A78" s="248">
        <v>14417.0</v>
      </c>
      <c r="B78" s="248">
        <v>66.0</v>
      </c>
      <c r="C78" s="249" t="s">
        <v>96</v>
      </c>
      <c r="D78" s="338">
        <v>4500.0</v>
      </c>
      <c r="E78" s="142"/>
      <c r="F78" s="142"/>
      <c r="G78" s="164">
        <v>2250.0</v>
      </c>
      <c r="J78" s="340"/>
    </row>
    <row r="79" ht="15.75" customHeight="1">
      <c r="A79" s="248">
        <v>14418.0</v>
      </c>
      <c r="B79" s="248">
        <v>67.0</v>
      </c>
      <c r="C79" s="249" t="s">
        <v>97</v>
      </c>
      <c r="D79" s="338">
        <v>4500.0</v>
      </c>
      <c r="E79" s="142"/>
      <c r="F79" s="142"/>
      <c r="G79" s="164">
        <v>2250.0</v>
      </c>
      <c r="J79" s="340"/>
      <c r="K79" s="340"/>
    </row>
    <row r="80" ht="15.75" customHeight="1">
      <c r="A80" s="256">
        <v>14104.0</v>
      </c>
      <c r="B80" s="256">
        <v>68.0</v>
      </c>
      <c r="C80" s="257" t="s">
        <v>98</v>
      </c>
      <c r="D80" s="338">
        <v>4500.0</v>
      </c>
      <c r="E80" s="142"/>
      <c r="F80" s="142"/>
      <c r="G80" s="160">
        <v>2250.0</v>
      </c>
      <c r="J80" s="340"/>
      <c r="K80" s="340"/>
    </row>
    <row r="81" ht="15.75" customHeight="1">
      <c r="A81" s="256">
        <v>14105.0</v>
      </c>
      <c r="B81" s="256">
        <v>69.0</v>
      </c>
      <c r="C81" s="257" t="s">
        <v>99</v>
      </c>
      <c r="D81" s="338">
        <v>4500.0</v>
      </c>
      <c r="E81" s="142"/>
      <c r="F81" s="142"/>
      <c r="G81" s="160">
        <v>2250.0</v>
      </c>
      <c r="J81" s="340"/>
      <c r="K81" s="340"/>
    </row>
    <row r="82" ht="15.75" customHeight="1">
      <c r="A82" s="256">
        <v>13788.0</v>
      </c>
      <c r="B82" s="256">
        <v>70.0</v>
      </c>
      <c r="C82" s="257" t="s">
        <v>100</v>
      </c>
      <c r="D82" s="335">
        <v>4500.0</v>
      </c>
      <c r="E82" s="142"/>
      <c r="F82" s="142"/>
      <c r="G82" s="160">
        <v>2250.0</v>
      </c>
      <c r="J82" s="340"/>
      <c r="K82" s="340"/>
    </row>
    <row r="83" ht="15.75" customHeight="1">
      <c r="A83" s="248">
        <v>15148.0</v>
      </c>
      <c r="B83" s="248">
        <v>71.0</v>
      </c>
      <c r="C83" s="249" t="s">
        <v>101</v>
      </c>
      <c r="D83" s="338">
        <v>22498.0</v>
      </c>
      <c r="E83" s="142"/>
      <c r="F83" s="142"/>
      <c r="G83" s="145">
        <v>11249.0</v>
      </c>
      <c r="J83" s="340"/>
      <c r="K83" s="340"/>
    </row>
    <row r="84" ht="15.75" customHeight="1">
      <c r="A84" s="248">
        <v>15149.0</v>
      </c>
      <c r="B84" s="248">
        <v>72.0</v>
      </c>
      <c r="C84" s="249" t="s">
        <v>102</v>
      </c>
      <c r="D84" s="338">
        <v>22500.0</v>
      </c>
      <c r="E84" s="142"/>
      <c r="F84" s="142"/>
      <c r="G84" s="145">
        <v>11250.0</v>
      </c>
      <c r="J84" s="340"/>
      <c r="K84" s="340"/>
    </row>
    <row r="85" ht="15.75" customHeight="1">
      <c r="A85" s="248">
        <v>15150.0</v>
      </c>
      <c r="B85" s="248">
        <v>73.0</v>
      </c>
      <c r="C85" s="249" t="s">
        <v>103</v>
      </c>
      <c r="D85" s="338">
        <v>11826.0</v>
      </c>
      <c r="E85" s="142"/>
      <c r="F85" s="142"/>
      <c r="G85" s="149">
        <v>5913.0</v>
      </c>
      <c r="J85" s="340"/>
      <c r="K85" s="340"/>
    </row>
    <row r="86" ht="15.75" customHeight="1">
      <c r="A86" s="248">
        <v>15151.0</v>
      </c>
      <c r="B86" s="248">
        <v>74.0</v>
      </c>
      <c r="C86" s="249" t="s">
        <v>104</v>
      </c>
      <c r="D86" s="338">
        <v>14768.0</v>
      </c>
      <c r="E86" s="142"/>
      <c r="F86" s="142"/>
      <c r="G86" s="149">
        <v>7384.0</v>
      </c>
      <c r="K86" s="340"/>
      <c r="L86" s="340"/>
    </row>
    <row r="87">
      <c r="A87" s="310">
        <v>15147.0</v>
      </c>
      <c r="B87" s="248">
        <v>75.0</v>
      </c>
      <c r="C87" s="249" t="s">
        <v>105</v>
      </c>
      <c r="D87" s="338">
        <v>11084.0</v>
      </c>
      <c r="E87" s="142"/>
      <c r="F87" s="142"/>
      <c r="G87" s="149">
        <v>5542.0</v>
      </c>
      <c r="K87" s="340"/>
      <c r="L87" s="340"/>
    </row>
    <row r="88">
      <c r="A88" s="248">
        <v>13333.0</v>
      </c>
      <c r="B88" s="248">
        <v>81.0</v>
      </c>
      <c r="C88" s="249" t="s">
        <v>106</v>
      </c>
      <c r="D88" s="338">
        <v>5404.0</v>
      </c>
      <c r="E88" s="142"/>
      <c r="F88" s="343"/>
      <c r="G88" s="145">
        <v>2702.0</v>
      </c>
      <c r="K88" s="340"/>
      <c r="L88" s="340"/>
    </row>
    <row r="89">
      <c r="A89" s="248">
        <v>13334.0</v>
      </c>
      <c r="B89" s="248">
        <v>82.0</v>
      </c>
      <c r="C89" s="249" t="s">
        <v>107</v>
      </c>
      <c r="D89" s="338">
        <v>3936.0</v>
      </c>
      <c r="E89" s="142"/>
      <c r="F89" s="343"/>
      <c r="G89" s="145">
        <v>1968.0</v>
      </c>
      <c r="L89" s="340"/>
    </row>
    <row r="90">
      <c r="A90" s="248">
        <v>13335.0</v>
      </c>
      <c r="B90" s="248">
        <v>83.0</v>
      </c>
      <c r="C90" s="249" t="s">
        <v>108</v>
      </c>
      <c r="D90" s="338">
        <v>5806.0</v>
      </c>
      <c r="E90" s="142"/>
      <c r="F90" s="343"/>
      <c r="G90" s="145">
        <v>2903.0</v>
      </c>
      <c r="L90" s="340"/>
    </row>
    <row r="91">
      <c r="A91" s="248">
        <v>13336.0</v>
      </c>
      <c r="B91" s="248">
        <v>84.0</v>
      </c>
      <c r="C91" s="249" t="s">
        <v>109</v>
      </c>
      <c r="D91" s="338">
        <v>8540.0</v>
      </c>
      <c r="E91" s="142"/>
      <c r="F91" s="343"/>
      <c r="G91" s="145">
        <v>4270.0</v>
      </c>
    </row>
    <row r="92">
      <c r="A92" s="248">
        <v>13337.0</v>
      </c>
      <c r="B92" s="248">
        <v>85.0</v>
      </c>
      <c r="C92" s="249" t="s">
        <v>110</v>
      </c>
      <c r="D92" s="335">
        <v>27470.0</v>
      </c>
      <c r="E92" s="142"/>
      <c r="F92" s="343"/>
      <c r="G92" s="150">
        <v>13735.0</v>
      </c>
    </row>
    <row r="93">
      <c r="A93" s="256">
        <v>13338.0</v>
      </c>
      <c r="B93" s="256">
        <v>91.0</v>
      </c>
      <c r="C93" s="257" t="s">
        <v>111</v>
      </c>
      <c r="D93" s="335">
        <v>45000.0</v>
      </c>
      <c r="E93" s="142"/>
      <c r="F93" s="142"/>
      <c r="G93" s="160">
        <v>22500.0</v>
      </c>
    </row>
    <row r="94">
      <c r="A94" s="256">
        <v>13339.0</v>
      </c>
      <c r="B94" s="256">
        <v>92.0</v>
      </c>
      <c r="C94" s="257" t="s">
        <v>112</v>
      </c>
      <c r="D94" s="335">
        <v>45000.0</v>
      </c>
      <c r="E94" s="151"/>
      <c r="F94" s="342"/>
      <c r="G94" s="160">
        <v>22500.0</v>
      </c>
    </row>
    <row r="95">
      <c r="A95" s="256">
        <v>13437.0</v>
      </c>
      <c r="B95" s="256">
        <v>93.0</v>
      </c>
      <c r="C95" s="257" t="s">
        <v>113</v>
      </c>
      <c r="D95" s="335">
        <v>45000.0</v>
      </c>
      <c r="E95" s="142"/>
      <c r="F95" s="142"/>
      <c r="G95" s="160">
        <v>22500.0</v>
      </c>
    </row>
    <row r="96">
      <c r="A96" s="256">
        <v>13341.0</v>
      </c>
      <c r="B96" s="256">
        <v>94.0</v>
      </c>
      <c r="C96" s="257" t="s">
        <v>114</v>
      </c>
      <c r="D96" s="335">
        <v>45000.0</v>
      </c>
      <c r="E96" s="151"/>
      <c r="F96" s="342"/>
      <c r="G96" s="160">
        <v>22500.0</v>
      </c>
    </row>
    <row r="97">
      <c r="A97" s="256">
        <v>13342.0</v>
      </c>
      <c r="B97" s="256">
        <v>95.0</v>
      </c>
      <c r="C97" s="257" t="s">
        <v>115</v>
      </c>
      <c r="D97" s="335">
        <v>45000.0</v>
      </c>
      <c r="E97" s="151"/>
      <c r="F97" s="342"/>
      <c r="G97" s="160">
        <v>22500.0</v>
      </c>
    </row>
    <row r="98">
      <c r="A98" s="248">
        <v>14405.0</v>
      </c>
      <c r="B98" s="248">
        <v>96.0</v>
      </c>
      <c r="C98" s="249" t="s">
        <v>116</v>
      </c>
      <c r="D98" s="335">
        <v>26644.0</v>
      </c>
      <c r="E98" s="142"/>
      <c r="F98" s="142"/>
      <c r="G98" s="145">
        <v>13322.0</v>
      </c>
    </row>
    <row r="99">
      <c r="A99" s="248">
        <v>14406.0</v>
      </c>
      <c r="B99" s="248">
        <v>97.0</v>
      </c>
      <c r="C99" s="249" t="s">
        <v>117</v>
      </c>
      <c r="D99" s="335">
        <v>27074.0</v>
      </c>
      <c r="E99" s="142"/>
      <c r="F99" s="142"/>
      <c r="G99" s="145">
        <v>13537.0</v>
      </c>
    </row>
    <row r="100">
      <c r="A100" s="248">
        <v>13780.0</v>
      </c>
      <c r="B100" s="248">
        <v>98.0</v>
      </c>
      <c r="C100" s="249" t="s">
        <v>118</v>
      </c>
      <c r="D100" s="335">
        <v>54332.0</v>
      </c>
      <c r="E100" s="142"/>
      <c r="F100" s="142"/>
      <c r="G100" s="149">
        <v>27166.0</v>
      </c>
    </row>
    <row r="101">
      <c r="A101" s="248">
        <v>14407.0</v>
      </c>
      <c r="B101" s="248">
        <v>99.0</v>
      </c>
      <c r="C101" s="249" t="s">
        <v>119</v>
      </c>
      <c r="D101" s="335">
        <v>53106.0</v>
      </c>
      <c r="E101" s="142"/>
      <c r="F101" s="142"/>
      <c r="G101" s="149">
        <v>26553.0</v>
      </c>
    </row>
    <row r="102">
      <c r="A102" s="248">
        <v>13792.0</v>
      </c>
      <c r="B102" s="248">
        <v>100.0</v>
      </c>
      <c r="C102" s="249" t="s">
        <v>120</v>
      </c>
      <c r="D102" s="335">
        <v>63000.0</v>
      </c>
      <c r="E102" s="142"/>
      <c r="F102" s="142"/>
      <c r="G102" s="149">
        <v>31500.0</v>
      </c>
    </row>
  </sheetData>
  <mergeCells count="22">
    <mergeCell ref="A4:A8"/>
    <mergeCell ref="A9:B9"/>
    <mergeCell ref="A14:B16"/>
    <mergeCell ref="A17:A31"/>
    <mergeCell ref="A32:B32"/>
    <mergeCell ref="A1:B3"/>
    <mergeCell ref="C1:N1"/>
    <mergeCell ref="O1:P2"/>
    <mergeCell ref="C2:D2"/>
    <mergeCell ref="E2:F2"/>
    <mergeCell ref="G2:H2"/>
    <mergeCell ref="I2:J2"/>
    <mergeCell ref="I15:J15"/>
    <mergeCell ref="K15:L15"/>
    <mergeCell ref="K2:L2"/>
    <mergeCell ref="M2:N2"/>
    <mergeCell ref="C14:N14"/>
    <mergeCell ref="O14:P15"/>
    <mergeCell ref="C15:D15"/>
    <mergeCell ref="E15:F15"/>
    <mergeCell ref="G15:H15"/>
    <mergeCell ref="M15:N15"/>
  </mergeCells>
  <conditionalFormatting sqref="D4:D9 F4:F9 H4:H9 J4:J9 L4:L9 N4:N9 P4:P9 D17:D32 F17:F21 H17:H32 J17:J26 L17:L21 N17:N26 P17:P32 L26:L32 F32 J32 N32">
    <cfRule type="cellIs" dxfId="3" priority="1" operator="lessThanOrEqual">
      <formula>"20%"</formula>
    </cfRule>
  </conditionalFormatting>
  <conditionalFormatting sqref="D4:D9 F4:F9 H4:H9 J4:J9 L4:L9 N4:N9 P4:P9 D17:D32 F17:F21 H17:H32 J17:J26 L17:L21 N17:N26 P17:P32 L26:L32 F32 J32 N32">
    <cfRule type="cellIs" dxfId="2" priority="2" operator="greaterThanOrEqual">
      <formula>"80%"</formula>
    </cfRule>
  </conditionalFormatting>
  <conditionalFormatting sqref="D4:D9 F4:F9 H4:H9 J4:J9 L4:L9 N4:N9 P4:P9 D17:D32 F17:F21 H17:H32 J17:J26 L17:L21 N17:N26 P17:P32 L26:L32 F32 J32 N32">
    <cfRule type="cellIs" dxfId="4" priority="3" operator="between">
      <formula>"20%"</formula>
      <formula>"80%"</formula>
    </cfRule>
  </conditionalFormatting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15.5"/>
    <col customWidth="1" min="3" max="3" width="22.13"/>
  </cols>
  <sheetData>
    <row r="1">
      <c r="A1" s="50" t="s">
        <v>148</v>
      </c>
      <c r="B1" s="51"/>
      <c r="C1" s="313" t="s">
        <v>26</v>
      </c>
      <c r="D1" s="5"/>
      <c r="E1" s="5"/>
      <c r="F1" s="5"/>
      <c r="G1" s="5"/>
      <c r="H1" s="5"/>
      <c r="I1" s="5"/>
      <c r="J1" s="5"/>
      <c r="K1" s="5"/>
      <c r="L1" s="5"/>
      <c r="M1" s="5"/>
      <c r="N1" s="6"/>
      <c r="O1" s="314" t="s">
        <v>19</v>
      </c>
      <c r="P1" s="169"/>
    </row>
    <row r="2">
      <c r="A2" s="55"/>
      <c r="B2" s="56"/>
      <c r="C2" s="313" t="s">
        <v>13</v>
      </c>
      <c r="D2" s="6"/>
      <c r="E2" s="313" t="s">
        <v>14</v>
      </c>
      <c r="F2" s="6"/>
      <c r="G2" s="313" t="s">
        <v>15</v>
      </c>
      <c r="H2" s="6"/>
      <c r="I2" s="313" t="s">
        <v>16</v>
      </c>
      <c r="J2" s="6"/>
      <c r="K2" s="313" t="s">
        <v>17</v>
      </c>
      <c r="L2" s="6"/>
      <c r="M2" s="313" t="s">
        <v>18</v>
      </c>
      <c r="N2" s="6"/>
      <c r="O2" s="176"/>
      <c r="P2" s="177"/>
    </row>
    <row r="3">
      <c r="A3" s="61"/>
      <c r="B3" s="62"/>
      <c r="C3" s="315" t="s">
        <v>141</v>
      </c>
      <c r="D3" s="316" t="s">
        <v>28</v>
      </c>
      <c r="E3" s="315" t="s">
        <v>141</v>
      </c>
      <c r="F3" s="316" t="s">
        <v>28</v>
      </c>
      <c r="G3" s="315" t="s">
        <v>141</v>
      </c>
      <c r="H3" s="316" t="s">
        <v>28</v>
      </c>
      <c r="I3" s="315" t="s">
        <v>141</v>
      </c>
      <c r="J3" s="316" t="s">
        <v>28</v>
      </c>
      <c r="K3" s="315" t="s">
        <v>141</v>
      </c>
      <c r="L3" s="316" t="s">
        <v>28</v>
      </c>
      <c r="M3" s="315" t="s">
        <v>141</v>
      </c>
      <c r="N3" s="316" t="s">
        <v>28</v>
      </c>
      <c r="O3" s="315" t="s">
        <v>141</v>
      </c>
      <c r="P3" s="316" t="s">
        <v>28</v>
      </c>
    </row>
    <row r="4">
      <c r="A4" s="317" t="s">
        <v>48</v>
      </c>
      <c r="B4" s="318" t="s">
        <v>30</v>
      </c>
      <c r="C4" s="319">
        <f t="shared" ref="C4:C8" si="1">C17+C22+C27</f>
        <v>25078</v>
      </c>
      <c r="D4" s="291">
        <f>C4/(2*sum(G38,G43,G47))</f>
        <v>0.3956394156</v>
      </c>
      <c r="E4" s="319">
        <f t="shared" ref="E4:E8" si="2">E17+E22+E27</f>
        <v>584</v>
      </c>
      <c r="F4" s="291">
        <f t="shared" ref="F4:F8" si="3">E4/(2*G88)</f>
        <v>0.1080680977</v>
      </c>
      <c r="G4" s="319">
        <f t="shared" ref="G4:G8" si="4">G17+G22+G27</f>
        <v>40012</v>
      </c>
      <c r="H4" s="291">
        <f t="shared" ref="H4:H8" si="5">G4/(2*sum(G73,G78,G83))</f>
        <v>0.5557376594</v>
      </c>
      <c r="I4" s="319">
        <f t="shared" ref="I4:I8" si="6">I17+I22+I27</f>
        <v>97974</v>
      </c>
      <c r="J4" s="291">
        <f t="shared" ref="J4:J8" si="7">I4/(2*sum(G63,G68))</f>
        <v>0.9915995304</v>
      </c>
      <c r="K4" s="319">
        <f t="shared" ref="K4:K8" si="8">K17+K22+K27</f>
        <v>7912</v>
      </c>
      <c r="L4" s="291">
        <f t="shared" ref="L4:L8" si="9">K4/(2*sum(G52,G58))</f>
        <v>0.1981467568</v>
      </c>
      <c r="M4" s="319">
        <f t="shared" ref="M4:M8" si="10">M17+M22+M27</f>
        <v>62962</v>
      </c>
      <c r="N4" s="291">
        <f t="shared" ref="N4:N8" si="11">M4/(2*sum(G93,G98))</f>
        <v>0.8788174865</v>
      </c>
      <c r="O4" s="319">
        <f t="shared" ref="O4:O8" si="12">O17+O22+O27</f>
        <v>234522</v>
      </c>
      <c r="P4" s="291">
        <f>O4/351166</f>
        <v>0.6678380025</v>
      </c>
    </row>
    <row r="5">
      <c r="A5" s="191"/>
      <c r="B5" s="318" t="s">
        <v>31</v>
      </c>
      <c r="C5" s="319">
        <f t="shared" si="1"/>
        <v>0</v>
      </c>
      <c r="D5" s="291">
        <f>C5/(2*sum(G39,G48))</f>
        <v>0</v>
      </c>
      <c r="E5" s="319">
        <f t="shared" si="2"/>
        <v>450</v>
      </c>
      <c r="F5" s="291">
        <f t="shared" si="3"/>
        <v>0.1143292683</v>
      </c>
      <c r="G5" s="319">
        <f t="shared" si="4"/>
        <v>34530</v>
      </c>
      <c r="H5" s="291">
        <f t="shared" si="5"/>
        <v>0.4795833333</v>
      </c>
      <c r="I5" s="319">
        <f t="shared" si="6"/>
        <v>70996</v>
      </c>
      <c r="J5" s="291">
        <f t="shared" si="7"/>
        <v>0.8372762224</v>
      </c>
      <c r="K5" s="319">
        <f t="shared" si="8"/>
        <v>7750</v>
      </c>
      <c r="L5" s="291">
        <f t="shared" si="9"/>
        <v>0.2340541194</v>
      </c>
      <c r="M5" s="319">
        <f t="shared" si="10"/>
        <v>60298</v>
      </c>
      <c r="N5" s="291">
        <f t="shared" si="11"/>
        <v>0.8366123706</v>
      </c>
      <c r="O5" s="319">
        <f t="shared" si="12"/>
        <v>174024</v>
      </c>
      <c r="P5" s="291">
        <f>O5/328906</f>
        <v>0.5290994996</v>
      </c>
    </row>
    <row r="6">
      <c r="A6" s="191"/>
      <c r="B6" s="318" t="s">
        <v>32</v>
      </c>
      <c r="C6" s="319">
        <f t="shared" si="1"/>
        <v>30552</v>
      </c>
      <c r="D6" s="291">
        <f t="shared" ref="D6:D8" si="13">C6/(2*sum(G40,G44,G49))</f>
        <v>0.5089116168</v>
      </c>
      <c r="E6" s="319">
        <f t="shared" si="2"/>
        <v>398</v>
      </c>
      <c r="F6" s="291">
        <f t="shared" si="3"/>
        <v>0.07276051188</v>
      </c>
      <c r="G6" s="319">
        <f t="shared" si="4"/>
        <v>45000</v>
      </c>
      <c r="H6" s="291">
        <f t="shared" si="5"/>
        <v>0.7337833871</v>
      </c>
      <c r="I6" s="319">
        <f t="shared" si="6"/>
        <v>84218</v>
      </c>
      <c r="J6" s="291">
        <f t="shared" si="7"/>
        <v>0.9453561727</v>
      </c>
      <c r="K6" s="319">
        <f t="shared" si="8"/>
        <v>9990</v>
      </c>
      <c r="L6" s="291">
        <f t="shared" si="9"/>
        <v>0.2127523639</v>
      </c>
      <c r="M6" s="319">
        <f t="shared" si="10"/>
        <v>50956</v>
      </c>
      <c r="N6" s="291">
        <f t="shared" si="11"/>
        <v>0.5129867515</v>
      </c>
      <c r="O6" s="319">
        <f t="shared" si="12"/>
        <v>221114</v>
      </c>
      <c r="P6" s="291">
        <f>O6/362204</f>
        <v>0.610468134</v>
      </c>
    </row>
    <row r="7">
      <c r="A7" s="191"/>
      <c r="B7" s="318" t="s">
        <v>33</v>
      </c>
      <c r="C7" s="319">
        <f t="shared" si="1"/>
        <v>4500</v>
      </c>
      <c r="D7" s="291">
        <f t="shared" si="13"/>
        <v>0.06837866586</v>
      </c>
      <c r="E7" s="319">
        <f t="shared" si="2"/>
        <v>602</v>
      </c>
      <c r="F7" s="291">
        <f t="shared" si="3"/>
        <v>0.07049180328</v>
      </c>
      <c r="G7" s="319">
        <f t="shared" si="4"/>
        <v>49500</v>
      </c>
      <c r="H7" s="291">
        <f t="shared" si="5"/>
        <v>0.7702122363</v>
      </c>
      <c r="I7" s="319">
        <f t="shared" si="6"/>
        <v>53254</v>
      </c>
      <c r="J7" s="291">
        <f t="shared" si="7"/>
        <v>0.6321849996</v>
      </c>
      <c r="K7" s="319">
        <f t="shared" si="8"/>
        <v>10644</v>
      </c>
      <c r="L7" s="291">
        <f t="shared" si="9"/>
        <v>0.2262851312</v>
      </c>
      <c r="M7" s="319">
        <f t="shared" si="10"/>
        <v>90232</v>
      </c>
      <c r="N7" s="291">
        <f t="shared" si="11"/>
        <v>0.9197398732</v>
      </c>
      <c r="O7" s="319">
        <f t="shared" si="12"/>
        <v>208732</v>
      </c>
      <c r="P7" s="291">
        <f>O7/368000</f>
        <v>0.5672065217</v>
      </c>
    </row>
    <row r="8">
      <c r="A8" s="195"/>
      <c r="B8" s="318" t="s">
        <v>34</v>
      </c>
      <c r="C8" s="319">
        <f t="shared" si="1"/>
        <v>4500</v>
      </c>
      <c r="D8" s="291">
        <f t="shared" si="13"/>
        <v>0.07557182682</v>
      </c>
      <c r="E8" s="319">
        <f t="shared" si="2"/>
        <v>6072</v>
      </c>
      <c r="F8" s="291">
        <f t="shared" si="3"/>
        <v>0.1996580297</v>
      </c>
      <c r="G8" s="319">
        <f t="shared" si="4"/>
        <v>49500</v>
      </c>
      <c r="H8" s="291">
        <f t="shared" si="5"/>
        <v>0.8170474053</v>
      </c>
      <c r="I8" s="319">
        <f t="shared" si="6"/>
        <v>98920</v>
      </c>
      <c r="J8" s="291">
        <f t="shared" si="7"/>
        <v>0.9991919192</v>
      </c>
      <c r="K8" s="319">
        <f t="shared" si="8"/>
        <v>45000</v>
      </c>
      <c r="L8" s="291">
        <f t="shared" si="9"/>
        <v>0.9027443428</v>
      </c>
      <c r="M8" s="319">
        <f t="shared" si="10"/>
        <v>107866</v>
      </c>
      <c r="N8" s="291">
        <f t="shared" si="11"/>
        <v>0.9987592593</v>
      </c>
      <c r="O8" s="319">
        <f t="shared" si="12"/>
        <v>311858</v>
      </c>
      <c r="P8" s="291">
        <f>O8/411890</f>
        <v>0.757139042</v>
      </c>
    </row>
    <row r="9">
      <c r="A9" s="320" t="s">
        <v>19</v>
      </c>
      <c r="B9" s="6"/>
      <c r="C9" s="319">
        <f>sum(C4:C8)</f>
        <v>64630</v>
      </c>
      <c r="D9" s="291">
        <f>C9/311766</f>
        <v>0.2073029131</v>
      </c>
      <c r="E9" s="319">
        <f>sum(E4:E8)</f>
        <v>8106</v>
      </c>
      <c r="F9" s="291">
        <f>E9/53762</f>
        <v>0.1507756408</v>
      </c>
      <c r="G9" s="319">
        <f>sum(G4:G8)</f>
        <v>218542</v>
      </c>
      <c r="H9" s="291">
        <f>G9/330176</f>
        <v>0.6618954739</v>
      </c>
      <c r="I9" s="319">
        <f>sum(I4:I8)</f>
        <v>405362</v>
      </c>
      <c r="J9" s="291">
        <f>I9/455922</f>
        <v>0.8891038379</v>
      </c>
      <c r="K9" s="319">
        <f>sum(K4:K8)</f>
        <v>81296</v>
      </c>
      <c r="L9" s="291">
        <f>K9/221384</f>
        <v>0.3672171431</v>
      </c>
      <c r="M9" s="319">
        <f>sum(M4:M8)</f>
        <v>372314</v>
      </c>
      <c r="N9" s="291">
        <f>M9/449156</f>
        <v>0.8289191283</v>
      </c>
      <c r="O9" s="319">
        <f>sum(O4:O8)</f>
        <v>1150250</v>
      </c>
      <c r="P9" s="291">
        <f>O9/1822166</f>
        <v>0.6312542326</v>
      </c>
    </row>
    <row r="10">
      <c r="P10" s="98">
        <f>P9*225/300*4000</f>
        <v>1893.762698</v>
      </c>
    </row>
    <row r="11">
      <c r="P11" s="261">
        <f>'전사(질의응답)'!P10</f>
        <v>989.5178438</v>
      </c>
    </row>
    <row r="12">
      <c r="A12" s="321"/>
      <c r="B12" s="322"/>
    </row>
    <row r="13">
      <c r="A13" s="243"/>
      <c r="B13" s="323"/>
    </row>
    <row r="14">
      <c r="A14" s="50" t="s">
        <v>148</v>
      </c>
      <c r="B14" s="51"/>
      <c r="C14" s="170" t="s">
        <v>26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6"/>
      <c r="O14" s="324" t="s">
        <v>19</v>
      </c>
      <c r="P14" s="169"/>
    </row>
    <row r="15">
      <c r="A15" s="55"/>
      <c r="B15" s="56"/>
      <c r="C15" s="170" t="s">
        <v>13</v>
      </c>
      <c r="D15" s="6"/>
      <c r="E15" s="170" t="s">
        <v>14</v>
      </c>
      <c r="F15" s="6"/>
      <c r="G15" s="170" t="s">
        <v>15</v>
      </c>
      <c r="H15" s="6"/>
      <c r="I15" s="170" t="s">
        <v>16</v>
      </c>
      <c r="J15" s="6"/>
      <c r="K15" s="170" t="s">
        <v>17</v>
      </c>
      <c r="L15" s="6"/>
      <c r="M15" s="170" t="s">
        <v>18</v>
      </c>
      <c r="N15" s="6"/>
      <c r="O15" s="176"/>
      <c r="P15" s="177"/>
    </row>
    <row r="16">
      <c r="A16" s="61"/>
      <c r="B16" s="62"/>
      <c r="C16" s="315" t="s">
        <v>141</v>
      </c>
      <c r="D16" s="178" t="s">
        <v>28</v>
      </c>
      <c r="E16" s="315" t="s">
        <v>141</v>
      </c>
      <c r="F16" s="178" t="s">
        <v>28</v>
      </c>
      <c r="G16" s="315" t="s">
        <v>141</v>
      </c>
      <c r="H16" s="178" t="s">
        <v>28</v>
      </c>
      <c r="I16" s="315" t="s">
        <v>141</v>
      </c>
      <c r="J16" s="178" t="s">
        <v>28</v>
      </c>
      <c r="K16" s="315" t="s">
        <v>141</v>
      </c>
      <c r="L16" s="178" t="s">
        <v>28</v>
      </c>
      <c r="M16" s="315" t="s">
        <v>141</v>
      </c>
      <c r="N16" s="178" t="s">
        <v>28</v>
      </c>
      <c r="O16" s="315" t="s">
        <v>141</v>
      </c>
      <c r="P16" s="178" t="s">
        <v>28</v>
      </c>
    </row>
    <row r="17">
      <c r="A17" s="181" t="s">
        <v>29</v>
      </c>
      <c r="B17" s="74" t="s">
        <v>30</v>
      </c>
      <c r="C17" s="325">
        <f t="shared" ref="C17:C22" si="14">D38</f>
        <v>25078</v>
      </c>
      <c r="D17" s="291">
        <f t="shared" ref="D17:D22" si="15">C17/(2*G38)</f>
        <v>0.5572888889</v>
      </c>
      <c r="E17" s="325">
        <f t="shared" ref="E17:E21" si="16">D88</f>
        <v>584</v>
      </c>
      <c r="F17" s="291">
        <f t="shared" ref="F17:F21" si="17">E17/(2*G88)</f>
        <v>0.1080680977</v>
      </c>
      <c r="G17" s="325">
        <f t="shared" ref="G17:G22" si="18">D73</f>
        <v>35512</v>
      </c>
      <c r="H17" s="291">
        <f t="shared" ref="H17:H31" si="19">G17/(2*G73)</f>
        <v>0.7891555556</v>
      </c>
      <c r="I17" s="325">
        <f t="shared" ref="I17:I26" si="20">D63</f>
        <v>45000</v>
      </c>
      <c r="J17" s="291">
        <f t="shared" ref="J17:J26" si="21">I17/(2*G63)</f>
        <v>1</v>
      </c>
      <c r="K17" s="325">
        <f t="shared" ref="K17:K21" si="22">D52</f>
        <v>7912</v>
      </c>
      <c r="L17" s="291">
        <f t="shared" ref="L17:L21" si="23">K17/(2*G52)</f>
        <v>0.2375975976</v>
      </c>
      <c r="M17" s="325">
        <f t="shared" ref="M17:M26" si="24">D93</f>
        <v>45000</v>
      </c>
      <c r="N17" s="291">
        <f t="shared" ref="N17:N26" si="25">M17/(2*G93)</f>
        <v>1</v>
      </c>
      <c r="O17" s="325">
        <f t="shared" ref="O17:O31" si="26">sum(C17,E17,G17,I17,K17,M17)</f>
        <v>159086</v>
      </c>
      <c r="P17" s="291">
        <f t="shared" ref="P17:P31" si="27">O17/(2*sum(G38,G52,G63,G73,G88,G93))</f>
        <v>0.7274032482</v>
      </c>
    </row>
    <row r="18">
      <c r="A18" s="191"/>
      <c r="B18" s="74" t="s">
        <v>31</v>
      </c>
      <c r="C18" s="325">
        <f t="shared" si="14"/>
        <v>0</v>
      </c>
      <c r="D18" s="291">
        <f t="shared" si="15"/>
        <v>0</v>
      </c>
      <c r="E18" s="325">
        <f t="shared" si="16"/>
        <v>450</v>
      </c>
      <c r="F18" s="291">
        <f t="shared" si="17"/>
        <v>0.1143292683</v>
      </c>
      <c r="G18" s="325">
        <f t="shared" si="18"/>
        <v>34530</v>
      </c>
      <c r="H18" s="291">
        <f t="shared" si="19"/>
        <v>0.7673333333</v>
      </c>
      <c r="I18" s="325">
        <f t="shared" si="20"/>
        <v>39848</v>
      </c>
      <c r="J18" s="291">
        <f t="shared" si="21"/>
        <v>0.8855111111</v>
      </c>
      <c r="K18" s="325">
        <f t="shared" si="22"/>
        <v>7750</v>
      </c>
      <c r="L18" s="291">
        <f t="shared" si="23"/>
        <v>0.2748811804</v>
      </c>
      <c r="M18" s="325">
        <f t="shared" si="24"/>
        <v>45000</v>
      </c>
      <c r="N18" s="291">
        <f t="shared" si="25"/>
        <v>1</v>
      </c>
      <c r="O18" s="325">
        <f t="shared" si="26"/>
        <v>127578</v>
      </c>
      <c r="P18" s="291">
        <f t="shared" si="27"/>
        <v>0.6018454745</v>
      </c>
    </row>
    <row r="19">
      <c r="A19" s="191"/>
      <c r="B19" s="74" t="s">
        <v>32</v>
      </c>
      <c r="C19" s="325">
        <f t="shared" si="14"/>
        <v>26052</v>
      </c>
      <c r="D19" s="291">
        <f t="shared" si="15"/>
        <v>0.5789333333</v>
      </c>
      <c r="E19" s="325">
        <f t="shared" si="16"/>
        <v>398</v>
      </c>
      <c r="F19" s="291">
        <f t="shared" si="17"/>
        <v>0.07276051188</v>
      </c>
      <c r="G19" s="325">
        <f t="shared" si="18"/>
        <v>45000</v>
      </c>
      <c r="H19" s="291">
        <f t="shared" si="19"/>
        <v>1</v>
      </c>
      <c r="I19" s="325">
        <f t="shared" si="20"/>
        <v>45000</v>
      </c>
      <c r="J19" s="291">
        <f t="shared" si="21"/>
        <v>1</v>
      </c>
      <c r="K19" s="325">
        <f t="shared" si="22"/>
        <v>9990</v>
      </c>
      <c r="L19" s="291">
        <f t="shared" si="23"/>
        <v>0.2311109055</v>
      </c>
      <c r="M19" s="325">
        <f t="shared" si="24"/>
        <v>44996</v>
      </c>
      <c r="N19" s="291">
        <f t="shared" si="25"/>
        <v>0.9999111111</v>
      </c>
      <c r="O19" s="325">
        <f t="shared" si="26"/>
        <v>171436</v>
      </c>
      <c r="P19" s="291">
        <f t="shared" si="27"/>
        <v>0.7496239549</v>
      </c>
    </row>
    <row r="20">
      <c r="A20" s="191"/>
      <c r="B20" s="74" t="s">
        <v>33</v>
      </c>
      <c r="C20" s="325">
        <f t="shared" si="14"/>
        <v>0</v>
      </c>
      <c r="D20" s="291">
        <f t="shared" si="15"/>
        <v>0</v>
      </c>
      <c r="E20" s="325">
        <f t="shared" si="16"/>
        <v>602</v>
      </c>
      <c r="F20" s="291">
        <f t="shared" si="17"/>
        <v>0.07049180328</v>
      </c>
      <c r="G20" s="325">
        <f t="shared" si="18"/>
        <v>45000</v>
      </c>
      <c r="H20" s="291">
        <f t="shared" si="19"/>
        <v>1</v>
      </c>
      <c r="I20" s="325">
        <f t="shared" si="20"/>
        <v>45000</v>
      </c>
      <c r="J20" s="291">
        <f t="shared" si="21"/>
        <v>1</v>
      </c>
      <c r="K20" s="325">
        <f t="shared" si="22"/>
        <v>10644</v>
      </c>
      <c r="L20" s="291">
        <f t="shared" si="23"/>
        <v>0.2365333333</v>
      </c>
      <c r="M20" s="325">
        <f t="shared" si="24"/>
        <v>45000</v>
      </c>
      <c r="N20" s="291">
        <f t="shared" si="25"/>
        <v>1</v>
      </c>
      <c r="O20" s="325">
        <f t="shared" si="26"/>
        <v>146246</v>
      </c>
      <c r="P20" s="291">
        <f t="shared" si="27"/>
        <v>0.6262139248</v>
      </c>
    </row>
    <row r="21">
      <c r="A21" s="191"/>
      <c r="B21" s="74" t="s">
        <v>34</v>
      </c>
      <c r="C21" s="325">
        <f t="shared" si="14"/>
        <v>0</v>
      </c>
      <c r="D21" s="291">
        <f t="shared" si="15"/>
        <v>0</v>
      </c>
      <c r="E21" s="325">
        <f t="shared" si="16"/>
        <v>6072</v>
      </c>
      <c r="F21" s="291">
        <f t="shared" si="17"/>
        <v>0.1996580297</v>
      </c>
      <c r="G21" s="325">
        <f t="shared" si="18"/>
        <v>45000</v>
      </c>
      <c r="H21" s="291">
        <f t="shared" si="19"/>
        <v>1</v>
      </c>
      <c r="I21" s="325">
        <f t="shared" si="20"/>
        <v>45000</v>
      </c>
      <c r="J21" s="291">
        <f t="shared" si="21"/>
        <v>1</v>
      </c>
      <c r="K21" s="325">
        <f t="shared" si="22"/>
        <v>45000</v>
      </c>
      <c r="L21" s="291">
        <f t="shared" si="23"/>
        <v>1</v>
      </c>
      <c r="M21" s="325">
        <f t="shared" si="24"/>
        <v>45000</v>
      </c>
      <c r="N21" s="291">
        <f t="shared" si="25"/>
        <v>1</v>
      </c>
      <c r="O21" s="325">
        <f t="shared" si="26"/>
        <v>186072</v>
      </c>
      <c r="P21" s="291">
        <f t="shared" si="27"/>
        <v>0.7285170626</v>
      </c>
    </row>
    <row r="22">
      <c r="A22" s="191"/>
      <c r="B22" s="74" t="s">
        <v>35</v>
      </c>
      <c r="C22" s="325">
        <f t="shared" si="14"/>
        <v>0</v>
      </c>
      <c r="D22" s="291">
        <f t="shared" si="15"/>
        <v>0</v>
      </c>
      <c r="E22" s="326"/>
      <c r="F22" s="326"/>
      <c r="G22" s="325">
        <f t="shared" si="18"/>
        <v>0</v>
      </c>
      <c r="H22" s="291">
        <f t="shared" si="19"/>
        <v>0</v>
      </c>
      <c r="I22" s="325">
        <f t="shared" si="20"/>
        <v>52974</v>
      </c>
      <c r="J22" s="291">
        <f t="shared" si="21"/>
        <v>0.9845736376</v>
      </c>
      <c r="K22" s="326"/>
      <c r="L22" s="326"/>
      <c r="M22" s="325">
        <f t="shared" si="24"/>
        <v>17962</v>
      </c>
      <c r="N22" s="291">
        <f t="shared" si="25"/>
        <v>0.6741480258</v>
      </c>
      <c r="O22" s="325">
        <f t="shared" si="26"/>
        <v>70936</v>
      </c>
      <c r="P22" s="291">
        <f t="shared" si="27"/>
        <v>0.5105219219</v>
      </c>
    </row>
    <row r="23">
      <c r="A23" s="191"/>
      <c r="B23" s="74" t="s">
        <v>36</v>
      </c>
      <c r="C23" s="326"/>
      <c r="D23" s="326"/>
      <c r="E23" s="326"/>
      <c r="F23" s="326"/>
      <c r="G23" s="325">
        <f t="shared" ref="G23:G31" si="28">D78</f>
        <v>0</v>
      </c>
      <c r="H23" s="291">
        <f t="shared" si="19"/>
        <v>0</v>
      </c>
      <c r="I23" s="325">
        <f t="shared" si="20"/>
        <v>31148</v>
      </c>
      <c r="J23" s="291">
        <f t="shared" si="21"/>
        <v>0.782731065</v>
      </c>
      <c r="K23" s="326"/>
      <c r="L23" s="326"/>
      <c r="M23" s="325">
        <f t="shared" si="24"/>
        <v>15298</v>
      </c>
      <c r="N23" s="291">
        <f t="shared" si="25"/>
        <v>0.5650439536</v>
      </c>
      <c r="O23" s="325">
        <f t="shared" si="26"/>
        <v>46446</v>
      </c>
      <c r="P23" s="291">
        <f t="shared" si="27"/>
        <v>0.3642880673</v>
      </c>
    </row>
    <row r="24">
      <c r="A24" s="191"/>
      <c r="B24" s="74" t="s">
        <v>37</v>
      </c>
      <c r="C24" s="325">
        <f t="shared" ref="C24:C31" si="29">D44</f>
        <v>4500</v>
      </c>
      <c r="D24" s="291">
        <f t="shared" ref="D24:D31" si="30">C24/(2*G44)</f>
        <v>1</v>
      </c>
      <c r="E24" s="326"/>
      <c r="F24" s="326"/>
      <c r="G24" s="325">
        <f t="shared" si="28"/>
        <v>0</v>
      </c>
      <c r="H24" s="291">
        <f t="shared" si="19"/>
        <v>0</v>
      </c>
      <c r="I24" s="325">
        <f t="shared" si="20"/>
        <v>39218</v>
      </c>
      <c r="J24" s="291">
        <f t="shared" si="21"/>
        <v>0.8895794583</v>
      </c>
      <c r="K24" s="326"/>
      <c r="L24" s="326"/>
      <c r="M24" s="325">
        <f t="shared" si="24"/>
        <v>5960</v>
      </c>
      <c r="N24" s="291">
        <f t="shared" si="25"/>
        <v>0.1096959435</v>
      </c>
      <c r="O24" s="325">
        <f t="shared" si="26"/>
        <v>49678</v>
      </c>
      <c r="P24" s="291">
        <f t="shared" si="27"/>
        <v>0.3157446484</v>
      </c>
    </row>
    <row r="25">
      <c r="A25" s="191"/>
      <c r="B25" s="74" t="s">
        <v>38</v>
      </c>
      <c r="C25" s="325">
        <f t="shared" si="29"/>
        <v>4500</v>
      </c>
      <c r="D25" s="291">
        <f t="shared" si="30"/>
        <v>1</v>
      </c>
      <c r="E25" s="326"/>
      <c r="F25" s="326"/>
      <c r="G25" s="325">
        <f t="shared" si="28"/>
        <v>4500</v>
      </c>
      <c r="H25" s="291">
        <f t="shared" si="19"/>
        <v>1</v>
      </c>
      <c r="I25" s="325">
        <f t="shared" si="20"/>
        <v>8254</v>
      </c>
      <c r="J25" s="291">
        <f t="shared" si="21"/>
        <v>0.2103573067</v>
      </c>
      <c r="K25" s="326"/>
      <c r="L25" s="326"/>
      <c r="M25" s="325">
        <f t="shared" si="24"/>
        <v>45232</v>
      </c>
      <c r="N25" s="291">
        <f t="shared" si="25"/>
        <v>0.8517305013</v>
      </c>
      <c r="O25" s="325">
        <f t="shared" si="26"/>
        <v>62486</v>
      </c>
      <c r="P25" s="291">
        <f t="shared" si="27"/>
        <v>0.4163679252</v>
      </c>
    </row>
    <row r="26">
      <c r="A26" s="191"/>
      <c r="B26" s="74" t="s">
        <v>39</v>
      </c>
      <c r="C26" s="325">
        <f t="shared" si="29"/>
        <v>4500</v>
      </c>
      <c r="D26" s="291">
        <f t="shared" si="30"/>
        <v>1</v>
      </c>
      <c r="E26" s="326"/>
      <c r="F26" s="326"/>
      <c r="G26" s="325">
        <f t="shared" si="28"/>
        <v>4500</v>
      </c>
      <c r="H26" s="291">
        <f t="shared" si="19"/>
        <v>1</v>
      </c>
      <c r="I26" s="325">
        <f t="shared" si="20"/>
        <v>53920</v>
      </c>
      <c r="J26" s="291">
        <f t="shared" si="21"/>
        <v>0.9985185185</v>
      </c>
      <c r="K26" s="325">
        <f t="shared" ref="K26:K31" si="31">D57</f>
        <v>0</v>
      </c>
      <c r="L26" s="291">
        <f t="shared" ref="L26:L31" si="32">K26/(2*G57)</f>
        <v>0</v>
      </c>
      <c r="M26" s="325">
        <f t="shared" si="24"/>
        <v>62866</v>
      </c>
      <c r="N26" s="291">
        <f t="shared" si="25"/>
        <v>0.9978730159</v>
      </c>
      <c r="O26" s="325">
        <f t="shared" si="26"/>
        <v>125786</v>
      </c>
      <c r="P26" s="291">
        <f t="shared" si="27"/>
        <v>0.689525501</v>
      </c>
    </row>
    <row r="27">
      <c r="A27" s="191"/>
      <c r="B27" s="74" t="s">
        <v>40</v>
      </c>
      <c r="C27" s="325">
        <f t="shared" si="29"/>
        <v>0</v>
      </c>
      <c r="D27" s="291">
        <f t="shared" si="30"/>
        <v>0</v>
      </c>
      <c r="E27" s="326"/>
      <c r="F27" s="326"/>
      <c r="G27" s="325">
        <f t="shared" si="28"/>
        <v>4500</v>
      </c>
      <c r="H27" s="291">
        <f t="shared" si="19"/>
        <v>0.2000177794</v>
      </c>
      <c r="I27" s="326"/>
      <c r="J27" s="326"/>
      <c r="K27" s="325">
        <f t="shared" si="31"/>
        <v>0</v>
      </c>
      <c r="L27" s="291">
        <f t="shared" si="32"/>
        <v>0</v>
      </c>
      <c r="M27" s="326"/>
      <c r="N27" s="326"/>
      <c r="O27" s="325">
        <f t="shared" si="26"/>
        <v>4500</v>
      </c>
      <c r="P27" s="291">
        <f t="shared" si="27"/>
        <v>0.03841819486</v>
      </c>
    </row>
    <row r="28">
      <c r="A28" s="191"/>
      <c r="B28" s="74" t="s">
        <v>41</v>
      </c>
      <c r="C28" s="325">
        <f t="shared" si="29"/>
        <v>0</v>
      </c>
      <c r="D28" s="291">
        <f t="shared" si="30"/>
        <v>0</v>
      </c>
      <c r="E28" s="326"/>
      <c r="F28" s="326"/>
      <c r="G28" s="325">
        <f t="shared" si="28"/>
        <v>0</v>
      </c>
      <c r="H28" s="291">
        <f t="shared" si="19"/>
        <v>0</v>
      </c>
      <c r="I28" s="326"/>
      <c r="J28" s="326"/>
      <c r="K28" s="325">
        <f t="shared" si="31"/>
        <v>0</v>
      </c>
      <c r="L28" s="291">
        <f t="shared" si="32"/>
        <v>0</v>
      </c>
      <c r="M28" s="326"/>
      <c r="N28" s="326"/>
      <c r="O28" s="325">
        <f t="shared" si="26"/>
        <v>0</v>
      </c>
      <c r="P28" s="291">
        <f t="shared" si="27"/>
        <v>0</v>
      </c>
    </row>
    <row r="29">
      <c r="A29" s="191"/>
      <c r="B29" s="74" t="s">
        <v>42</v>
      </c>
      <c r="C29" s="325">
        <f t="shared" si="29"/>
        <v>0</v>
      </c>
      <c r="D29" s="291">
        <f t="shared" si="30"/>
        <v>0</v>
      </c>
      <c r="E29" s="326"/>
      <c r="F29" s="326"/>
      <c r="G29" s="325">
        <f t="shared" si="28"/>
        <v>0</v>
      </c>
      <c r="H29" s="291">
        <f t="shared" si="19"/>
        <v>0</v>
      </c>
      <c r="I29" s="326"/>
      <c r="J29" s="326"/>
      <c r="K29" s="325">
        <f t="shared" si="31"/>
        <v>0</v>
      </c>
      <c r="L29" s="291">
        <f t="shared" si="32"/>
        <v>0</v>
      </c>
      <c r="M29" s="326"/>
      <c r="N29" s="326"/>
      <c r="O29" s="325">
        <f t="shared" si="26"/>
        <v>0</v>
      </c>
      <c r="P29" s="291">
        <f t="shared" si="27"/>
        <v>0</v>
      </c>
    </row>
    <row r="30">
      <c r="A30" s="191"/>
      <c r="B30" s="74" t="s">
        <v>43</v>
      </c>
      <c r="C30" s="325">
        <f t="shared" si="29"/>
        <v>0</v>
      </c>
      <c r="D30" s="291">
        <f t="shared" si="30"/>
        <v>0</v>
      </c>
      <c r="E30" s="326"/>
      <c r="F30" s="326"/>
      <c r="G30" s="325">
        <f t="shared" si="28"/>
        <v>0</v>
      </c>
      <c r="H30" s="291">
        <f t="shared" si="19"/>
        <v>0</v>
      </c>
      <c r="I30" s="326"/>
      <c r="J30" s="326"/>
      <c r="K30" s="325">
        <f t="shared" si="31"/>
        <v>0</v>
      </c>
      <c r="L30" s="291">
        <f t="shared" si="32"/>
        <v>0</v>
      </c>
      <c r="M30" s="326"/>
      <c r="N30" s="326"/>
      <c r="O30" s="325">
        <f t="shared" si="26"/>
        <v>0</v>
      </c>
      <c r="P30" s="291">
        <f t="shared" si="27"/>
        <v>0</v>
      </c>
    </row>
    <row r="31">
      <c r="A31" s="195"/>
      <c r="B31" s="74" t="s">
        <v>44</v>
      </c>
      <c r="C31" s="325">
        <f t="shared" si="29"/>
        <v>0</v>
      </c>
      <c r="D31" s="291">
        <f t="shared" si="30"/>
        <v>0</v>
      </c>
      <c r="E31" s="326"/>
      <c r="F31" s="326"/>
      <c r="G31" s="325">
        <f t="shared" si="28"/>
        <v>0</v>
      </c>
      <c r="H31" s="291">
        <f t="shared" si="19"/>
        <v>0</v>
      </c>
      <c r="I31" s="326"/>
      <c r="J31" s="326"/>
      <c r="K31" s="325">
        <f t="shared" si="31"/>
        <v>0</v>
      </c>
      <c r="L31" s="291">
        <f t="shared" si="32"/>
        <v>0</v>
      </c>
      <c r="M31" s="326"/>
      <c r="N31" s="326"/>
      <c r="O31" s="325">
        <f t="shared" si="26"/>
        <v>0</v>
      </c>
      <c r="P31" s="291">
        <f t="shared" si="27"/>
        <v>0</v>
      </c>
    </row>
    <row r="32">
      <c r="A32" s="327" t="s">
        <v>19</v>
      </c>
      <c r="B32" s="6"/>
      <c r="C32" s="328">
        <f>SUM(C17:C31)</f>
        <v>64630</v>
      </c>
      <c r="D32" s="329">
        <f>C32/(2*sum(G38:G51))</f>
        <v>0.2073029131</v>
      </c>
      <c r="E32" s="328">
        <f>SUM(E17:E31)</f>
        <v>8106</v>
      </c>
      <c r="F32" s="329">
        <f>E32/(2*sum(G88:G92))</f>
        <v>0.1507756408</v>
      </c>
      <c r="G32" s="328">
        <f>SUM(G17:G31)</f>
        <v>218542</v>
      </c>
      <c r="H32" s="329">
        <f>G32/(2*sum(G73:G87))</f>
        <v>0.6618954739</v>
      </c>
      <c r="I32" s="328">
        <f>SUM(I17:I31)</f>
        <v>405362</v>
      </c>
      <c r="J32" s="329">
        <f>I32/(2*sum(G63:G72))</f>
        <v>0.8891038379</v>
      </c>
      <c r="K32" s="328">
        <f>SUM(K17:K31)</f>
        <v>81296</v>
      </c>
      <c r="L32" s="329">
        <f>K32/(2*sum(G52:G62))</f>
        <v>0.3672171431</v>
      </c>
      <c r="M32" s="328">
        <f>SUM(M17:M31)</f>
        <v>372314</v>
      </c>
      <c r="N32" s="329">
        <f>M32/(2*sum(G93:G102))</f>
        <v>0.8289191283</v>
      </c>
      <c r="O32" s="328">
        <f>SUM(O17:O31)</f>
        <v>1150250</v>
      </c>
      <c r="P32" s="329">
        <f>O32/(2*sum(G38:G102))</f>
        <v>0.6312542326</v>
      </c>
    </row>
    <row r="33">
      <c r="A33" s="330"/>
      <c r="B33" s="331"/>
      <c r="E33" s="332"/>
    </row>
    <row r="34">
      <c r="A34" s="243"/>
      <c r="B34" s="331"/>
      <c r="E34" s="332"/>
    </row>
    <row r="35">
      <c r="A35" s="243"/>
      <c r="B35" s="331"/>
      <c r="E35" s="332"/>
    </row>
    <row r="36">
      <c r="A36" s="243"/>
      <c r="B36" s="331"/>
      <c r="E36" s="332"/>
    </row>
    <row r="37">
      <c r="A37" s="333" t="s">
        <v>45</v>
      </c>
      <c r="B37" s="333" t="s">
        <v>142</v>
      </c>
      <c r="C37" s="334" t="s">
        <v>46</v>
      </c>
      <c r="D37" s="315" t="s">
        <v>141</v>
      </c>
      <c r="E37" s="315" t="s">
        <v>143</v>
      </c>
      <c r="F37" s="151" t="s">
        <v>149</v>
      </c>
      <c r="G37" s="134" t="s">
        <v>48</v>
      </c>
    </row>
    <row r="38">
      <c r="A38" s="248">
        <v>13301.0</v>
      </c>
      <c r="B38" s="248">
        <v>1.0</v>
      </c>
      <c r="C38" s="249" t="s">
        <v>53</v>
      </c>
      <c r="D38" s="335">
        <v>25078.0</v>
      </c>
      <c r="E38" s="142"/>
      <c r="F38" s="142"/>
      <c r="G38" s="140">
        <v>22500.0</v>
      </c>
      <c r="I38" s="340"/>
    </row>
    <row r="39">
      <c r="A39" s="248">
        <v>13302.0</v>
      </c>
      <c r="B39" s="248">
        <v>2.0</v>
      </c>
      <c r="C39" s="249" t="s">
        <v>55</v>
      </c>
      <c r="D39" s="335">
        <v>0.0</v>
      </c>
      <c r="E39" s="142"/>
      <c r="F39" s="142"/>
      <c r="G39" s="145">
        <v>22424.0</v>
      </c>
      <c r="I39" s="340"/>
    </row>
    <row r="40">
      <c r="A40" s="248">
        <v>13303.0</v>
      </c>
      <c r="B40" s="248">
        <v>3.0</v>
      </c>
      <c r="C40" s="249" t="s">
        <v>58</v>
      </c>
      <c r="D40" s="335">
        <v>26052.0</v>
      </c>
      <c r="E40" s="142"/>
      <c r="F40" s="142"/>
      <c r="G40" s="149">
        <v>22500.0</v>
      </c>
      <c r="I40" s="340"/>
      <c r="N40" s="344" t="s">
        <v>144</v>
      </c>
      <c r="O40" s="344">
        <v>158981.0</v>
      </c>
      <c r="P40" s="345">
        <f t="shared" ref="P40:P43" si="33">O40*2</f>
        <v>317962</v>
      </c>
    </row>
    <row r="41">
      <c r="A41" s="248">
        <v>13304.0</v>
      </c>
      <c r="B41" s="248">
        <v>4.0</v>
      </c>
      <c r="C41" s="249" t="s">
        <v>59</v>
      </c>
      <c r="D41" s="335">
        <v>0.0</v>
      </c>
      <c r="E41" s="142"/>
      <c r="F41" s="142"/>
      <c r="G41" s="149">
        <v>22500.0</v>
      </c>
      <c r="I41" s="340"/>
      <c r="N41" s="339" t="s">
        <v>145</v>
      </c>
      <c r="O41" s="339">
        <v>153582.0</v>
      </c>
      <c r="P41" s="261">
        <f t="shared" si="33"/>
        <v>307164</v>
      </c>
    </row>
    <row r="42">
      <c r="A42" s="256">
        <v>13305.0</v>
      </c>
      <c r="B42" s="256">
        <v>5.0</v>
      </c>
      <c r="C42" s="257" t="s">
        <v>60</v>
      </c>
      <c r="D42" s="338">
        <v>0.0</v>
      </c>
      <c r="E42" s="142"/>
      <c r="F42" s="142"/>
      <c r="G42" s="155">
        <v>22500.0</v>
      </c>
      <c r="I42" s="340"/>
      <c r="N42" s="339" t="s">
        <v>146</v>
      </c>
      <c r="O42" s="339">
        <v>113480.0</v>
      </c>
      <c r="P42" s="261">
        <f t="shared" si="33"/>
        <v>226960</v>
      </c>
    </row>
    <row r="43">
      <c r="A43" s="248">
        <v>14408.0</v>
      </c>
      <c r="B43" s="248">
        <v>6.0</v>
      </c>
      <c r="C43" s="249" t="s">
        <v>61</v>
      </c>
      <c r="D43" s="338">
        <v>0.0</v>
      </c>
      <c r="E43" s="142"/>
      <c r="F43" s="142"/>
      <c r="G43" s="157">
        <v>2250.0</v>
      </c>
      <c r="I43" s="340"/>
      <c r="N43" s="339" t="s">
        <v>147</v>
      </c>
      <c r="O43" s="339">
        <v>86282.0</v>
      </c>
      <c r="P43" s="261">
        <f t="shared" si="33"/>
        <v>172564</v>
      </c>
    </row>
    <row r="44">
      <c r="A44" s="248">
        <v>14410.0</v>
      </c>
      <c r="B44" s="248">
        <v>7.0</v>
      </c>
      <c r="C44" s="249" t="s">
        <v>62</v>
      </c>
      <c r="D44" s="338">
        <v>4500.0</v>
      </c>
      <c r="E44" s="142"/>
      <c r="F44" s="142"/>
      <c r="G44" s="155">
        <v>2250.0</v>
      </c>
      <c r="I44" s="340"/>
      <c r="P44" s="98">
        <f>O9+P40+P41+P42+P43</f>
        <v>2174900</v>
      </c>
    </row>
    <row r="45">
      <c r="A45" s="248">
        <v>14423.0</v>
      </c>
      <c r="B45" s="248">
        <v>8.0</v>
      </c>
      <c r="C45" s="249" t="s">
        <v>63</v>
      </c>
      <c r="D45" s="338">
        <v>4500.0</v>
      </c>
      <c r="E45" s="142"/>
      <c r="F45" s="142"/>
      <c r="G45" s="155">
        <v>2250.0</v>
      </c>
      <c r="I45" s="340"/>
      <c r="P45" s="261">
        <f>P43/P44</f>
        <v>0.07934341809</v>
      </c>
    </row>
    <row r="46">
      <c r="A46" s="256">
        <v>13959.0</v>
      </c>
      <c r="B46" s="256">
        <v>9.0</v>
      </c>
      <c r="C46" s="257" t="s">
        <v>64</v>
      </c>
      <c r="D46" s="338">
        <v>4500.0</v>
      </c>
      <c r="E46" s="142"/>
      <c r="F46" s="142"/>
      <c r="G46" s="160">
        <v>2250.0</v>
      </c>
      <c r="I46" s="340"/>
      <c r="P46" s="261">
        <f>1-P45</f>
        <v>0.9206565819</v>
      </c>
    </row>
    <row r="47">
      <c r="A47" s="310">
        <v>15136.0</v>
      </c>
      <c r="B47" s="310">
        <v>11.0</v>
      </c>
      <c r="C47" s="249" t="s">
        <v>65</v>
      </c>
      <c r="D47" s="335">
        <v>0.0</v>
      </c>
      <c r="E47" s="142"/>
      <c r="F47" s="142"/>
      <c r="G47" s="145">
        <v>6943.0</v>
      </c>
      <c r="I47" s="340"/>
    </row>
    <row r="48">
      <c r="A48" s="248">
        <v>15139.0</v>
      </c>
      <c r="B48" s="248">
        <v>12.0</v>
      </c>
      <c r="C48" s="249" t="s">
        <v>66</v>
      </c>
      <c r="D48" s="335">
        <v>0.0</v>
      </c>
      <c r="E48" s="142"/>
      <c r="F48" s="142"/>
      <c r="G48" s="145">
        <v>9071.0</v>
      </c>
      <c r="I48" s="340"/>
    </row>
    <row r="49">
      <c r="A49" s="248">
        <v>15140.0</v>
      </c>
      <c r="B49" s="248">
        <v>13.0</v>
      </c>
      <c r="C49" s="249" t="s">
        <v>67</v>
      </c>
      <c r="D49" s="335">
        <v>0.0</v>
      </c>
      <c r="E49" s="142"/>
      <c r="F49" s="142"/>
      <c r="G49" s="149">
        <v>5267.0</v>
      </c>
      <c r="I49" s="340"/>
    </row>
    <row r="50">
      <c r="A50" s="248">
        <v>15141.0</v>
      </c>
      <c r="B50" s="248">
        <v>14.0</v>
      </c>
      <c r="C50" s="249" t="s">
        <v>68</v>
      </c>
      <c r="D50" s="338">
        <v>0.0</v>
      </c>
      <c r="E50" s="142"/>
      <c r="F50" s="142"/>
      <c r="G50" s="149">
        <v>8155.0</v>
      </c>
      <c r="I50" s="340"/>
    </row>
    <row r="51">
      <c r="A51" s="310">
        <v>15135.0</v>
      </c>
      <c r="B51" s="248">
        <v>15.0</v>
      </c>
      <c r="C51" s="249" t="s">
        <v>69</v>
      </c>
      <c r="D51" s="338">
        <v>0.0</v>
      </c>
      <c r="E51" s="142"/>
      <c r="F51" s="142"/>
      <c r="G51" s="149">
        <v>5023.0</v>
      </c>
      <c r="I51" s="340"/>
    </row>
    <row r="52">
      <c r="A52" s="248">
        <v>13318.0</v>
      </c>
      <c r="B52" s="248">
        <v>21.0</v>
      </c>
      <c r="C52" s="249" t="s">
        <v>70</v>
      </c>
      <c r="D52" s="338">
        <v>7912.0</v>
      </c>
      <c r="E52" s="142"/>
      <c r="F52" s="142"/>
      <c r="G52" s="145">
        <v>16650.0</v>
      </c>
      <c r="I52" s="340"/>
    </row>
    <row r="53">
      <c r="A53" s="248">
        <v>13319.0</v>
      </c>
      <c r="B53" s="248">
        <v>22.0</v>
      </c>
      <c r="C53" s="249" t="s">
        <v>71</v>
      </c>
      <c r="D53" s="338">
        <v>7750.0</v>
      </c>
      <c r="E53" s="142"/>
      <c r="F53" s="142"/>
      <c r="G53" s="145">
        <v>14097.0</v>
      </c>
      <c r="I53" s="340"/>
    </row>
    <row r="54">
      <c r="A54" s="248">
        <v>13320.0</v>
      </c>
      <c r="B54" s="248">
        <v>23.0</v>
      </c>
      <c r="C54" s="249" t="s">
        <v>72</v>
      </c>
      <c r="D54" s="338">
        <v>9990.0</v>
      </c>
      <c r="E54" s="142"/>
      <c r="F54" s="142"/>
      <c r="G54" s="149">
        <v>21613.0</v>
      </c>
      <c r="I54" s="340"/>
    </row>
    <row r="55">
      <c r="A55" s="248">
        <v>13321.0</v>
      </c>
      <c r="B55" s="248">
        <v>24.0</v>
      </c>
      <c r="C55" s="249" t="s">
        <v>73</v>
      </c>
      <c r="D55" s="338">
        <v>10644.0</v>
      </c>
      <c r="E55" s="142"/>
      <c r="F55" s="142"/>
      <c r="G55" s="149">
        <v>22500.0</v>
      </c>
      <c r="I55" s="340"/>
    </row>
    <row r="56">
      <c r="A56" s="256">
        <v>13322.0</v>
      </c>
      <c r="B56" s="256">
        <v>25.0</v>
      </c>
      <c r="C56" s="257" t="s">
        <v>74</v>
      </c>
      <c r="D56" s="338">
        <v>45000.0</v>
      </c>
      <c r="E56" s="142"/>
      <c r="F56" s="142"/>
      <c r="G56" s="160">
        <v>22500.0</v>
      </c>
      <c r="I56" s="340"/>
    </row>
    <row r="57">
      <c r="A57" s="248">
        <v>14429.0</v>
      </c>
      <c r="B57" s="248">
        <v>26.0</v>
      </c>
      <c r="C57" s="249" t="s">
        <v>75</v>
      </c>
      <c r="D57" s="338">
        <v>0.0</v>
      </c>
      <c r="E57" s="142"/>
      <c r="F57" s="142"/>
      <c r="G57" s="149">
        <v>2250.0</v>
      </c>
      <c r="I57" s="340"/>
    </row>
    <row r="58">
      <c r="A58" s="248">
        <v>15143.0</v>
      </c>
      <c r="B58" s="248">
        <v>31.0</v>
      </c>
      <c r="C58" s="249" t="s">
        <v>76</v>
      </c>
      <c r="D58" s="338">
        <v>0.0</v>
      </c>
      <c r="E58" s="142"/>
      <c r="F58" s="142"/>
      <c r="G58" s="145">
        <v>3315.0</v>
      </c>
      <c r="I58" s="340"/>
    </row>
    <row r="59">
      <c r="A59" s="248">
        <v>15144.0</v>
      </c>
      <c r="B59" s="248">
        <v>32.0</v>
      </c>
      <c r="C59" s="249" t="s">
        <v>77</v>
      </c>
      <c r="D59" s="338">
        <v>0.0</v>
      </c>
      <c r="E59" s="142"/>
      <c r="F59" s="142"/>
      <c r="G59" s="145">
        <v>2459.0</v>
      </c>
      <c r="I59" s="340"/>
    </row>
    <row r="60">
      <c r="A60" s="248">
        <v>15145.0</v>
      </c>
      <c r="B60" s="248">
        <v>33.0</v>
      </c>
      <c r="C60" s="249" t="s">
        <v>78</v>
      </c>
      <c r="D60" s="338">
        <v>0.0</v>
      </c>
      <c r="E60" s="142"/>
      <c r="F60" s="142"/>
      <c r="G60" s="149">
        <v>1865.0</v>
      </c>
      <c r="I60" s="340"/>
    </row>
    <row r="61">
      <c r="A61" s="248">
        <v>15146.0</v>
      </c>
      <c r="B61" s="248">
        <v>34.0</v>
      </c>
      <c r="C61" s="249" t="s">
        <v>79</v>
      </c>
      <c r="D61" s="338">
        <v>0.0</v>
      </c>
      <c r="E61" s="142"/>
      <c r="F61" s="142"/>
      <c r="G61" s="149">
        <v>1019.0</v>
      </c>
      <c r="I61" s="340"/>
    </row>
    <row r="62">
      <c r="A62" s="310">
        <v>15142.0</v>
      </c>
      <c r="B62" s="248">
        <v>35.0</v>
      </c>
      <c r="C62" s="249" t="s">
        <v>80</v>
      </c>
      <c r="D62" s="338">
        <v>0.0</v>
      </c>
      <c r="E62" s="142"/>
      <c r="F62" s="142"/>
      <c r="G62" s="149">
        <v>2424.0</v>
      </c>
      <c r="I62" s="340"/>
    </row>
    <row r="63">
      <c r="A63" s="256">
        <v>13323.0</v>
      </c>
      <c r="B63" s="256">
        <v>41.0</v>
      </c>
      <c r="C63" s="257" t="s">
        <v>81</v>
      </c>
      <c r="D63" s="338">
        <v>45000.0</v>
      </c>
      <c r="E63" s="142"/>
      <c r="F63" s="142"/>
      <c r="G63" s="160">
        <v>22500.0</v>
      </c>
      <c r="I63" s="341"/>
    </row>
    <row r="64">
      <c r="A64" s="256">
        <v>13324.0</v>
      </c>
      <c r="B64" s="256">
        <v>42.0</v>
      </c>
      <c r="C64" s="257" t="s">
        <v>82</v>
      </c>
      <c r="D64" s="338">
        <v>39848.0</v>
      </c>
      <c r="E64" s="142"/>
      <c r="F64" s="142"/>
      <c r="G64" s="160">
        <v>22500.0</v>
      </c>
      <c r="I64" s="341"/>
    </row>
    <row r="65">
      <c r="A65" s="256">
        <v>13325.0</v>
      </c>
      <c r="B65" s="256">
        <v>43.0</v>
      </c>
      <c r="C65" s="257" t="s">
        <v>83</v>
      </c>
      <c r="D65" s="338">
        <v>45000.0</v>
      </c>
      <c r="E65" s="142"/>
      <c r="F65" s="142"/>
      <c r="G65" s="160">
        <v>22500.0</v>
      </c>
      <c r="I65" s="340"/>
    </row>
    <row r="66">
      <c r="A66" s="256">
        <v>13326.0</v>
      </c>
      <c r="B66" s="256">
        <v>44.0</v>
      </c>
      <c r="C66" s="257" t="s">
        <v>84</v>
      </c>
      <c r="D66" s="338">
        <v>45000.0</v>
      </c>
      <c r="E66" s="142"/>
      <c r="F66" s="142"/>
      <c r="G66" s="160">
        <v>22500.0</v>
      </c>
      <c r="I66" s="340"/>
    </row>
    <row r="67">
      <c r="A67" s="256">
        <v>13327.0</v>
      </c>
      <c r="B67" s="256">
        <v>45.0</v>
      </c>
      <c r="C67" s="257" t="s">
        <v>85</v>
      </c>
      <c r="D67" s="338">
        <v>45000.0</v>
      </c>
      <c r="E67" s="142"/>
      <c r="F67" s="142"/>
      <c r="G67" s="160">
        <v>22500.0</v>
      </c>
      <c r="I67" s="340"/>
    </row>
    <row r="68">
      <c r="A68" s="248">
        <v>14106.0</v>
      </c>
      <c r="B68" s="248">
        <v>46.0</v>
      </c>
      <c r="C68" s="249" t="s">
        <v>86</v>
      </c>
      <c r="D68" s="338">
        <v>52974.0</v>
      </c>
      <c r="E68" s="142"/>
      <c r="F68" s="142"/>
      <c r="G68" s="145">
        <v>26902.0</v>
      </c>
      <c r="I68" s="341"/>
    </row>
    <row r="69">
      <c r="A69" s="248">
        <v>14422.0</v>
      </c>
      <c r="B69" s="248">
        <v>47.0</v>
      </c>
      <c r="C69" s="249" t="s">
        <v>87</v>
      </c>
      <c r="D69" s="338">
        <v>31148.0</v>
      </c>
      <c r="E69" s="142"/>
      <c r="F69" s="142"/>
      <c r="G69" s="145">
        <v>19897.0</v>
      </c>
      <c r="I69" s="341"/>
    </row>
    <row r="70">
      <c r="A70" s="248">
        <v>13960.0</v>
      </c>
      <c r="B70" s="248">
        <v>48.0</v>
      </c>
      <c r="C70" s="249" t="s">
        <v>88</v>
      </c>
      <c r="D70" s="338">
        <v>39218.0</v>
      </c>
      <c r="E70" s="142"/>
      <c r="F70" s="142"/>
      <c r="G70" s="149">
        <v>22043.0</v>
      </c>
      <c r="I70" s="341"/>
    </row>
    <row r="71">
      <c r="A71" s="248">
        <v>13779.0</v>
      </c>
      <c r="B71" s="248">
        <v>49.0</v>
      </c>
      <c r="C71" s="249" t="s">
        <v>89</v>
      </c>
      <c r="D71" s="338">
        <v>8254.0</v>
      </c>
      <c r="E71" s="142"/>
      <c r="F71" s="142"/>
      <c r="G71" s="149">
        <v>19619.0</v>
      </c>
      <c r="I71" s="341"/>
    </row>
    <row r="72">
      <c r="A72" s="248">
        <v>13543.0</v>
      </c>
      <c r="B72" s="248">
        <v>50.0</v>
      </c>
      <c r="C72" s="249" t="s">
        <v>90</v>
      </c>
      <c r="D72" s="338">
        <v>53920.0</v>
      </c>
      <c r="E72" s="142"/>
      <c r="F72" s="142"/>
      <c r="G72" s="149">
        <v>27000.0</v>
      </c>
      <c r="I72" s="341"/>
    </row>
    <row r="73">
      <c r="A73" s="248">
        <v>13328.0</v>
      </c>
      <c r="B73" s="248">
        <v>61.0</v>
      </c>
      <c r="C73" s="249" t="s">
        <v>91</v>
      </c>
      <c r="D73" s="338">
        <v>35512.0</v>
      </c>
      <c r="E73" s="151"/>
      <c r="F73" s="342"/>
      <c r="G73" s="164">
        <v>22500.0</v>
      </c>
      <c r="I73" s="340"/>
    </row>
    <row r="74">
      <c r="A74" s="248">
        <v>13329.0</v>
      </c>
      <c r="B74" s="248">
        <v>62.0</v>
      </c>
      <c r="C74" s="249" t="s">
        <v>92</v>
      </c>
      <c r="D74" s="338">
        <v>34530.0</v>
      </c>
      <c r="E74" s="151"/>
      <c r="F74" s="342"/>
      <c r="G74" s="145">
        <v>22500.0</v>
      </c>
      <c r="I74" s="341"/>
    </row>
    <row r="75">
      <c r="A75" s="256">
        <v>13330.0</v>
      </c>
      <c r="B75" s="256">
        <v>63.0</v>
      </c>
      <c r="C75" s="257" t="s">
        <v>93</v>
      </c>
      <c r="D75" s="338">
        <v>45000.0</v>
      </c>
      <c r="E75" s="142"/>
      <c r="F75" s="142"/>
      <c r="G75" s="160">
        <v>22500.0</v>
      </c>
      <c r="I75" s="340"/>
    </row>
    <row r="76">
      <c r="A76" s="256">
        <v>13331.0</v>
      </c>
      <c r="B76" s="256">
        <v>64.0</v>
      </c>
      <c r="C76" s="257" t="s">
        <v>94</v>
      </c>
      <c r="D76" s="338">
        <v>45000.0</v>
      </c>
      <c r="E76" s="142"/>
      <c r="F76" s="142"/>
      <c r="G76" s="160">
        <v>22500.0</v>
      </c>
      <c r="I76" s="341"/>
    </row>
    <row r="77">
      <c r="A77" s="256">
        <v>13332.0</v>
      </c>
      <c r="B77" s="256">
        <v>65.0</v>
      </c>
      <c r="C77" s="257" t="s">
        <v>95</v>
      </c>
      <c r="D77" s="338">
        <v>45000.0</v>
      </c>
      <c r="E77" s="142"/>
      <c r="F77" s="142"/>
      <c r="G77" s="160">
        <v>22500.0</v>
      </c>
      <c r="I77" s="341"/>
    </row>
    <row r="78">
      <c r="A78" s="248">
        <v>14417.0</v>
      </c>
      <c r="B78" s="248">
        <v>66.0</v>
      </c>
      <c r="C78" s="249" t="s">
        <v>96</v>
      </c>
      <c r="D78" s="338">
        <v>0.0</v>
      </c>
      <c r="E78" s="142"/>
      <c r="F78" s="142"/>
      <c r="G78" s="164">
        <v>2250.0</v>
      </c>
      <c r="I78" s="341"/>
    </row>
    <row r="79">
      <c r="A79" s="248">
        <v>14418.0</v>
      </c>
      <c r="B79" s="248">
        <v>67.0</v>
      </c>
      <c r="C79" s="249" t="s">
        <v>97</v>
      </c>
      <c r="D79" s="338">
        <v>0.0</v>
      </c>
      <c r="E79" s="142"/>
      <c r="F79" s="142"/>
      <c r="G79" s="164">
        <v>2250.0</v>
      </c>
      <c r="I79" s="340"/>
    </row>
    <row r="80">
      <c r="A80" s="256">
        <v>14104.0</v>
      </c>
      <c r="B80" s="256">
        <v>68.0</v>
      </c>
      <c r="C80" s="257" t="s">
        <v>98</v>
      </c>
      <c r="D80" s="338">
        <v>4500.0</v>
      </c>
      <c r="E80" s="142"/>
      <c r="F80" s="142"/>
      <c r="G80" s="160">
        <v>2250.0</v>
      </c>
      <c r="I80" s="340"/>
    </row>
    <row r="81">
      <c r="A81" s="256">
        <v>14105.0</v>
      </c>
      <c r="B81" s="256">
        <v>69.0</v>
      </c>
      <c r="C81" s="257" t="s">
        <v>99</v>
      </c>
      <c r="D81" s="338">
        <v>4500.0</v>
      </c>
      <c r="E81" s="142"/>
      <c r="F81" s="142"/>
      <c r="G81" s="160">
        <v>2250.0</v>
      </c>
      <c r="I81" s="340"/>
    </row>
    <row r="82">
      <c r="A82" s="256">
        <v>13788.0</v>
      </c>
      <c r="B82" s="256">
        <v>70.0</v>
      </c>
      <c r="C82" s="257" t="s">
        <v>100</v>
      </c>
      <c r="D82" s="335">
        <v>4500.0</v>
      </c>
      <c r="E82" s="142"/>
      <c r="F82" s="142"/>
      <c r="G82" s="160">
        <v>2250.0</v>
      </c>
      <c r="I82" s="341"/>
    </row>
    <row r="83">
      <c r="A83" s="248">
        <v>15148.0</v>
      </c>
      <c r="B83" s="248">
        <v>71.0</v>
      </c>
      <c r="C83" s="249" t="s">
        <v>101</v>
      </c>
      <c r="D83" s="338">
        <v>0.0</v>
      </c>
      <c r="E83" s="142"/>
      <c r="F83" s="142"/>
      <c r="G83" s="145">
        <v>11249.0</v>
      </c>
      <c r="I83" s="341"/>
    </row>
    <row r="84">
      <c r="A84" s="248">
        <v>15149.0</v>
      </c>
      <c r="B84" s="248">
        <v>72.0</v>
      </c>
      <c r="C84" s="249" t="s">
        <v>102</v>
      </c>
      <c r="D84" s="338">
        <v>0.0</v>
      </c>
      <c r="E84" s="142"/>
      <c r="F84" s="142"/>
      <c r="G84" s="145">
        <v>11250.0</v>
      </c>
      <c r="I84" s="341"/>
    </row>
    <row r="85">
      <c r="A85" s="248">
        <v>15150.0</v>
      </c>
      <c r="B85" s="248">
        <v>73.0</v>
      </c>
      <c r="C85" s="249" t="s">
        <v>103</v>
      </c>
      <c r="D85" s="338">
        <v>0.0</v>
      </c>
      <c r="E85" s="142"/>
      <c r="F85" s="142"/>
      <c r="G85" s="149">
        <v>5913.0</v>
      </c>
      <c r="I85" s="341"/>
    </row>
    <row r="86">
      <c r="A86" s="248">
        <v>15151.0</v>
      </c>
      <c r="B86" s="248">
        <v>74.0</v>
      </c>
      <c r="C86" s="249" t="s">
        <v>104</v>
      </c>
      <c r="D86" s="338">
        <v>0.0</v>
      </c>
      <c r="E86" s="142"/>
      <c r="F86" s="142"/>
      <c r="G86" s="149">
        <v>7384.0</v>
      </c>
      <c r="I86" s="341"/>
    </row>
    <row r="87">
      <c r="A87" s="310">
        <v>15147.0</v>
      </c>
      <c r="B87" s="248">
        <v>75.0</v>
      </c>
      <c r="C87" s="249" t="s">
        <v>105</v>
      </c>
      <c r="D87" s="338">
        <v>0.0</v>
      </c>
      <c r="E87" s="142"/>
      <c r="F87" s="142"/>
      <c r="G87" s="149">
        <v>5542.0</v>
      </c>
      <c r="I87" s="340"/>
    </row>
    <row r="88">
      <c r="A88" s="248">
        <v>13333.0</v>
      </c>
      <c r="B88" s="248">
        <v>81.0</v>
      </c>
      <c r="C88" s="249" t="s">
        <v>106</v>
      </c>
      <c r="D88" s="338">
        <v>584.0</v>
      </c>
      <c r="E88" s="142"/>
      <c r="F88" s="343"/>
      <c r="G88" s="145">
        <v>2702.0</v>
      </c>
      <c r="I88" s="340"/>
    </row>
    <row r="89">
      <c r="A89" s="248">
        <v>13334.0</v>
      </c>
      <c r="B89" s="248">
        <v>82.0</v>
      </c>
      <c r="C89" s="249" t="s">
        <v>107</v>
      </c>
      <c r="D89" s="338">
        <v>450.0</v>
      </c>
      <c r="E89" s="142"/>
      <c r="F89" s="343"/>
      <c r="G89" s="145">
        <v>1968.0</v>
      </c>
      <c r="I89" s="340"/>
    </row>
    <row r="90">
      <c r="A90" s="248">
        <v>13335.0</v>
      </c>
      <c r="B90" s="248">
        <v>83.0</v>
      </c>
      <c r="C90" s="249" t="s">
        <v>108</v>
      </c>
      <c r="D90" s="338">
        <v>398.0</v>
      </c>
      <c r="E90" s="142"/>
      <c r="F90" s="343"/>
      <c r="G90" s="145">
        <v>2735.0</v>
      </c>
      <c r="I90" s="340"/>
    </row>
    <row r="91">
      <c r="A91" s="248">
        <v>13336.0</v>
      </c>
      <c r="B91" s="248">
        <v>84.0</v>
      </c>
      <c r="C91" s="249" t="s">
        <v>109</v>
      </c>
      <c r="D91" s="338">
        <v>602.0</v>
      </c>
      <c r="E91" s="142"/>
      <c r="F91" s="343"/>
      <c r="G91" s="145">
        <v>4270.0</v>
      </c>
      <c r="I91" s="340"/>
    </row>
    <row r="92">
      <c r="A92" s="248">
        <v>13337.0</v>
      </c>
      <c r="B92" s="248">
        <v>85.0</v>
      </c>
      <c r="C92" s="249" t="s">
        <v>110</v>
      </c>
      <c r="D92" s="335">
        <v>6072.0</v>
      </c>
      <c r="E92" s="142"/>
      <c r="F92" s="343"/>
      <c r="G92" s="150">
        <v>15206.0</v>
      </c>
      <c r="I92" s="341"/>
    </row>
    <row r="93">
      <c r="A93" s="256">
        <v>13338.0</v>
      </c>
      <c r="B93" s="256">
        <v>91.0</v>
      </c>
      <c r="C93" s="257" t="s">
        <v>111</v>
      </c>
      <c r="D93" s="335">
        <v>45000.0</v>
      </c>
      <c r="E93" s="142"/>
      <c r="F93" s="142"/>
      <c r="G93" s="160">
        <v>22500.0</v>
      </c>
      <c r="I93" s="341"/>
    </row>
    <row r="94">
      <c r="A94" s="256">
        <v>13339.0</v>
      </c>
      <c r="B94" s="256">
        <v>92.0</v>
      </c>
      <c r="C94" s="257" t="s">
        <v>112</v>
      </c>
      <c r="D94" s="335">
        <v>45000.0</v>
      </c>
      <c r="E94" s="151"/>
      <c r="F94" s="342"/>
      <c r="G94" s="160">
        <v>22500.0</v>
      </c>
      <c r="I94" s="341"/>
    </row>
    <row r="95">
      <c r="A95" s="256">
        <v>13437.0</v>
      </c>
      <c r="B95" s="256">
        <v>93.0</v>
      </c>
      <c r="C95" s="257" t="s">
        <v>113</v>
      </c>
      <c r="D95" s="335">
        <v>44996.0</v>
      </c>
      <c r="E95" s="142"/>
      <c r="F95" s="142"/>
      <c r="G95" s="160">
        <v>22500.0</v>
      </c>
      <c r="I95" s="341"/>
    </row>
    <row r="96">
      <c r="A96" s="256">
        <v>13341.0</v>
      </c>
      <c r="B96" s="256">
        <v>94.0</v>
      </c>
      <c r="C96" s="257" t="s">
        <v>114</v>
      </c>
      <c r="D96" s="335">
        <v>45000.0</v>
      </c>
      <c r="E96" s="151"/>
      <c r="F96" s="342"/>
      <c r="G96" s="160">
        <v>22500.0</v>
      </c>
      <c r="I96" s="341"/>
    </row>
    <row r="97">
      <c r="A97" s="256">
        <v>13342.0</v>
      </c>
      <c r="B97" s="256">
        <v>95.0</v>
      </c>
      <c r="C97" s="257" t="s">
        <v>115</v>
      </c>
      <c r="D97" s="335">
        <v>45000.0</v>
      </c>
      <c r="E97" s="151"/>
      <c r="F97" s="342"/>
      <c r="G97" s="160">
        <v>22500.0</v>
      </c>
      <c r="I97" s="341"/>
    </row>
    <row r="98">
      <c r="A98" s="248">
        <v>14405.0</v>
      </c>
      <c r="B98" s="248">
        <v>96.0</v>
      </c>
      <c r="C98" s="249" t="s">
        <v>116</v>
      </c>
      <c r="D98" s="335">
        <v>17962.0</v>
      </c>
      <c r="E98" s="142"/>
      <c r="F98" s="142"/>
      <c r="G98" s="145">
        <v>13322.0</v>
      </c>
      <c r="I98" s="341"/>
    </row>
    <row r="99">
      <c r="A99" s="248">
        <v>14406.0</v>
      </c>
      <c r="B99" s="248">
        <v>97.0</v>
      </c>
      <c r="C99" s="249" t="s">
        <v>117</v>
      </c>
      <c r="D99" s="335">
        <v>15298.0</v>
      </c>
      <c r="E99" s="142"/>
      <c r="F99" s="142"/>
      <c r="G99" s="145">
        <v>13537.0</v>
      </c>
      <c r="I99" s="341"/>
    </row>
    <row r="100">
      <c r="A100" s="248">
        <v>13780.0</v>
      </c>
      <c r="B100" s="248">
        <v>98.0</v>
      </c>
      <c r="C100" s="249" t="s">
        <v>118</v>
      </c>
      <c r="D100" s="335">
        <v>5960.0</v>
      </c>
      <c r="E100" s="142"/>
      <c r="F100" s="142"/>
      <c r="G100" s="149">
        <v>27166.0</v>
      </c>
      <c r="I100" s="341"/>
    </row>
    <row r="101">
      <c r="A101" s="248">
        <v>14407.0</v>
      </c>
      <c r="B101" s="248">
        <v>99.0</v>
      </c>
      <c r="C101" s="249" t="s">
        <v>119</v>
      </c>
      <c r="D101" s="335">
        <v>45232.0</v>
      </c>
      <c r="E101" s="142"/>
      <c r="F101" s="142"/>
      <c r="G101" s="149">
        <v>26553.0</v>
      </c>
      <c r="I101" s="341"/>
    </row>
    <row r="102">
      <c r="A102" s="248">
        <v>13792.0</v>
      </c>
      <c r="B102" s="248">
        <v>100.0</v>
      </c>
      <c r="C102" s="249" t="s">
        <v>120</v>
      </c>
      <c r="D102" s="335">
        <v>62866.0</v>
      </c>
      <c r="E102" s="142"/>
      <c r="F102" s="142"/>
      <c r="G102" s="149">
        <v>31500.0</v>
      </c>
      <c r="I102" s="340"/>
    </row>
    <row r="103">
      <c r="D103" s="261">
        <f>SUM(D38:D102)</f>
        <v>1150250</v>
      </c>
      <c r="I103" s="341"/>
    </row>
    <row r="104">
      <c r="I104" s="341"/>
    </row>
    <row r="105">
      <c r="I105" s="341"/>
    </row>
  </sheetData>
  <mergeCells count="22">
    <mergeCell ref="A4:A8"/>
    <mergeCell ref="A9:B9"/>
    <mergeCell ref="A14:B16"/>
    <mergeCell ref="A17:A31"/>
    <mergeCell ref="A32:B32"/>
    <mergeCell ref="A1:B3"/>
    <mergeCell ref="C1:N1"/>
    <mergeCell ref="O1:P2"/>
    <mergeCell ref="C2:D2"/>
    <mergeCell ref="E2:F2"/>
    <mergeCell ref="G2:H2"/>
    <mergeCell ref="I2:J2"/>
    <mergeCell ref="I15:J15"/>
    <mergeCell ref="K15:L15"/>
    <mergeCell ref="K2:L2"/>
    <mergeCell ref="M2:N2"/>
    <mergeCell ref="C14:N14"/>
    <mergeCell ref="O14:P15"/>
    <mergeCell ref="C15:D15"/>
    <mergeCell ref="E15:F15"/>
    <mergeCell ref="G15:H15"/>
    <mergeCell ref="M15:N15"/>
  </mergeCells>
  <conditionalFormatting sqref="D4:D9 F4:F9 H4:H9 J4:J9 L4:L9 N4:N9 P4:P9 D17:D32 F17:F21 H17:H32 J17:J26 L17:L21 N17:N26 P17:P32 L26:L32 F32 J32 N32">
    <cfRule type="cellIs" dxfId="3" priority="1" operator="lessThanOrEqual">
      <formula>"20%"</formula>
    </cfRule>
  </conditionalFormatting>
  <conditionalFormatting sqref="D4:D9 F4:F9 H4:H9 J4:J9 L4:L9 N4:N9 P4:P9 D17:D32 F17:F21 H17:H32 J17:J26 L17:L21 N17:N26 P17:P32 L26:L32 F32 J32 N32">
    <cfRule type="cellIs" dxfId="2" priority="2" operator="greaterThanOrEqual">
      <formula>"80%"</formula>
    </cfRule>
  </conditionalFormatting>
  <conditionalFormatting sqref="D4:D9 F4:F9 H4:H9 J4:J9 L4:L9 N4:N9 P4:P9 D17:D32 F17:F21 H17:H32 J17:J26 L17:L21 N17:N26 P17:P32 L26:L32 F32 J32 N32">
    <cfRule type="cellIs" dxfId="4" priority="3" operator="between">
      <formula>"20%"</formula>
      <formula>"80%"</formula>
    </cfRule>
  </conditionalFormatting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75"/>
    <col customWidth="1" min="2" max="2" width="15.5"/>
  </cols>
  <sheetData>
    <row r="1">
      <c r="A1" s="50" t="s">
        <v>140</v>
      </c>
      <c r="B1" s="51"/>
      <c r="C1" s="313" t="s">
        <v>26</v>
      </c>
      <c r="D1" s="5"/>
      <c r="E1" s="5"/>
      <c r="F1" s="5"/>
      <c r="G1" s="5"/>
      <c r="H1" s="5"/>
      <c r="I1" s="5"/>
      <c r="J1" s="5"/>
      <c r="K1" s="5"/>
      <c r="L1" s="5"/>
      <c r="M1" s="5"/>
      <c r="N1" s="6"/>
      <c r="O1" s="314" t="s">
        <v>19</v>
      </c>
      <c r="P1" s="169"/>
    </row>
    <row r="2">
      <c r="A2" s="55"/>
      <c r="B2" s="56"/>
      <c r="C2" s="313" t="s">
        <v>13</v>
      </c>
      <c r="D2" s="6"/>
      <c r="E2" s="313" t="s">
        <v>14</v>
      </c>
      <c r="F2" s="6"/>
      <c r="G2" s="313" t="s">
        <v>15</v>
      </c>
      <c r="H2" s="6"/>
      <c r="I2" s="313" t="s">
        <v>16</v>
      </c>
      <c r="J2" s="6"/>
      <c r="K2" s="313" t="s">
        <v>17</v>
      </c>
      <c r="L2" s="6"/>
      <c r="M2" s="313" t="s">
        <v>18</v>
      </c>
      <c r="N2" s="6"/>
      <c r="O2" s="176"/>
      <c r="P2" s="177"/>
    </row>
    <row r="3">
      <c r="A3" s="61"/>
      <c r="B3" s="62"/>
      <c r="C3" s="315" t="s">
        <v>141</v>
      </c>
      <c r="D3" s="316" t="s">
        <v>28</v>
      </c>
      <c r="E3" s="315" t="s">
        <v>141</v>
      </c>
      <c r="F3" s="316" t="s">
        <v>28</v>
      </c>
      <c r="G3" s="315" t="s">
        <v>141</v>
      </c>
      <c r="H3" s="316" t="s">
        <v>28</v>
      </c>
      <c r="I3" s="315" t="s">
        <v>141</v>
      </c>
      <c r="J3" s="316" t="s">
        <v>28</v>
      </c>
      <c r="K3" s="315" t="s">
        <v>141</v>
      </c>
      <c r="L3" s="316" t="s">
        <v>28</v>
      </c>
      <c r="M3" s="315" t="s">
        <v>141</v>
      </c>
      <c r="N3" s="316" t="s">
        <v>28</v>
      </c>
      <c r="O3" s="315" t="s">
        <v>141</v>
      </c>
      <c r="P3" s="316" t="s">
        <v>28</v>
      </c>
    </row>
    <row r="4">
      <c r="A4" s="317" t="s">
        <v>48</v>
      </c>
      <c r="B4" s="318" t="s">
        <v>30</v>
      </c>
      <c r="C4" s="319">
        <f t="shared" ref="C4:C8" si="1">C17+C22+C27</f>
        <v>8732</v>
      </c>
      <c r="D4" s="291">
        <f>C4/sum(G38,G43,G47)</f>
        <v>0.9693605684</v>
      </c>
      <c r="E4" s="319">
        <f t="shared" ref="E4:E8" si="2">E17+E22+E27</f>
        <v>746</v>
      </c>
      <c r="F4" s="291">
        <f t="shared" ref="F4:F8" si="3">E4/G88</f>
        <v>0.9959946595</v>
      </c>
      <c r="G4" s="319">
        <f t="shared" ref="G4:G8" si="4">G17+G22+G27</f>
        <v>11677</v>
      </c>
      <c r="H4" s="291">
        <f t="shared" ref="H4:H8" si="5">G4/sum(G73,G78,G83)</f>
        <v>0.9982901599</v>
      </c>
      <c r="I4" s="319">
        <f t="shared" ref="I4:I8" si="6">I17+I22+I27</f>
        <v>14013</v>
      </c>
      <c r="J4" s="291">
        <f t="shared" ref="J4:J8" si="7">I4/sum(G63,G68)</f>
        <v>0.993970776</v>
      </c>
      <c r="K4" s="319">
        <f t="shared" ref="K4:K8" si="8">K17+K22+K27</f>
        <v>5207</v>
      </c>
      <c r="L4" s="291">
        <f t="shared" ref="L4:L7" si="9">K4/sum(G52,G58)</f>
        <v>0.9938919641</v>
      </c>
      <c r="M4" s="319">
        <f t="shared" ref="M4:M8" si="10">M17+M22+M27</f>
        <v>9880</v>
      </c>
      <c r="N4" s="291">
        <f t="shared" ref="N4:N8" si="11">M4/sum(G93,G98)</f>
        <v>0.9745511935</v>
      </c>
      <c r="O4" s="319">
        <f t="shared" ref="O4:O8" si="12">O17+O22+O27</f>
        <v>50255</v>
      </c>
      <c r="P4" s="291">
        <f>O4/50929</f>
        <v>0.9867658898</v>
      </c>
    </row>
    <row r="5">
      <c r="A5" s="191"/>
      <c r="B5" s="318" t="s">
        <v>31</v>
      </c>
      <c r="C5" s="319">
        <f t="shared" si="1"/>
        <v>7137</v>
      </c>
      <c r="D5" s="291">
        <f>C5/sum(G39,G48)</f>
        <v>0.9905621096</v>
      </c>
      <c r="E5" s="319">
        <f t="shared" si="2"/>
        <v>450</v>
      </c>
      <c r="F5" s="291">
        <f t="shared" si="3"/>
        <v>1</v>
      </c>
      <c r="G5" s="319">
        <f t="shared" si="4"/>
        <v>11585</v>
      </c>
      <c r="H5" s="291">
        <f t="shared" si="5"/>
        <v>0.9956170505</v>
      </c>
      <c r="I5" s="319">
        <f t="shared" si="6"/>
        <v>11713</v>
      </c>
      <c r="J5" s="291">
        <f t="shared" si="7"/>
        <v>0.9943968079</v>
      </c>
      <c r="K5" s="319">
        <f t="shared" si="8"/>
        <v>3752</v>
      </c>
      <c r="L5" s="291">
        <f t="shared" si="9"/>
        <v>0.9973418394</v>
      </c>
      <c r="M5" s="319">
        <f t="shared" si="10"/>
        <v>9739</v>
      </c>
      <c r="N5" s="291">
        <f t="shared" si="11"/>
        <v>0.967322209</v>
      </c>
      <c r="O5" s="319">
        <f t="shared" si="12"/>
        <v>44376</v>
      </c>
      <c r="P5" s="291">
        <f>O5/44900</f>
        <v>0.9883296214</v>
      </c>
    </row>
    <row r="6">
      <c r="A6" s="191"/>
      <c r="B6" s="318" t="s">
        <v>32</v>
      </c>
      <c r="C6" s="319">
        <f t="shared" si="1"/>
        <v>9005</v>
      </c>
      <c r="D6" s="291">
        <f t="shared" ref="D6:D8" si="13">C6/sum(G40,G44,G49)</f>
        <v>0.9916308777</v>
      </c>
      <c r="E6" s="319">
        <f t="shared" si="2"/>
        <v>558</v>
      </c>
      <c r="F6" s="291">
        <f t="shared" si="3"/>
        <v>0.9982110912</v>
      </c>
      <c r="G6" s="319">
        <f t="shared" si="4"/>
        <v>9591</v>
      </c>
      <c r="H6" s="291">
        <f t="shared" si="5"/>
        <v>0.9955366411</v>
      </c>
      <c r="I6" s="319">
        <f t="shared" si="6"/>
        <v>12755</v>
      </c>
      <c r="J6" s="291">
        <f t="shared" si="7"/>
        <v>0.9924525366</v>
      </c>
      <c r="K6" s="319">
        <f t="shared" si="8"/>
        <v>5200</v>
      </c>
      <c r="L6" s="291">
        <f t="shared" si="9"/>
        <v>0.9982722212</v>
      </c>
      <c r="M6" s="319">
        <f t="shared" si="10"/>
        <v>13623</v>
      </c>
      <c r="N6" s="291">
        <f t="shared" si="11"/>
        <v>0.9898277992</v>
      </c>
      <c r="O6" s="319">
        <f t="shared" si="12"/>
        <v>50732</v>
      </c>
      <c r="P6" s="291">
        <f>O6/51098</f>
        <v>0.992837293</v>
      </c>
    </row>
    <row r="7">
      <c r="A7" s="191"/>
      <c r="B7" s="318" t="s">
        <v>33</v>
      </c>
      <c r="C7" s="319">
        <f t="shared" si="1"/>
        <v>9175</v>
      </c>
      <c r="D7" s="291">
        <f t="shared" si="13"/>
        <v>0.9845476983</v>
      </c>
      <c r="E7" s="319">
        <f t="shared" si="2"/>
        <v>748</v>
      </c>
      <c r="F7" s="291">
        <f t="shared" si="3"/>
        <v>1</v>
      </c>
      <c r="G7" s="319">
        <f t="shared" si="4"/>
        <v>9914</v>
      </c>
      <c r="H7" s="291">
        <f t="shared" si="5"/>
        <v>0.9952815982</v>
      </c>
      <c r="I7" s="319">
        <f t="shared" si="6"/>
        <v>12008</v>
      </c>
      <c r="J7" s="291">
        <f t="shared" si="7"/>
        <v>0.9899422918</v>
      </c>
      <c r="K7" s="319">
        <f t="shared" si="8"/>
        <v>6739</v>
      </c>
      <c r="L7" s="291">
        <f t="shared" si="9"/>
        <v>0.9951269935</v>
      </c>
      <c r="M7" s="319">
        <f t="shared" si="10"/>
        <v>12596</v>
      </c>
      <c r="N7" s="291">
        <f t="shared" si="11"/>
        <v>0.9890075377</v>
      </c>
      <c r="O7" s="319">
        <f t="shared" si="12"/>
        <v>51180</v>
      </c>
      <c r="P7" s="291">
        <f>O7/51666</f>
        <v>0.990593427</v>
      </c>
    </row>
    <row r="8">
      <c r="A8" s="195"/>
      <c r="B8" s="318" t="s">
        <v>34</v>
      </c>
      <c r="C8" s="319">
        <f t="shared" si="1"/>
        <v>9077</v>
      </c>
      <c r="D8" s="291">
        <f t="shared" si="13"/>
        <v>0.9768618166</v>
      </c>
      <c r="E8" s="319">
        <f t="shared" si="2"/>
        <v>2224</v>
      </c>
      <c r="F8" s="291">
        <f t="shared" si="3"/>
        <v>0.9986528963</v>
      </c>
      <c r="G8" s="319">
        <f t="shared" si="4"/>
        <v>9655</v>
      </c>
      <c r="H8" s="291">
        <f t="shared" si="5"/>
        <v>0.9979328165</v>
      </c>
      <c r="I8" s="319">
        <f t="shared" si="6"/>
        <v>15642</v>
      </c>
      <c r="J8" s="291">
        <f t="shared" si="7"/>
        <v>0.989061018</v>
      </c>
      <c r="K8" s="319">
        <f t="shared" si="8"/>
        <v>8523</v>
      </c>
      <c r="L8" s="291">
        <f>K8/sum(G56,G62,G57)</f>
        <v>0.9930094373</v>
      </c>
      <c r="M8" s="319">
        <f t="shared" si="10"/>
        <v>17087</v>
      </c>
      <c r="N8" s="291">
        <f t="shared" si="11"/>
        <v>0.9872883804</v>
      </c>
      <c r="O8" s="319">
        <f t="shared" si="12"/>
        <v>62208</v>
      </c>
      <c r="P8" s="291">
        <f>O8/62899</f>
        <v>0.9890141338</v>
      </c>
    </row>
    <row r="9">
      <c r="A9" s="320" t="s">
        <v>19</v>
      </c>
      <c r="B9" s="6"/>
      <c r="C9" s="319">
        <f>sum(C4:C8)</f>
        <v>43126</v>
      </c>
      <c r="D9" s="291">
        <f>C9/43905</f>
        <v>0.9822571461</v>
      </c>
      <c r="E9" s="319">
        <f>sum(E4:E8)</f>
        <v>4726</v>
      </c>
      <c r="F9" s="291">
        <f>E9/4733</f>
        <v>0.9985210226</v>
      </c>
      <c r="G9" s="319">
        <f>sum(G4:G8)</f>
        <v>52422</v>
      </c>
      <c r="H9" s="291">
        <f>G9/52603</f>
        <v>0.9965591316</v>
      </c>
      <c r="I9" s="319">
        <f>sum(I4:I8)</f>
        <v>66131</v>
      </c>
      <c r="J9" s="291">
        <f>I9/66674</f>
        <v>0.9918558959</v>
      </c>
      <c r="K9" s="319">
        <f>sum(K4:K8)</f>
        <v>29421</v>
      </c>
      <c r="L9" s="291">
        <f>K9/29565</f>
        <v>0.995129376</v>
      </c>
      <c r="M9" s="319">
        <f>sum(M4:M8)</f>
        <v>62925</v>
      </c>
      <c r="N9" s="291">
        <f>M9/64012</f>
        <v>0.983018809</v>
      </c>
      <c r="O9" s="319">
        <f>sum(O4:O8)</f>
        <v>258751</v>
      </c>
      <c r="P9" s="291">
        <f>O9/261492</f>
        <v>0.9895178438</v>
      </c>
      <c r="Q9" s="261">
        <f>4000*75/300*P9+'전사(대본읽기)'!Q9</f>
        <v>989.5178438</v>
      </c>
    </row>
    <row r="10">
      <c r="P10" s="261">
        <f>P9*75/300*4000</f>
        <v>989.5178438</v>
      </c>
    </row>
    <row r="12">
      <c r="A12" s="321"/>
      <c r="B12" s="322"/>
    </row>
    <row r="13">
      <c r="A13" s="243"/>
      <c r="B13" s="346"/>
    </row>
    <row r="14">
      <c r="A14" s="50" t="s">
        <v>140</v>
      </c>
      <c r="B14" s="51"/>
      <c r="C14" s="170" t="s">
        <v>26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6"/>
      <c r="O14" s="324" t="s">
        <v>19</v>
      </c>
      <c r="P14" s="169"/>
    </row>
    <row r="15">
      <c r="A15" s="55"/>
      <c r="B15" s="56"/>
      <c r="C15" s="170" t="s">
        <v>13</v>
      </c>
      <c r="D15" s="6"/>
      <c r="E15" s="170" t="s">
        <v>14</v>
      </c>
      <c r="F15" s="6"/>
      <c r="G15" s="170" t="s">
        <v>15</v>
      </c>
      <c r="H15" s="6"/>
      <c r="I15" s="170" t="s">
        <v>16</v>
      </c>
      <c r="J15" s="6"/>
      <c r="K15" s="170" t="s">
        <v>17</v>
      </c>
      <c r="L15" s="6"/>
      <c r="M15" s="170" t="s">
        <v>18</v>
      </c>
      <c r="N15" s="6"/>
      <c r="O15" s="176"/>
      <c r="P15" s="177"/>
    </row>
    <row r="16">
      <c r="A16" s="61"/>
      <c r="B16" s="62"/>
      <c r="C16" s="315" t="s">
        <v>141</v>
      </c>
      <c r="D16" s="178" t="s">
        <v>28</v>
      </c>
      <c r="E16" s="315" t="s">
        <v>141</v>
      </c>
      <c r="F16" s="178" t="s">
        <v>28</v>
      </c>
      <c r="G16" s="315" t="s">
        <v>141</v>
      </c>
      <c r="H16" s="178" t="s">
        <v>28</v>
      </c>
      <c r="I16" s="315" t="s">
        <v>141</v>
      </c>
      <c r="J16" s="178" t="s">
        <v>28</v>
      </c>
      <c r="K16" s="315" t="s">
        <v>141</v>
      </c>
      <c r="L16" s="178" t="s">
        <v>28</v>
      </c>
      <c r="M16" s="315" t="s">
        <v>141</v>
      </c>
      <c r="N16" s="178" t="s">
        <v>28</v>
      </c>
      <c r="O16" s="315" t="s">
        <v>141</v>
      </c>
      <c r="P16" s="178" t="s">
        <v>28</v>
      </c>
    </row>
    <row r="17">
      <c r="A17" s="181" t="s">
        <v>29</v>
      </c>
      <c r="B17" s="74" t="s">
        <v>30</v>
      </c>
      <c r="C17" s="325">
        <f t="shared" ref="C17:C22" si="14">D38</f>
        <v>6893</v>
      </c>
      <c r="D17" s="291">
        <f t="shared" ref="D17:D22" si="15">C17/G38</f>
        <v>0.9623062962</v>
      </c>
      <c r="E17" s="325">
        <f t="shared" ref="E17:E21" si="16">D88</f>
        <v>746</v>
      </c>
      <c r="F17" s="291">
        <f t="shared" ref="F17:F21" si="17">E17/G88</f>
        <v>0.9959946595</v>
      </c>
      <c r="G17" s="325">
        <f t="shared" ref="G17:G31" si="18">D73</f>
        <v>7490</v>
      </c>
      <c r="H17" s="291">
        <f t="shared" ref="H17:H31" si="19">G17/G73</f>
        <v>0.9986666667</v>
      </c>
      <c r="I17" s="325">
        <f t="shared" ref="I17:I26" si="20">D63</f>
        <v>7477</v>
      </c>
      <c r="J17" s="291">
        <f t="shared" ref="J17:J26" si="21">I17/G63</f>
        <v>0.9969333333</v>
      </c>
      <c r="K17" s="325">
        <f t="shared" ref="K17:K21" si="22">D52</f>
        <v>4469</v>
      </c>
      <c r="L17" s="291">
        <f t="shared" ref="L17:L21" si="23">K17/G52</f>
        <v>0.9951013137</v>
      </c>
      <c r="M17" s="325">
        <f t="shared" ref="M17:M26" si="24">D93</f>
        <v>7260</v>
      </c>
      <c r="N17" s="291">
        <f t="shared" ref="N17:N26" si="25">M17/G93</f>
        <v>0.968</v>
      </c>
      <c r="O17" s="325">
        <f t="shared" ref="O17:O31" si="26">sum(C17,E17,G17,I17,K17,M17)</f>
        <v>34335</v>
      </c>
      <c r="P17" s="291">
        <f t="shared" ref="P17:P21" si="27">O17/ sum(G38,G52,G63,G73,G88,G93)</f>
        <v>0.9837263272</v>
      </c>
    </row>
    <row r="18">
      <c r="A18" s="191"/>
      <c r="B18" s="74" t="s">
        <v>31</v>
      </c>
      <c r="C18" s="325">
        <f t="shared" si="14"/>
        <v>5876</v>
      </c>
      <c r="D18" s="291">
        <f t="shared" si="15"/>
        <v>0.9893921536</v>
      </c>
      <c r="E18" s="325">
        <f t="shared" si="16"/>
        <v>450</v>
      </c>
      <c r="F18" s="291">
        <f t="shared" si="17"/>
        <v>1</v>
      </c>
      <c r="G18" s="325">
        <f t="shared" si="18"/>
        <v>7472</v>
      </c>
      <c r="H18" s="291">
        <f t="shared" si="19"/>
        <v>0.9962666667</v>
      </c>
      <c r="I18" s="325">
        <f t="shared" si="20"/>
        <v>7467</v>
      </c>
      <c r="J18" s="291">
        <f t="shared" si="21"/>
        <v>0.9956</v>
      </c>
      <c r="K18" s="325">
        <f t="shared" si="22"/>
        <v>3257</v>
      </c>
      <c r="L18" s="291">
        <f t="shared" si="23"/>
        <v>0.9972443356</v>
      </c>
      <c r="M18" s="325">
        <f t="shared" si="24"/>
        <v>7184</v>
      </c>
      <c r="N18" s="291">
        <f t="shared" si="25"/>
        <v>0.9578666667</v>
      </c>
      <c r="O18" s="325">
        <f t="shared" si="26"/>
        <v>31706</v>
      </c>
      <c r="P18" s="291">
        <f t="shared" si="27"/>
        <v>0.9860363863</v>
      </c>
    </row>
    <row r="19">
      <c r="A19" s="191"/>
      <c r="B19" s="74" t="s">
        <v>32</v>
      </c>
      <c r="C19" s="325">
        <f t="shared" si="14"/>
        <v>7366</v>
      </c>
      <c r="D19" s="291">
        <f t="shared" si="15"/>
        <v>0.9908528383</v>
      </c>
      <c r="E19" s="325">
        <f t="shared" si="16"/>
        <v>558</v>
      </c>
      <c r="F19" s="291">
        <f t="shared" si="17"/>
        <v>0.9982110912</v>
      </c>
      <c r="G19" s="325">
        <f t="shared" si="18"/>
        <v>7457</v>
      </c>
      <c r="H19" s="291">
        <f t="shared" si="19"/>
        <v>0.9942666667</v>
      </c>
      <c r="I19" s="325">
        <f t="shared" si="20"/>
        <v>7454</v>
      </c>
      <c r="J19" s="291">
        <f t="shared" si="21"/>
        <v>0.9938666667</v>
      </c>
      <c r="K19" s="325">
        <f t="shared" si="22"/>
        <v>4919</v>
      </c>
      <c r="L19" s="291">
        <f t="shared" si="23"/>
        <v>0.9981737013</v>
      </c>
      <c r="M19" s="325">
        <f t="shared" si="24"/>
        <v>7423</v>
      </c>
      <c r="N19" s="291">
        <f t="shared" si="25"/>
        <v>0.9897333333</v>
      </c>
      <c r="O19" s="325">
        <f t="shared" si="26"/>
        <v>35177</v>
      </c>
      <c r="P19" s="291">
        <f t="shared" si="27"/>
        <v>0.9931114311</v>
      </c>
    </row>
    <row r="20">
      <c r="A20" s="191"/>
      <c r="B20" s="74" t="s">
        <v>33</v>
      </c>
      <c r="C20" s="325">
        <f t="shared" si="14"/>
        <v>7297</v>
      </c>
      <c r="D20" s="291">
        <f t="shared" si="15"/>
        <v>0.982364028</v>
      </c>
      <c r="E20" s="325">
        <f t="shared" si="16"/>
        <v>748</v>
      </c>
      <c r="F20" s="291">
        <f t="shared" si="17"/>
        <v>1</v>
      </c>
      <c r="G20" s="325">
        <f t="shared" si="18"/>
        <v>7458</v>
      </c>
      <c r="H20" s="291">
        <f t="shared" si="19"/>
        <v>0.9944</v>
      </c>
      <c r="I20" s="325">
        <f t="shared" si="20"/>
        <v>7452</v>
      </c>
      <c r="J20" s="291">
        <f t="shared" si="21"/>
        <v>0.9936</v>
      </c>
      <c r="K20" s="325">
        <f t="shared" si="22"/>
        <v>6582</v>
      </c>
      <c r="L20" s="291">
        <f t="shared" si="23"/>
        <v>0.9950113379</v>
      </c>
      <c r="M20" s="325">
        <f t="shared" si="24"/>
        <v>7430</v>
      </c>
      <c r="N20" s="291">
        <f t="shared" si="25"/>
        <v>0.9906666667</v>
      </c>
      <c r="O20" s="325">
        <f t="shared" si="26"/>
        <v>36967</v>
      </c>
      <c r="P20" s="291">
        <f t="shared" si="27"/>
        <v>0.9913115765</v>
      </c>
    </row>
    <row r="21">
      <c r="A21" s="191"/>
      <c r="B21" s="74" t="s">
        <v>34</v>
      </c>
      <c r="C21" s="325">
        <f t="shared" si="14"/>
        <v>7311</v>
      </c>
      <c r="D21" s="291">
        <f t="shared" si="15"/>
        <v>0.9748</v>
      </c>
      <c r="E21" s="325">
        <f t="shared" si="16"/>
        <v>2224</v>
      </c>
      <c r="F21" s="291">
        <f t="shared" si="17"/>
        <v>0.9986528963</v>
      </c>
      <c r="G21" s="325">
        <f t="shared" si="18"/>
        <v>7485</v>
      </c>
      <c r="H21" s="291">
        <f t="shared" si="19"/>
        <v>0.998</v>
      </c>
      <c r="I21" s="325">
        <f t="shared" si="20"/>
        <v>7416</v>
      </c>
      <c r="J21" s="291">
        <f t="shared" si="21"/>
        <v>0.9888</v>
      </c>
      <c r="K21" s="325">
        <f t="shared" si="22"/>
        <v>7440</v>
      </c>
      <c r="L21" s="291">
        <f t="shared" si="23"/>
        <v>0.992</v>
      </c>
      <c r="M21" s="325">
        <f t="shared" si="24"/>
        <v>7493</v>
      </c>
      <c r="N21" s="291">
        <f t="shared" si="25"/>
        <v>0.9990666667</v>
      </c>
      <c r="O21" s="325">
        <f t="shared" si="26"/>
        <v>39369</v>
      </c>
      <c r="P21" s="291">
        <f t="shared" si="27"/>
        <v>0.9909884965</v>
      </c>
    </row>
    <row r="22">
      <c r="A22" s="191"/>
      <c r="B22" s="74" t="s">
        <v>35</v>
      </c>
      <c r="C22" s="325">
        <f t="shared" si="14"/>
        <v>716</v>
      </c>
      <c r="D22" s="291">
        <f t="shared" si="15"/>
        <v>0.9944444444</v>
      </c>
      <c r="E22" s="326"/>
      <c r="F22" s="326"/>
      <c r="G22" s="325">
        <f t="shared" si="18"/>
        <v>749</v>
      </c>
      <c r="H22" s="291">
        <f t="shared" si="19"/>
        <v>0.9986666667</v>
      </c>
      <c r="I22" s="325">
        <f t="shared" si="20"/>
        <v>6536</v>
      </c>
      <c r="J22" s="291">
        <f t="shared" si="21"/>
        <v>0.9906032131</v>
      </c>
      <c r="K22" s="326"/>
      <c r="L22" s="326"/>
      <c r="M22" s="325">
        <f t="shared" si="24"/>
        <v>2620</v>
      </c>
      <c r="N22" s="291">
        <f t="shared" si="25"/>
        <v>0.993176649</v>
      </c>
      <c r="O22" s="325">
        <f t="shared" si="26"/>
        <v>10621</v>
      </c>
      <c r="P22" s="291">
        <f>O22/sum(G43,G68,G78,G98)</f>
        <v>0.9920605268</v>
      </c>
    </row>
    <row r="23">
      <c r="A23" s="191"/>
      <c r="B23" s="74" t="s">
        <v>36</v>
      </c>
      <c r="C23" s="326"/>
      <c r="D23" s="326"/>
      <c r="E23" s="326"/>
      <c r="F23" s="326"/>
      <c r="G23" s="325">
        <f t="shared" si="18"/>
        <v>731</v>
      </c>
      <c r="H23" s="291">
        <f t="shared" si="19"/>
        <v>0.9746666667</v>
      </c>
      <c r="I23" s="325">
        <f t="shared" si="20"/>
        <v>4246</v>
      </c>
      <c r="J23" s="291">
        <f t="shared" si="21"/>
        <v>0.9922879177</v>
      </c>
      <c r="K23" s="326"/>
      <c r="L23" s="326"/>
      <c r="M23" s="325">
        <f t="shared" si="24"/>
        <v>2555</v>
      </c>
      <c r="N23" s="291">
        <f t="shared" si="25"/>
        <v>0.9949376947</v>
      </c>
      <c r="O23" s="325">
        <f t="shared" si="26"/>
        <v>7532</v>
      </c>
      <c r="P23" s="291">
        <f>O23/sum(G69,G79,G99)</f>
        <v>0.991443991</v>
      </c>
    </row>
    <row r="24">
      <c r="A24" s="191"/>
      <c r="B24" s="74" t="s">
        <v>37</v>
      </c>
      <c r="C24" s="325">
        <f t="shared" ref="C24:C31" si="28">D44</f>
        <v>750</v>
      </c>
      <c r="D24" s="291">
        <f t="shared" ref="D24:D31" si="29">C24/G44</f>
        <v>1</v>
      </c>
      <c r="E24" s="326"/>
      <c r="F24" s="326"/>
      <c r="G24" s="325">
        <f t="shared" si="18"/>
        <v>750</v>
      </c>
      <c r="H24" s="291">
        <f t="shared" si="19"/>
        <v>1</v>
      </c>
      <c r="I24" s="325">
        <f t="shared" si="20"/>
        <v>5301</v>
      </c>
      <c r="J24" s="291">
        <f t="shared" si="21"/>
        <v>0.990470852</v>
      </c>
      <c r="K24" s="326"/>
      <c r="L24" s="326"/>
      <c r="M24" s="325">
        <f t="shared" si="24"/>
        <v>6200</v>
      </c>
      <c r="N24" s="291">
        <f t="shared" si="25"/>
        <v>0.9899409229</v>
      </c>
      <c r="O24" s="325">
        <f t="shared" si="26"/>
        <v>13001</v>
      </c>
      <c r="P24" s="291">
        <f t="shared" ref="P24:P25" si="30">O24/sum(G45,G70,G80,G100)</f>
        <v>0.991307663</v>
      </c>
    </row>
    <row r="25">
      <c r="A25" s="191"/>
      <c r="B25" s="74" t="s">
        <v>38</v>
      </c>
      <c r="C25" s="325">
        <f t="shared" si="28"/>
        <v>739</v>
      </c>
      <c r="D25" s="291">
        <f t="shared" si="29"/>
        <v>0.9853333333</v>
      </c>
      <c r="E25" s="326"/>
      <c r="F25" s="326"/>
      <c r="G25" s="325">
        <f t="shared" si="18"/>
        <v>746</v>
      </c>
      <c r="H25" s="291">
        <f t="shared" si="19"/>
        <v>0.9946666667</v>
      </c>
      <c r="I25" s="325">
        <f t="shared" si="20"/>
        <v>4556</v>
      </c>
      <c r="J25" s="291">
        <f t="shared" si="21"/>
        <v>0.9840172786</v>
      </c>
      <c r="K25" s="326"/>
      <c r="L25" s="326"/>
      <c r="M25" s="325">
        <f t="shared" si="24"/>
        <v>5166</v>
      </c>
      <c r="N25" s="291">
        <f t="shared" si="25"/>
        <v>0.986631016</v>
      </c>
      <c r="O25" s="325">
        <f t="shared" si="26"/>
        <v>11207</v>
      </c>
      <c r="P25" s="291">
        <f t="shared" si="30"/>
        <v>0.9860109097</v>
      </c>
    </row>
    <row r="26">
      <c r="A26" s="191"/>
      <c r="B26" s="74" t="s">
        <v>39</v>
      </c>
      <c r="C26" s="325">
        <f t="shared" si="28"/>
        <v>727</v>
      </c>
      <c r="D26" s="291">
        <f t="shared" si="29"/>
        <v>0.9693333333</v>
      </c>
      <c r="E26" s="326"/>
      <c r="F26" s="326"/>
      <c r="G26" s="325">
        <f t="shared" si="18"/>
        <v>749</v>
      </c>
      <c r="H26" s="291">
        <f t="shared" si="19"/>
        <v>0.9986666667</v>
      </c>
      <c r="I26" s="325">
        <f t="shared" si="20"/>
        <v>8226</v>
      </c>
      <c r="J26" s="291">
        <f t="shared" si="21"/>
        <v>0.9892964522</v>
      </c>
      <c r="K26" s="325">
        <f t="shared" ref="K26:K31" si="31">D57</f>
        <v>653</v>
      </c>
      <c r="L26" s="291">
        <f t="shared" ref="L26:L31" si="32">K26/G57</f>
        <v>1</v>
      </c>
      <c r="M26" s="325">
        <f t="shared" si="24"/>
        <v>9594</v>
      </c>
      <c r="N26" s="291">
        <f t="shared" si="25"/>
        <v>0.9782808198</v>
      </c>
      <c r="O26" s="325">
        <f t="shared" si="26"/>
        <v>19949</v>
      </c>
      <c r="P26" s="291">
        <f>O26/sum(G47,G57,G72,G82,G102)</f>
        <v>0.9660532688</v>
      </c>
    </row>
    <row r="27">
      <c r="A27" s="191"/>
      <c r="B27" s="74" t="s">
        <v>40</v>
      </c>
      <c r="C27" s="325">
        <f t="shared" si="28"/>
        <v>1123</v>
      </c>
      <c r="D27" s="291">
        <f t="shared" si="29"/>
        <v>0.9982222222</v>
      </c>
      <c r="E27" s="326"/>
      <c r="F27" s="326"/>
      <c r="G27" s="325">
        <f t="shared" si="18"/>
        <v>3438</v>
      </c>
      <c r="H27" s="291">
        <f t="shared" si="19"/>
        <v>0.9973890339</v>
      </c>
      <c r="I27" s="326"/>
      <c r="J27" s="326"/>
      <c r="K27" s="325">
        <f t="shared" si="31"/>
        <v>738</v>
      </c>
      <c r="L27" s="291">
        <f t="shared" si="32"/>
        <v>0.986631016</v>
      </c>
      <c r="M27" s="326"/>
      <c r="N27" s="326"/>
      <c r="O27" s="325">
        <f t="shared" si="26"/>
        <v>5299</v>
      </c>
      <c r="P27" s="291">
        <f t="shared" ref="P27:P31" si="33">O27/sum(G47,G83,G58)</f>
        <v>0.9960526316</v>
      </c>
    </row>
    <row r="28">
      <c r="A28" s="191"/>
      <c r="B28" s="74" t="s">
        <v>41</v>
      </c>
      <c r="C28" s="325">
        <f t="shared" si="28"/>
        <v>1261</v>
      </c>
      <c r="D28" s="291">
        <f t="shared" si="29"/>
        <v>0.9960505529</v>
      </c>
      <c r="E28" s="326"/>
      <c r="F28" s="326"/>
      <c r="G28" s="325">
        <f t="shared" si="18"/>
        <v>3382</v>
      </c>
      <c r="H28" s="291">
        <f t="shared" si="19"/>
        <v>0.9988186651</v>
      </c>
      <c r="I28" s="326"/>
      <c r="J28" s="326"/>
      <c r="K28" s="325">
        <f t="shared" si="31"/>
        <v>495</v>
      </c>
      <c r="L28" s="291">
        <f t="shared" si="32"/>
        <v>0.997983871</v>
      </c>
      <c r="M28" s="326"/>
      <c r="N28" s="326"/>
      <c r="O28" s="325">
        <f t="shared" si="26"/>
        <v>5138</v>
      </c>
      <c r="P28" s="291">
        <f t="shared" si="33"/>
        <v>0.9980574981</v>
      </c>
    </row>
    <row r="29">
      <c r="A29" s="191"/>
      <c r="B29" s="74" t="s">
        <v>42</v>
      </c>
      <c r="C29" s="325">
        <f t="shared" si="28"/>
        <v>889</v>
      </c>
      <c r="D29" s="291">
        <f t="shared" si="29"/>
        <v>0.9910813824</v>
      </c>
      <c r="E29" s="326"/>
      <c r="F29" s="326"/>
      <c r="G29" s="325">
        <f t="shared" si="18"/>
        <v>1384</v>
      </c>
      <c r="H29" s="291">
        <f t="shared" si="19"/>
        <v>1</v>
      </c>
      <c r="I29" s="326"/>
      <c r="J29" s="326"/>
      <c r="K29" s="325">
        <f t="shared" si="31"/>
        <v>281</v>
      </c>
      <c r="L29" s="291">
        <f t="shared" si="32"/>
        <v>1</v>
      </c>
      <c r="M29" s="326"/>
      <c r="N29" s="326"/>
      <c r="O29" s="325">
        <f t="shared" si="26"/>
        <v>2554</v>
      </c>
      <c r="P29" s="291">
        <f t="shared" si="33"/>
        <v>0.9968774395</v>
      </c>
    </row>
    <row r="30">
      <c r="A30" s="191"/>
      <c r="B30" s="74" t="s">
        <v>43</v>
      </c>
      <c r="C30" s="325">
        <f t="shared" si="28"/>
        <v>1139</v>
      </c>
      <c r="D30" s="291">
        <f t="shared" si="29"/>
        <v>0.9982471516</v>
      </c>
      <c r="E30" s="326"/>
      <c r="F30" s="326"/>
      <c r="G30" s="325">
        <f t="shared" si="18"/>
        <v>1710</v>
      </c>
      <c r="H30" s="291">
        <f t="shared" si="19"/>
        <v>0.9994155465</v>
      </c>
      <c r="I30" s="326"/>
      <c r="J30" s="326"/>
      <c r="K30" s="325">
        <f t="shared" si="31"/>
        <v>157</v>
      </c>
      <c r="L30" s="291">
        <f t="shared" si="32"/>
        <v>1</v>
      </c>
      <c r="M30" s="326"/>
      <c r="N30" s="326"/>
      <c r="O30" s="325">
        <f t="shared" si="26"/>
        <v>3006</v>
      </c>
      <c r="P30" s="291">
        <f t="shared" si="33"/>
        <v>0.999002991</v>
      </c>
    </row>
    <row r="31">
      <c r="A31" s="195"/>
      <c r="B31" s="74" t="s">
        <v>44</v>
      </c>
      <c r="C31" s="325">
        <f t="shared" si="28"/>
        <v>1039</v>
      </c>
      <c r="D31" s="291">
        <f t="shared" si="29"/>
        <v>0.9971209213</v>
      </c>
      <c r="E31" s="326"/>
      <c r="F31" s="326"/>
      <c r="G31" s="325">
        <f t="shared" si="18"/>
        <v>1421</v>
      </c>
      <c r="H31" s="291">
        <f t="shared" si="19"/>
        <v>0.9971929825</v>
      </c>
      <c r="I31" s="326"/>
      <c r="J31" s="326"/>
      <c r="K31" s="325">
        <f t="shared" si="31"/>
        <v>430</v>
      </c>
      <c r="L31" s="291">
        <f t="shared" si="32"/>
        <v>1</v>
      </c>
      <c r="M31" s="326"/>
      <c r="N31" s="326"/>
      <c r="O31" s="325">
        <f t="shared" si="26"/>
        <v>2890</v>
      </c>
      <c r="P31" s="291">
        <f t="shared" si="33"/>
        <v>0.9975837073</v>
      </c>
    </row>
    <row r="32">
      <c r="A32" s="327" t="s">
        <v>19</v>
      </c>
      <c r="B32" s="6"/>
      <c r="C32" s="328">
        <f>SUM(C17:C31)</f>
        <v>43126</v>
      </c>
      <c r="D32" s="329">
        <f>C32/sum(G38:G51)</f>
        <v>0.9822571461</v>
      </c>
      <c r="E32" s="328">
        <f>SUM(E17:E31)</f>
        <v>4726</v>
      </c>
      <c r="F32" s="329">
        <f>E32/sum(G88:G92)</f>
        <v>0.9985210226</v>
      </c>
      <c r="G32" s="328">
        <f>SUM(G17:G31)</f>
        <v>52422</v>
      </c>
      <c r="H32" s="329">
        <f>G32/sum(G73:G87)</f>
        <v>0.9965591316</v>
      </c>
      <c r="I32" s="328">
        <f>SUM(I17:I31)</f>
        <v>66131</v>
      </c>
      <c r="J32" s="329">
        <f>I32/sum(G63:G72)</f>
        <v>0.9918558959</v>
      </c>
      <c r="K32" s="328">
        <f>SUM(K17:K31)</f>
        <v>29421</v>
      </c>
      <c r="L32" s="329">
        <f>K32/sum(G52:G62)</f>
        <v>0.995129376</v>
      </c>
      <c r="M32" s="328">
        <f>SUM(M17:M31)</f>
        <v>62925</v>
      </c>
      <c r="N32" s="329">
        <f>M32/sum(G93:G102)</f>
        <v>0.983018809</v>
      </c>
      <c r="O32" s="328">
        <f>SUM(O17:O31)</f>
        <v>258751</v>
      </c>
      <c r="P32" s="329">
        <f>O32/sum(G38:G102)</f>
        <v>0.9895178438</v>
      </c>
    </row>
    <row r="33">
      <c r="A33" s="330"/>
      <c r="B33" s="331"/>
      <c r="E33" s="332"/>
    </row>
    <row r="34">
      <c r="A34" s="243"/>
      <c r="B34" s="331"/>
      <c r="E34" s="332"/>
    </row>
    <row r="35">
      <c r="A35" s="243"/>
      <c r="B35" s="331"/>
      <c r="E35" s="332"/>
    </row>
    <row r="36">
      <c r="A36" s="243"/>
      <c r="B36" s="331"/>
      <c r="E36" s="332"/>
    </row>
    <row r="37">
      <c r="A37" s="333" t="s">
        <v>45</v>
      </c>
      <c r="B37" s="333" t="s">
        <v>142</v>
      </c>
      <c r="C37" s="334" t="s">
        <v>46</v>
      </c>
      <c r="D37" s="315" t="s">
        <v>141</v>
      </c>
      <c r="E37" s="315" t="s">
        <v>150</v>
      </c>
      <c r="F37" s="315" t="s">
        <v>151</v>
      </c>
      <c r="G37" s="134" t="s">
        <v>49</v>
      </c>
    </row>
    <row r="38">
      <c r="A38" s="248">
        <v>13301.0</v>
      </c>
      <c r="B38" s="248">
        <v>1.0</v>
      </c>
      <c r="C38" s="249" t="s">
        <v>53</v>
      </c>
      <c r="D38" s="347">
        <v>6893.0</v>
      </c>
      <c r="E38" s="348">
        <v>213.0</v>
      </c>
      <c r="F38" s="349">
        <v>57.0</v>
      </c>
      <c r="G38" s="141">
        <v>7163.0</v>
      </c>
      <c r="H38" s="350"/>
    </row>
    <row r="39">
      <c r="A39" s="248">
        <v>13302.0</v>
      </c>
      <c r="B39" s="248">
        <v>2.0</v>
      </c>
      <c r="C39" s="249" t="s">
        <v>55</v>
      </c>
      <c r="D39" s="347">
        <v>5876.0</v>
      </c>
      <c r="E39" s="348">
        <v>19.0</v>
      </c>
      <c r="F39" s="348">
        <v>44.0</v>
      </c>
      <c r="G39" s="141">
        <v>5939.0</v>
      </c>
    </row>
    <row r="40">
      <c r="A40" s="248">
        <v>13303.0</v>
      </c>
      <c r="B40" s="248">
        <v>3.0</v>
      </c>
      <c r="C40" s="249" t="s">
        <v>58</v>
      </c>
      <c r="D40" s="347">
        <v>7366.0</v>
      </c>
      <c r="E40" s="348">
        <v>11.0</v>
      </c>
      <c r="F40" s="349">
        <v>57.0</v>
      </c>
      <c r="G40" s="150">
        <v>7434.0</v>
      </c>
    </row>
    <row r="41">
      <c r="A41" s="248">
        <v>13304.0</v>
      </c>
      <c r="B41" s="248">
        <v>4.0</v>
      </c>
      <c r="C41" s="249" t="s">
        <v>59</v>
      </c>
      <c r="D41" s="347">
        <v>7297.0</v>
      </c>
      <c r="E41" s="348">
        <v>70.0</v>
      </c>
      <c r="F41" s="348">
        <v>61.0</v>
      </c>
      <c r="G41" s="150">
        <v>7428.0</v>
      </c>
      <c r="M41" s="339">
        <v>1193557.0</v>
      </c>
      <c r="N41" s="339">
        <v>932212.0</v>
      </c>
    </row>
    <row r="42">
      <c r="A42" s="256">
        <v>13305.0</v>
      </c>
      <c r="B42" s="256">
        <v>5.0</v>
      </c>
      <c r="C42" s="257" t="s">
        <v>60</v>
      </c>
      <c r="D42" s="347">
        <v>7311.0</v>
      </c>
      <c r="E42" s="348">
        <v>142.0</v>
      </c>
      <c r="F42" s="348">
        <v>47.0</v>
      </c>
      <c r="G42" s="156">
        <v>7500.0</v>
      </c>
    </row>
    <row r="43">
      <c r="A43" s="248">
        <v>14408.0</v>
      </c>
      <c r="B43" s="248">
        <v>6.0</v>
      </c>
      <c r="C43" s="249" t="s">
        <v>61</v>
      </c>
      <c r="D43" s="347">
        <v>716.0</v>
      </c>
      <c r="E43" s="348">
        <v>0.0</v>
      </c>
      <c r="F43" s="349">
        <v>4.0</v>
      </c>
      <c r="G43" s="141">
        <v>720.0</v>
      </c>
    </row>
    <row r="44">
      <c r="A44" s="248">
        <v>14410.0</v>
      </c>
      <c r="B44" s="248">
        <v>7.0</v>
      </c>
      <c r="C44" s="249" t="s">
        <v>62</v>
      </c>
      <c r="D44" s="347">
        <v>750.0</v>
      </c>
      <c r="E44" s="349">
        <v>0.0</v>
      </c>
      <c r="F44" s="349">
        <v>0.0</v>
      </c>
      <c r="G44" s="156">
        <v>750.0</v>
      </c>
    </row>
    <row r="45">
      <c r="A45" s="248">
        <v>14423.0</v>
      </c>
      <c r="B45" s="248">
        <v>8.0</v>
      </c>
      <c r="C45" s="249" t="s">
        <v>63</v>
      </c>
      <c r="D45" s="347">
        <v>739.0</v>
      </c>
      <c r="E45" s="348">
        <v>10.0</v>
      </c>
      <c r="F45" s="349">
        <v>1.0</v>
      </c>
      <c r="G45" s="156">
        <v>750.0</v>
      </c>
    </row>
    <row r="46">
      <c r="A46" s="256">
        <v>13959.0</v>
      </c>
      <c r="B46" s="256">
        <v>9.0</v>
      </c>
      <c r="C46" s="257" t="s">
        <v>64</v>
      </c>
      <c r="D46" s="347">
        <v>727.0</v>
      </c>
      <c r="E46" s="349">
        <v>22.0</v>
      </c>
      <c r="F46" s="349">
        <v>1.0</v>
      </c>
      <c r="G46" s="161">
        <v>750.0</v>
      </c>
    </row>
    <row r="47">
      <c r="A47" s="310">
        <v>15136.0</v>
      </c>
      <c r="B47" s="310">
        <v>11.0</v>
      </c>
      <c r="C47" s="249" t="s">
        <v>65</v>
      </c>
      <c r="D47" s="347">
        <v>1123.0</v>
      </c>
      <c r="E47" s="348">
        <v>0.0</v>
      </c>
      <c r="F47" s="349">
        <v>2.0</v>
      </c>
      <c r="G47" s="141">
        <v>1125.0</v>
      </c>
    </row>
    <row r="48">
      <c r="A48" s="248">
        <v>15139.0</v>
      </c>
      <c r="B48" s="248">
        <v>12.0</v>
      </c>
      <c r="C48" s="249" t="s">
        <v>66</v>
      </c>
      <c r="D48" s="347">
        <v>1261.0</v>
      </c>
      <c r="E48" s="348">
        <v>0.0</v>
      </c>
      <c r="F48" s="349">
        <v>5.0</v>
      </c>
      <c r="G48" s="141">
        <v>1266.0</v>
      </c>
    </row>
    <row r="49">
      <c r="A49" s="248">
        <v>15140.0</v>
      </c>
      <c r="B49" s="248">
        <v>13.0</v>
      </c>
      <c r="C49" s="249" t="s">
        <v>67</v>
      </c>
      <c r="D49" s="347">
        <v>889.0</v>
      </c>
      <c r="E49" s="348">
        <v>0.0</v>
      </c>
      <c r="F49" s="349">
        <v>8.0</v>
      </c>
      <c r="G49" s="150">
        <v>897.0</v>
      </c>
    </row>
    <row r="50">
      <c r="A50" s="248">
        <v>15141.0</v>
      </c>
      <c r="B50" s="248">
        <v>14.0</v>
      </c>
      <c r="C50" s="249" t="s">
        <v>68</v>
      </c>
      <c r="D50" s="347">
        <v>1139.0</v>
      </c>
      <c r="E50" s="348">
        <v>0.0</v>
      </c>
      <c r="F50" s="348">
        <v>2.0</v>
      </c>
      <c r="G50" s="150">
        <v>1141.0</v>
      </c>
    </row>
    <row r="51">
      <c r="A51" s="310">
        <v>15135.0</v>
      </c>
      <c r="B51" s="248">
        <v>15.0</v>
      </c>
      <c r="C51" s="249" t="s">
        <v>69</v>
      </c>
      <c r="D51" s="347">
        <v>1039.0</v>
      </c>
      <c r="E51" s="348">
        <v>0.0</v>
      </c>
      <c r="F51" s="349">
        <v>3.0</v>
      </c>
      <c r="G51" s="150">
        <v>1042.0</v>
      </c>
    </row>
    <row r="52">
      <c r="A52" s="248">
        <v>13318.0</v>
      </c>
      <c r="B52" s="248">
        <v>21.0</v>
      </c>
      <c r="C52" s="249" t="s">
        <v>70</v>
      </c>
      <c r="D52" s="347">
        <v>4469.0</v>
      </c>
      <c r="E52" s="348">
        <v>14.0</v>
      </c>
      <c r="F52" s="349">
        <v>8.0</v>
      </c>
      <c r="G52" s="141">
        <v>4491.0</v>
      </c>
    </row>
    <row r="53">
      <c r="A53" s="248">
        <v>13319.0</v>
      </c>
      <c r="B53" s="248">
        <v>22.0</v>
      </c>
      <c r="C53" s="249" t="s">
        <v>71</v>
      </c>
      <c r="D53" s="347">
        <v>3257.0</v>
      </c>
      <c r="E53" s="348">
        <v>2.0</v>
      </c>
      <c r="F53" s="349">
        <v>7.0</v>
      </c>
      <c r="G53" s="141">
        <v>3266.0</v>
      </c>
    </row>
    <row r="54">
      <c r="A54" s="248">
        <v>13320.0</v>
      </c>
      <c r="B54" s="248">
        <v>23.0</v>
      </c>
      <c r="C54" s="249" t="s">
        <v>72</v>
      </c>
      <c r="D54" s="347">
        <v>4919.0</v>
      </c>
      <c r="E54" s="348">
        <v>4.0</v>
      </c>
      <c r="F54" s="349">
        <v>5.0</v>
      </c>
      <c r="G54" s="150">
        <v>4928.0</v>
      </c>
    </row>
    <row r="55">
      <c r="A55" s="248">
        <v>13321.0</v>
      </c>
      <c r="B55" s="248">
        <v>24.0</v>
      </c>
      <c r="C55" s="249" t="s">
        <v>73</v>
      </c>
      <c r="D55" s="347">
        <v>6582.0</v>
      </c>
      <c r="E55" s="348">
        <v>15.0</v>
      </c>
      <c r="F55" s="349">
        <v>18.0</v>
      </c>
      <c r="G55" s="150">
        <v>6615.0</v>
      </c>
    </row>
    <row r="56">
      <c r="A56" s="256">
        <v>13322.0</v>
      </c>
      <c r="B56" s="256">
        <v>25.0</v>
      </c>
      <c r="C56" s="257" t="s">
        <v>74</v>
      </c>
      <c r="D56" s="347">
        <v>7440.0</v>
      </c>
      <c r="E56" s="348">
        <v>37.0</v>
      </c>
      <c r="F56" s="349">
        <v>23.0</v>
      </c>
      <c r="G56" s="161">
        <v>7500.0</v>
      </c>
    </row>
    <row r="57">
      <c r="A57" s="248">
        <v>14429.0</v>
      </c>
      <c r="B57" s="248">
        <v>26.0</v>
      </c>
      <c r="C57" s="249" t="s">
        <v>75</v>
      </c>
      <c r="D57" s="347">
        <v>653.0</v>
      </c>
      <c r="E57" s="349">
        <v>0.0</v>
      </c>
      <c r="F57" s="349">
        <v>0.0</v>
      </c>
      <c r="G57" s="150">
        <v>653.0</v>
      </c>
    </row>
    <row r="58">
      <c r="A58" s="248">
        <v>15143.0</v>
      </c>
      <c r="B58" s="248">
        <v>31.0</v>
      </c>
      <c r="C58" s="249" t="s">
        <v>76</v>
      </c>
      <c r="D58" s="347">
        <v>738.0</v>
      </c>
      <c r="E58" s="349">
        <v>0.0</v>
      </c>
      <c r="F58" s="349">
        <v>10.0</v>
      </c>
      <c r="G58" s="141">
        <v>748.0</v>
      </c>
    </row>
    <row r="59">
      <c r="A59" s="248">
        <v>15144.0</v>
      </c>
      <c r="B59" s="248">
        <v>32.0</v>
      </c>
      <c r="C59" s="249" t="s">
        <v>77</v>
      </c>
      <c r="D59" s="347">
        <v>495.0</v>
      </c>
      <c r="E59" s="349">
        <v>0.0</v>
      </c>
      <c r="F59" s="349">
        <v>1.0</v>
      </c>
      <c r="G59" s="141">
        <v>496.0</v>
      </c>
    </row>
    <row r="60">
      <c r="A60" s="248">
        <v>15145.0</v>
      </c>
      <c r="B60" s="248">
        <v>33.0</v>
      </c>
      <c r="C60" s="249" t="s">
        <v>78</v>
      </c>
      <c r="D60" s="347">
        <v>281.0</v>
      </c>
      <c r="E60" s="349">
        <v>0.0</v>
      </c>
      <c r="F60" s="349">
        <v>0.0</v>
      </c>
      <c r="G60" s="150">
        <v>281.0</v>
      </c>
    </row>
    <row r="61">
      <c r="A61" s="248">
        <v>15146.0</v>
      </c>
      <c r="B61" s="248">
        <v>34.0</v>
      </c>
      <c r="C61" s="249" t="s">
        <v>79</v>
      </c>
      <c r="D61" s="347">
        <v>157.0</v>
      </c>
      <c r="E61" s="349">
        <v>0.0</v>
      </c>
      <c r="F61" s="349">
        <v>0.0</v>
      </c>
      <c r="G61" s="150">
        <v>157.0</v>
      </c>
    </row>
    <row r="62">
      <c r="A62" s="310">
        <v>15142.0</v>
      </c>
      <c r="B62" s="248">
        <v>35.0</v>
      </c>
      <c r="C62" s="249" t="s">
        <v>80</v>
      </c>
      <c r="D62" s="347">
        <v>430.0</v>
      </c>
      <c r="E62" s="349">
        <v>0.0</v>
      </c>
      <c r="F62" s="349">
        <v>0.0</v>
      </c>
      <c r="G62" s="150">
        <v>430.0</v>
      </c>
    </row>
    <row r="63">
      <c r="A63" s="256">
        <v>13323.0</v>
      </c>
      <c r="B63" s="256">
        <v>41.0</v>
      </c>
      <c r="C63" s="257" t="s">
        <v>81</v>
      </c>
      <c r="D63" s="347">
        <v>7477.0</v>
      </c>
      <c r="E63" s="348">
        <v>21.0</v>
      </c>
      <c r="F63" s="349">
        <v>2.0</v>
      </c>
      <c r="G63" s="161">
        <v>7500.0</v>
      </c>
    </row>
    <row r="64">
      <c r="A64" s="256">
        <v>13324.0</v>
      </c>
      <c r="B64" s="256">
        <v>42.0</v>
      </c>
      <c r="C64" s="257" t="s">
        <v>82</v>
      </c>
      <c r="D64" s="347">
        <v>7467.0</v>
      </c>
      <c r="E64" s="348">
        <v>26.0</v>
      </c>
      <c r="F64" s="349">
        <v>7.0</v>
      </c>
      <c r="G64" s="161">
        <v>7500.0</v>
      </c>
    </row>
    <row r="65">
      <c r="A65" s="256">
        <v>13325.0</v>
      </c>
      <c r="B65" s="256">
        <v>43.0</v>
      </c>
      <c r="C65" s="257" t="s">
        <v>83</v>
      </c>
      <c r="D65" s="347">
        <v>7454.0</v>
      </c>
      <c r="E65" s="348">
        <v>46.0</v>
      </c>
      <c r="F65" s="349">
        <v>0.0</v>
      </c>
      <c r="G65" s="161">
        <v>7500.0</v>
      </c>
    </row>
    <row r="66">
      <c r="A66" s="256">
        <v>13326.0</v>
      </c>
      <c r="B66" s="256">
        <v>44.0</v>
      </c>
      <c r="C66" s="257" t="s">
        <v>84</v>
      </c>
      <c r="D66" s="347">
        <v>7452.0</v>
      </c>
      <c r="E66" s="348">
        <v>47.0</v>
      </c>
      <c r="F66" s="349">
        <v>1.0</v>
      </c>
      <c r="G66" s="161">
        <v>7500.0</v>
      </c>
    </row>
    <row r="67">
      <c r="A67" s="256">
        <v>13327.0</v>
      </c>
      <c r="B67" s="256">
        <v>45.0</v>
      </c>
      <c r="C67" s="257" t="s">
        <v>85</v>
      </c>
      <c r="D67" s="347">
        <v>7416.0</v>
      </c>
      <c r="E67" s="348">
        <v>83.0</v>
      </c>
      <c r="F67" s="349">
        <v>1.0</v>
      </c>
      <c r="G67" s="161">
        <v>7500.0</v>
      </c>
    </row>
    <row r="68">
      <c r="A68" s="248">
        <v>14106.0</v>
      </c>
      <c r="B68" s="248">
        <v>46.0</v>
      </c>
      <c r="C68" s="249" t="s">
        <v>86</v>
      </c>
      <c r="D68" s="347">
        <v>6536.0</v>
      </c>
      <c r="E68" s="348">
        <v>38.0</v>
      </c>
      <c r="F68" s="349">
        <v>24.0</v>
      </c>
      <c r="G68" s="141">
        <v>6598.0</v>
      </c>
    </row>
    <row r="69">
      <c r="A69" s="248">
        <v>14422.0</v>
      </c>
      <c r="B69" s="248">
        <v>47.0</v>
      </c>
      <c r="C69" s="249" t="s">
        <v>87</v>
      </c>
      <c r="D69" s="347">
        <v>4246.0</v>
      </c>
      <c r="E69" s="348">
        <v>7.0</v>
      </c>
      <c r="F69" s="349">
        <v>26.0</v>
      </c>
      <c r="G69" s="141">
        <v>4279.0</v>
      </c>
    </row>
    <row r="70">
      <c r="A70" s="248">
        <v>13960.0</v>
      </c>
      <c r="B70" s="248">
        <v>48.0</v>
      </c>
      <c r="C70" s="249" t="s">
        <v>88</v>
      </c>
      <c r="D70" s="347">
        <v>5301.0</v>
      </c>
      <c r="E70" s="348">
        <v>3.0</v>
      </c>
      <c r="F70" s="349">
        <v>48.0</v>
      </c>
      <c r="G70" s="150">
        <v>5352.0</v>
      </c>
    </row>
    <row r="71">
      <c r="A71" s="248">
        <v>13779.0</v>
      </c>
      <c r="B71" s="248">
        <v>49.0</v>
      </c>
      <c r="C71" s="249" t="s">
        <v>89</v>
      </c>
      <c r="D71" s="347">
        <v>4556.0</v>
      </c>
      <c r="E71" s="348">
        <v>3.0</v>
      </c>
      <c r="F71" s="349">
        <v>71.0</v>
      </c>
      <c r="G71" s="150">
        <v>4630.0</v>
      </c>
    </row>
    <row r="72">
      <c r="A72" s="248">
        <v>13543.0</v>
      </c>
      <c r="B72" s="248">
        <v>50.0</v>
      </c>
      <c r="C72" s="249" t="s">
        <v>90</v>
      </c>
      <c r="D72" s="347">
        <v>8226.0</v>
      </c>
      <c r="E72" s="348">
        <v>2.0</v>
      </c>
      <c r="F72" s="349">
        <v>87.0</v>
      </c>
      <c r="G72" s="150">
        <v>8315.0</v>
      </c>
    </row>
    <row r="73">
      <c r="A73" s="248">
        <v>13328.0</v>
      </c>
      <c r="B73" s="248">
        <v>61.0</v>
      </c>
      <c r="C73" s="249" t="s">
        <v>91</v>
      </c>
      <c r="D73" s="347">
        <v>7490.0</v>
      </c>
      <c r="E73" s="348">
        <v>3.0</v>
      </c>
      <c r="F73" s="348">
        <v>7.0</v>
      </c>
      <c r="G73" s="165">
        <v>7500.0</v>
      </c>
    </row>
    <row r="74">
      <c r="A74" s="248">
        <v>13329.0</v>
      </c>
      <c r="B74" s="248">
        <v>62.0</v>
      </c>
      <c r="C74" s="249" t="s">
        <v>92</v>
      </c>
      <c r="D74" s="347">
        <v>7472.0</v>
      </c>
      <c r="E74" s="348">
        <v>21.0</v>
      </c>
      <c r="F74" s="348">
        <v>7.0</v>
      </c>
      <c r="G74" s="141">
        <v>7500.0</v>
      </c>
    </row>
    <row r="75">
      <c r="A75" s="256">
        <v>13330.0</v>
      </c>
      <c r="B75" s="256">
        <v>63.0</v>
      </c>
      <c r="C75" s="257" t="s">
        <v>93</v>
      </c>
      <c r="D75" s="347">
        <v>7457.0</v>
      </c>
      <c r="E75" s="348">
        <v>29.0</v>
      </c>
      <c r="F75" s="349">
        <v>14.0</v>
      </c>
      <c r="G75" s="161">
        <v>7500.0</v>
      </c>
    </row>
    <row r="76">
      <c r="A76" s="256">
        <v>13331.0</v>
      </c>
      <c r="B76" s="256">
        <v>64.0</v>
      </c>
      <c r="C76" s="257" t="s">
        <v>94</v>
      </c>
      <c r="D76" s="347">
        <v>7458.0</v>
      </c>
      <c r="E76" s="348">
        <v>33.0</v>
      </c>
      <c r="F76" s="349">
        <v>9.0</v>
      </c>
      <c r="G76" s="161">
        <v>7500.0</v>
      </c>
    </row>
    <row r="77">
      <c r="A77" s="256">
        <v>13332.0</v>
      </c>
      <c r="B77" s="256">
        <v>65.0</v>
      </c>
      <c r="C77" s="257" t="s">
        <v>95</v>
      </c>
      <c r="D77" s="347">
        <v>7485.0</v>
      </c>
      <c r="E77" s="348">
        <v>15.0</v>
      </c>
      <c r="F77" s="349">
        <v>0.0</v>
      </c>
      <c r="G77" s="161">
        <v>7500.0</v>
      </c>
    </row>
    <row r="78">
      <c r="A78" s="248">
        <v>14417.0</v>
      </c>
      <c r="B78" s="248">
        <v>66.0</v>
      </c>
      <c r="C78" s="249" t="s">
        <v>96</v>
      </c>
      <c r="D78" s="347">
        <v>749.0</v>
      </c>
      <c r="E78" s="348">
        <v>0.0</v>
      </c>
      <c r="F78" s="349">
        <v>1.0</v>
      </c>
      <c r="G78" s="165">
        <v>750.0</v>
      </c>
    </row>
    <row r="79">
      <c r="A79" s="248">
        <v>14418.0</v>
      </c>
      <c r="B79" s="248">
        <v>67.0</v>
      </c>
      <c r="C79" s="249" t="s">
        <v>97</v>
      </c>
      <c r="D79" s="347">
        <v>731.0</v>
      </c>
      <c r="E79" s="348">
        <v>14.0</v>
      </c>
      <c r="F79" s="349">
        <v>5.0</v>
      </c>
      <c r="G79" s="165">
        <v>750.0</v>
      </c>
    </row>
    <row r="80">
      <c r="A80" s="256">
        <v>14104.0</v>
      </c>
      <c r="B80" s="256">
        <v>68.0</v>
      </c>
      <c r="C80" s="257" t="s">
        <v>98</v>
      </c>
      <c r="D80" s="347">
        <v>750.0</v>
      </c>
      <c r="E80" s="348">
        <v>0.0</v>
      </c>
      <c r="F80" s="349">
        <v>0.0</v>
      </c>
      <c r="G80" s="161">
        <v>750.0</v>
      </c>
    </row>
    <row r="81">
      <c r="A81" s="256">
        <v>14105.0</v>
      </c>
      <c r="B81" s="256">
        <v>69.0</v>
      </c>
      <c r="C81" s="257" t="s">
        <v>99</v>
      </c>
      <c r="D81" s="347">
        <v>746.0</v>
      </c>
      <c r="E81" s="348">
        <v>0.0</v>
      </c>
      <c r="F81" s="349">
        <v>4.0</v>
      </c>
      <c r="G81" s="161">
        <v>750.0</v>
      </c>
    </row>
    <row r="82">
      <c r="A82" s="256">
        <v>13788.0</v>
      </c>
      <c r="B82" s="256">
        <v>70.0</v>
      </c>
      <c r="C82" s="257" t="s">
        <v>100</v>
      </c>
      <c r="D82" s="347">
        <v>749.0</v>
      </c>
      <c r="E82" s="348">
        <v>1.0</v>
      </c>
      <c r="F82" s="349">
        <v>0.0</v>
      </c>
      <c r="G82" s="161">
        <v>750.0</v>
      </c>
    </row>
    <row r="83">
      <c r="A83" s="248">
        <v>15148.0</v>
      </c>
      <c r="B83" s="248">
        <v>71.0</v>
      </c>
      <c r="C83" s="249" t="s">
        <v>101</v>
      </c>
      <c r="D83" s="347">
        <v>3438.0</v>
      </c>
      <c r="E83" s="349">
        <v>9.0</v>
      </c>
      <c r="F83" s="349">
        <v>0.0</v>
      </c>
      <c r="G83" s="141">
        <v>3447.0</v>
      </c>
    </row>
    <row r="84">
      <c r="A84" s="248">
        <v>15149.0</v>
      </c>
      <c r="B84" s="248">
        <v>72.0</v>
      </c>
      <c r="C84" s="249" t="s">
        <v>102</v>
      </c>
      <c r="D84" s="347">
        <v>3382.0</v>
      </c>
      <c r="E84" s="349">
        <v>1.0</v>
      </c>
      <c r="F84" s="349">
        <v>3.0</v>
      </c>
      <c r="G84" s="141">
        <v>3386.0</v>
      </c>
    </row>
    <row r="85">
      <c r="A85" s="248">
        <v>15150.0</v>
      </c>
      <c r="B85" s="248">
        <v>73.0</v>
      </c>
      <c r="C85" s="249" t="s">
        <v>103</v>
      </c>
      <c r="D85" s="347">
        <v>1384.0</v>
      </c>
      <c r="E85" s="349">
        <v>0.0</v>
      </c>
      <c r="F85" s="349">
        <v>0.0</v>
      </c>
      <c r="G85" s="150">
        <v>1384.0</v>
      </c>
    </row>
    <row r="86">
      <c r="A86" s="248">
        <v>15151.0</v>
      </c>
      <c r="B86" s="248">
        <v>74.0</v>
      </c>
      <c r="C86" s="249" t="s">
        <v>104</v>
      </c>
      <c r="D86" s="347">
        <v>1710.0</v>
      </c>
      <c r="E86" s="349">
        <v>1.0</v>
      </c>
      <c r="F86" s="349">
        <v>0.0</v>
      </c>
      <c r="G86" s="150">
        <v>1711.0</v>
      </c>
    </row>
    <row r="87">
      <c r="A87" s="310">
        <v>15147.0</v>
      </c>
      <c r="B87" s="248">
        <v>75.0</v>
      </c>
      <c r="C87" s="249" t="s">
        <v>105</v>
      </c>
      <c r="D87" s="347">
        <v>1421.0</v>
      </c>
      <c r="E87" s="349">
        <v>4.0</v>
      </c>
      <c r="F87" s="349">
        <v>0.0</v>
      </c>
      <c r="G87" s="150">
        <v>1425.0</v>
      </c>
    </row>
    <row r="88">
      <c r="A88" s="248">
        <v>13333.0</v>
      </c>
      <c r="B88" s="248">
        <v>81.0</v>
      </c>
      <c r="C88" s="249" t="s">
        <v>106</v>
      </c>
      <c r="D88" s="347">
        <v>746.0</v>
      </c>
      <c r="E88" s="349">
        <v>3.0</v>
      </c>
      <c r="F88" s="349">
        <v>0.0</v>
      </c>
      <c r="G88" s="141">
        <v>749.0</v>
      </c>
    </row>
    <row r="89">
      <c r="A89" s="248">
        <v>13334.0</v>
      </c>
      <c r="B89" s="248">
        <v>82.0</v>
      </c>
      <c r="C89" s="249" t="s">
        <v>107</v>
      </c>
      <c r="D89" s="347">
        <v>450.0</v>
      </c>
      <c r="E89" s="349">
        <v>0.0</v>
      </c>
      <c r="F89" s="349">
        <v>0.0</v>
      </c>
      <c r="G89" s="141">
        <v>450.0</v>
      </c>
    </row>
    <row r="90">
      <c r="A90" s="248">
        <v>13335.0</v>
      </c>
      <c r="B90" s="248">
        <v>83.0</v>
      </c>
      <c r="C90" s="249" t="s">
        <v>108</v>
      </c>
      <c r="D90" s="347">
        <v>558.0</v>
      </c>
      <c r="E90" s="349">
        <v>0.0</v>
      </c>
      <c r="F90" s="349">
        <v>1.0</v>
      </c>
      <c r="G90" s="141">
        <v>559.0</v>
      </c>
    </row>
    <row r="91">
      <c r="A91" s="248">
        <v>13336.0</v>
      </c>
      <c r="B91" s="248">
        <v>84.0</v>
      </c>
      <c r="C91" s="249" t="s">
        <v>109</v>
      </c>
      <c r="D91" s="347">
        <v>748.0</v>
      </c>
      <c r="E91" s="349">
        <v>0.0</v>
      </c>
      <c r="F91" s="349">
        <v>0.0</v>
      </c>
      <c r="G91" s="141">
        <v>748.0</v>
      </c>
    </row>
    <row r="92">
      <c r="A92" s="248">
        <v>13337.0</v>
      </c>
      <c r="B92" s="248">
        <v>85.0</v>
      </c>
      <c r="C92" s="249" t="s">
        <v>110</v>
      </c>
      <c r="D92" s="347">
        <v>2224.0</v>
      </c>
      <c r="E92" s="349">
        <v>2.0</v>
      </c>
      <c r="F92" s="349">
        <v>1.0</v>
      </c>
      <c r="G92" s="150">
        <v>2227.0</v>
      </c>
    </row>
    <row r="93">
      <c r="A93" s="256">
        <v>13338.0</v>
      </c>
      <c r="B93" s="256">
        <v>91.0</v>
      </c>
      <c r="C93" s="257" t="s">
        <v>111</v>
      </c>
      <c r="D93" s="347">
        <v>7260.0</v>
      </c>
      <c r="E93" s="348">
        <v>123.0</v>
      </c>
      <c r="F93" s="349">
        <v>117.0</v>
      </c>
      <c r="G93" s="161">
        <v>7500.0</v>
      </c>
    </row>
    <row r="94">
      <c r="A94" s="256">
        <v>13339.0</v>
      </c>
      <c r="B94" s="256">
        <v>92.0</v>
      </c>
      <c r="C94" s="257" t="s">
        <v>112</v>
      </c>
      <c r="D94" s="347">
        <v>7184.0</v>
      </c>
      <c r="E94" s="348">
        <v>148.0</v>
      </c>
      <c r="F94" s="348">
        <v>168.0</v>
      </c>
      <c r="G94" s="161">
        <v>7500.0</v>
      </c>
    </row>
    <row r="95">
      <c r="A95" s="256">
        <v>13437.0</v>
      </c>
      <c r="B95" s="256">
        <v>93.0</v>
      </c>
      <c r="C95" s="257" t="s">
        <v>113</v>
      </c>
      <c r="D95" s="347">
        <v>7423.0</v>
      </c>
      <c r="E95" s="348">
        <v>48.0</v>
      </c>
      <c r="F95" s="349">
        <v>29.0</v>
      </c>
      <c r="G95" s="161">
        <v>7500.0</v>
      </c>
    </row>
    <row r="96">
      <c r="A96" s="256">
        <v>13341.0</v>
      </c>
      <c r="B96" s="256">
        <v>94.0</v>
      </c>
      <c r="C96" s="257" t="s">
        <v>114</v>
      </c>
      <c r="D96" s="347">
        <v>7430.0</v>
      </c>
      <c r="E96" s="348">
        <v>19.0</v>
      </c>
      <c r="F96" s="348">
        <v>51.0</v>
      </c>
      <c r="G96" s="161">
        <v>7500.0</v>
      </c>
    </row>
    <row r="97">
      <c r="A97" s="256">
        <v>13342.0</v>
      </c>
      <c r="B97" s="256">
        <v>95.0</v>
      </c>
      <c r="C97" s="257" t="s">
        <v>115</v>
      </c>
      <c r="D97" s="347">
        <v>7493.0</v>
      </c>
      <c r="E97" s="348">
        <v>7.0</v>
      </c>
      <c r="F97" s="348">
        <v>0.0</v>
      </c>
      <c r="G97" s="161">
        <v>7500.0</v>
      </c>
    </row>
    <row r="98">
      <c r="A98" s="248">
        <v>14405.0</v>
      </c>
      <c r="B98" s="248">
        <v>96.0</v>
      </c>
      <c r="C98" s="249" t="s">
        <v>116</v>
      </c>
      <c r="D98" s="347">
        <v>2620.0</v>
      </c>
      <c r="E98" s="348">
        <v>0.0</v>
      </c>
      <c r="F98" s="349">
        <v>18.0</v>
      </c>
      <c r="G98" s="141">
        <v>2638.0</v>
      </c>
    </row>
    <row r="99">
      <c r="A99" s="248">
        <v>14406.0</v>
      </c>
      <c r="B99" s="248">
        <v>97.0</v>
      </c>
      <c r="C99" s="249" t="s">
        <v>117</v>
      </c>
      <c r="D99" s="347">
        <v>2555.0</v>
      </c>
      <c r="E99" s="348">
        <v>4.0</v>
      </c>
      <c r="F99" s="348">
        <v>9.0</v>
      </c>
      <c r="G99" s="141">
        <v>2568.0</v>
      </c>
    </row>
    <row r="100">
      <c r="A100" s="248">
        <v>13780.0</v>
      </c>
      <c r="B100" s="248">
        <v>98.0</v>
      </c>
      <c r="C100" s="249" t="s">
        <v>118</v>
      </c>
      <c r="D100" s="347">
        <v>6200.0</v>
      </c>
      <c r="E100" s="348">
        <v>7.0</v>
      </c>
      <c r="F100" s="349">
        <v>56.0</v>
      </c>
      <c r="G100" s="150">
        <v>6263.0</v>
      </c>
    </row>
    <row r="101">
      <c r="A101" s="248">
        <v>14407.0</v>
      </c>
      <c r="B101" s="248">
        <v>99.0</v>
      </c>
      <c r="C101" s="249" t="s">
        <v>119</v>
      </c>
      <c r="D101" s="347">
        <v>5166.0</v>
      </c>
      <c r="E101" s="348">
        <v>18.0</v>
      </c>
      <c r="F101" s="349">
        <v>52.0</v>
      </c>
      <c r="G101" s="150">
        <v>5236.0</v>
      </c>
    </row>
    <row r="102">
      <c r="A102" s="248">
        <v>13792.0</v>
      </c>
      <c r="B102" s="248">
        <v>100.0</v>
      </c>
      <c r="C102" s="249" t="s">
        <v>120</v>
      </c>
      <c r="D102" s="347">
        <v>9594.0</v>
      </c>
      <c r="E102" s="348">
        <v>115.0</v>
      </c>
      <c r="F102" s="349">
        <v>98.0</v>
      </c>
      <c r="G102" s="150">
        <v>9807.0</v>
      </c>
    </row>
  </sheetData>
  <mergeCells count="22">
    <mergeCell ref="A4:A8"/>
    <mergeCell ref="A9:B9"/>
    <mergeCell ref="A14:B16"/>
    <mergeCell ref="A17:A31"/>
    <mergeCell ref="A32:B32"/>
    <mergeCell ref="A1:B3"/>
    <mergeCell ref="C1:N1"/>
    <mergeCell ref="O1:P2"/>
    <mergeCell ref="C2:D2"/>
    <mergeCell ref="E2:F2"/>
    <mergeCell ref="G2:H2"/>
    <mergeCell ref="I2:J2"/>
    <mergeCell ref="I15:J15"/>
    <mergeCell ref="K15:L15"/>
    <mergeCell ref="K2:L2"/>
    <mergeCell ref="M2:N2"/>
    <mergeCell ref="C14:N14"/>
    <mergeCell ref="O14:P15"/>
    <mergeCell ref="C15:D15"/>
    <mergeCell ref="E15:F15"/>
    <mergeCell ref="G15:H15"/>
    <mergeCell ref="M15:N15"/>
  </mergeCells>
  <conditionalFormatting sqref="D4:D9 F4:F9 H4:H9 J4:J9 L4:L9 N4:N9 P4:P9 D17:D32 F17:F21 H17:H32 J17:J26 L17:L21 N17:N26 P17:P32 L26:L32 F32 J32 N32">
    <cfRule type="cellIs" dxfId="3" priority="1" operator="lessThanOrEqual">
      <formula>"20%"</formula>
    </cfRule>
  </conditionalFormatting>
  <conditionalFormatting sqref="D4:D9 F4:F9 H4:H9 J4:J9 L4:L9 N4:N9 P4:P9 D17:D32 F17:F21 H17:H32 J17:J26 L17:L21 N17:N26 P17:P32 L26:L32 F32 J32 N32">
    <cfRule type="cellIs" dxfId="2" priority="2" operator="greaterThanOrEqual">
      <formula>"80%"</formula>
    </cfRule>
  </conditionalFormatting>
  <conditionalFormatting sqref="D4:D9 F4:F9 H4:H9 J4:J9 L4:L9 N4:N9 P4:P9 D17:D32 F17:F21 H17:H32 J17:J26 L17:L21 N17:N26 P17:P32 L26:L32 F32 J32 N32">
    <cfRule type="cellIs" dxfId="4" priority="3" operator="between">
      <formula>"20%"</formula>
      <formula>"80%"</formula>
    </cfRule>
  </conditionalFormatting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</cols>
  <sheetData>
    <row r="1">
      <c r="A1" s="50" t="s">
        <v>152</v>
      </c>
      <c r="B1" s="51"/>
      <c r="C1" s="313" t="s">
        <v>26</v>
      </c>
      <c r="D1" s="5"/>
      <c r="E1" s="5"/>
      <c r="F1" s="5"/>
      <c r="G1" s="5"/>
      <c r="H1" s="5"/>
      <c r="I1" s="5"/>
      <c r="J1" s="5"/>
      <c r="K1" s="5"/>
      <c r="L1" s="5"/>
      <c r="M1" s="5"/>
      <c r="N1" s="6"/>
      <c r="O1" s="314" t="s">
        <v>19</v>
      </c>
      <c r="P1" s="169"/>
    </row>
    <row r="2">
      <c r="A2" s="55"/>
      <c r="B2" s="56"/>
      <c r="C2" s="313" t="s">
        <v>13</v>
      </c>
      <c r="D2" s="6"/>
      <c r="E2" s="313" t="s">
        <v>14</v>
      </c>
      <c r="F2" s="6"/>
      <c r="G2" s="313" t="s">
        <v>15</v>
      </c>
      <c r="H2" s="6"/>
      <c r="I2" s="313" t="s">
        <v>16</v>
      </c>
      <c r="J2" s="6"/>
      <c r="K2" s="313" t="s">
        <v>17</v>
      </c>
      <c r="L2" s="6"/>
      <c r="M2" s="313" t="s">
        <v>18</v>
      </c>
      <c r="N2" s="6"/>
      <c r="O2" s="176"/>
      <c r="P2" s="177"/>
    </row>
    <row r="3">
      <c r="A3" s="61"/>
      <c r="B3" s="62"/>
      <c r="C3" s="315" t="s">
        <v>141</v>
      </c>
      <c r="D3" s="316" t="s">
        <v>28</v>
      </c>
      <c r="E3" s="315" t="s">
        <v>141</v>
      </c>
      <c r="F3" s="316" t="s">
        <v>28</v>
      </c>
      <c r="G3" s="315" t="s">
        <v>141</v>
      </c>
      <c r="H3" s="316" t="s">
        <v>28</v>
      </c>
      <c r="I3" s="315" t="s">
        <v>141</v>
      </c>
      <c r="J3" s="316" t="s">
        <v>28</v>
      </c>
      <c r="K3" s="315" t="s">
        <v>141</v>
      </c>
      <c r="L3" s="316" t="s">
        <v>28</v>
      </c>
      <c r="M3" s="315" t="s">
        <v>141</v>
      </c>
      <c r="N3" s="316" t="s">
        <v>28</v>
      </c>
      <c r="O3" s="315" t="s">
        <v>141</v>
      </c>
      <c r="P3" s="316" t="s">
        <v>28</v>
      </c>
    </row>
    <row r="4">
      <c r="A4" s="317" t="s">
        <v>48</v>
      </c>
      <c r="B4" s="318" t="s">
        <v>30</v>
      </c>
      <c r="C4" s="319">
        <f t="shared" ref="C4:C8" si="1">C17+C22+C27</f>
        <v>2550</v>
      </c>
      <c r="D4" s="291">
        <f>C4/sum(G38,G43,G47)</f>
        <v>0.2830817052</v>
      </c>
      <c r="E4" s="319">
        <f t="shared" ref="E4:E8" si="2">E17+E22+E27</f>
        <v>0</v>
      </c>
      <c r="F4" s="291">
        <f t="shared" ref="F4:F8" si="3">E4/G88</f>
        <v>0</v>
      </c>
      <c r="G4" s="319">
        <f t="shared" ref="G4:G8" si="4">G17+G22+G27</f>
        <v>5746</v>
      </c>
      <c r="H4" s="291">
        <f t="shared" ref="H4:H8" si="5">G4/sum(G73,G78,G83)</f>
        <v>0.4912370693</v>
      </c>
      <c r="I4" s="319">
        <f t="shared" ref="I4:I8" si="6">I17+I22+I27</f>
        <v>6959</v>
      </c>
      <c r="J4" s="291">
        <f t="shared" ref="J4:J8" si="7">I4/sum(G63,G68)</f>
        <v>0.4936161158</v>
      </c>
      <c r="K4" s="319">
        <f t="shared" ref="K4:K8" si="8">K17+K22+K27</f>
        <v>930</v>
      </c>
      <c r="L4" s="291">
        <f t="shared" ref="L4:L7" si="9">K4/sum(G52,G58)</f>
        <v>0.1775147929</v>
      </c>
      <c r="M4" s="319">
        <f t="shared" ref="M4:M8" si="10">M17+M22+M27</f>
        <v>2975</v>
      </c>
      <c r="N4" s="291">
        <f t="shared" ref="N4:N8" si="11">M4/sum(G93,G98)</f>
        <v>0.2934503847</v>
      </c>
      <c r="O4" s="319">
        <f t="shared" ref="O4:O8" si="12">O17+O22+O27</f>
        <v>19160</v>
      </c>
      <c r="P4" s="291">
        <f>O4/50929</f>
        <v>0.3762100179</v>
      </c>
    </row>
    <row r="5">
      <c r="A5" s="191"/>
      <c r="B5" s="318" t="s">
        <v>31</v>
      </c>
      <c r="C5" s="319">
        <f t="shared" si="1"/>
        <v>0</v>
      </c>
      <c r="D5" s="291">
        <f>C5/sum(G39,G48)</f>
        <v>0</v>
      </c>
      <c r="E5" s="319">
        <f t="shared" si="2"/>
        <v>75</v>
      </c>
      <c r="F5" s="291">
        <f t="shared" si="3"/>
        <v>0.1666666667</v>
      </c>
      <c r="G5" s="319">
        <f t="shared" si="4"/>
        <v>4446</v>
      </c>
      <c r="H5" s="291">
        <f t="shared" si="5"/>
        <v>0.3820900653</v>
      </c>
      <c r="I5" s="319">
        <f t="shared" si="6"/>
        <v>5201</v>
      </c>
      <c r="J5" s="291">
        <f t="shared" si="7"/>
        <v>0.4415485185</v>
      </c>
      <c r="K5" s="319">
        <f t="shared" si="8"/>
        <v>809</v>
      </c>
      <c r="L5" s="291">
        <f t="shared" si="9"/>
        <v>0.2150451887</v>
      </c>
      <c r="M5" s="319">
        <f t="shared" si="10"/>
        <v>2803</v>
      </c>
      <c r="N5" s="291">
        <f t="shared" si="11"/>
        <v>0.2784068335</v>
      </c>
      <c r="O5" s="319">
        <f t="shared" si="12"/>
        <v>13334</v>
      </c>
      <c r="P5" s="291">
        <f>O5/44900</f>
        <v>0.2969710468</v>
      </c>
    </row>
    <row r="6">
      <c r="A6" s="191"/>
      <c r="B6" s="318" t="s">
        <v>32</v>
      </c>
      <c r="C6" s="319">
        <f t="shared" si="1"/>
        <v>3280</v>
      </c>
      <c r="D6" s="291">
        <f t="shared" ref="D6:D8" si="13">C6/sum(G40,G44,G49)</f>
        <v>0.3611937011</v>
      </c>
      <c r="E6" s="319">
        <f t="shared" si="2"/>
        <v>74</v>
      </c>
      <c r="F6" s="291">
        <f t="shared" si="3"/>
        <v>0.1323792487</v>
      </c>
      <c r="G6" s="319">
        <f t="shared" si="4"/>
        <v>7026</v>
      </c>
      <c r="H6" s="291">
        <f t="shared" si="5"/>
        <v>0.7292920905</v>
      </c>
      <c r="I6" s="319">
        <f t="shared" si="6"/>
        <v>8099</v>
      </c>
      <c r="J6" s="291">
        <f t="shared" si="7"/>
        <v>0.6301742919</v>
      </c>
      <c r="K6" s="319">
        <f t="shared" si="8"/>
        <v>1140</v>
      </c>
      <c r="L6" s="291">
        <f t="shared" si="9"/>
        <v>0.2188519869</v>
      </c>
      <c r="M6" s="319">
        <f t="shared" si="10"/>
        <v>8221</v>
      </c>
      <c r="N6" s="291">
        <f t="shared" si="11"/>
        <v>0.5973261644</v>
      </c>
      <c r="O6" s="319">
        <f t="shared" si="12"/>
        <v>27840</v>
      </c>
      <c r="P6" s="291">
        <f>O6/51098</f>
        <v>0.5448354143</v>
      </c>
    </row>
    <row r="7">
      <c r="A7" s="191"/>
      <c r="B7" s="318" t="s">
        <v>33</v>
      </c>
      <c r="C7" s="319">
        <f t="shared" si="1"/>
        <v>0</v>
      </c>
      <c r="D7" s="291">
        <f t="shared" si="13"/>
        <v>0</v>
      </c>
      <c r="E7" s="319">
        <f t="shared" si="2"/>
        <v>75</v>
      </c>
      <c r="F7" s="291">
        <f t="shared" si="3"/>
        <v>0.1002673797</v>
      </c>
      <c r="G7" s="319">
        <f t="shared" si="4"/>
        <v>7500</v>
      </c>
      <c r="H7" s="291">
        <f t="shared" si="5"/>
        <v>0.7529364522</v>
      </c>
      <c r="I7" s="319">
        <f t="shared" si="6"/>
        <v>8533</v>
      </c>
      <c r="J7" s="291">
        <f t="shared" si="7"/>
        <v>0.7034624897</v>
      </c>
      <c r="K7" s="319">
        <f t="shared" si="8"/>
        <v>1389</v>
      </c>
      <c r="L7" s="291">
        <f t="shared" si="9"/>
        <v>0.2051092735</v>
      </c>
      <c r="M7" s="319">
        <f t="shared" si="10"/>
        <v>4227</v>
      </c>
      <c r="N7" s="291">
        <f t="shared" si="11"/>
        <v>0.3318938442</v>
      </c>
      <c r="O7" s="319">
        <f t="shared" si="12"/>
        <v>21724</v>
      </c>
      <c r="P7" s="291">
        <f>O7/51666</f>
        <v>0.4204699415</v>
      </c>
    </row>
    <row r="8">
      <c r="A8" s="195"/>
      <c r="B8" s="318" t="s">
        <v>34</v>
      </c>
      <c r="C8" s="319">
        <f t="shared" si="1"/>
        <v>750</v>
      </c>
      <c r="D8" s="291">
        <f t="shared" si="13"/>
        <v>0.0807145932</v>
      </c>
      <c r="E8" s="319">
        <f t="shared" si="2"/>
        <v>600</v>
      </c>
      <c r="F8" s="291">
        <f t="shared" si="3"/>
        <v>0.2694207454</v>
      </c>
      <c r="G8" s="319">
        <f t="shared" si="4"/>
        <v>7500</v>
      </c>
      <c r="H8" s="291">
        <f t="shared" si="5"/>
        <v>0.7751937984</v>
      </c>
      <c r="I8" s="319">
        <f t="shared" si="6"/>
        <v>9610</v>
      </c>
      <c r="J8" s="291">
        <f t="shared" si="7"/>
        <v>0.6076509643</v>
      </c>
      <c r="K8" s="319">
        <f t="shared" si="8"/>
        <v>3131</v>
      </c>
      <c r="L8" s="291">
        <f>K8/sum(G56,G62,G57)</f>
        <v>0.3647908657</v>
      </c>
      <c r="M8" s="319">
        <f t="shared" si="10"/>
        <v>8517</v>
      </c>
      <c r="N8" s="291">
        <f t="shared" si="11"/>
        <v>0.4921130179</v>
      </c>
      <c r="O8" s="319">
        <f t="shared" si="12"/>
        <v>30108</v>
      </c>
      <c r="P8" s="291">
        <f>O8/62899</f>
        <v>0.478672157</v>
      </c>
    </row>
    <row r="9">
      <c r="A9" s="320" t="s">
        <v>19</v>
      </c>
      <c r="B9" s="6"/>
      <c r="C9" s="319">
        <f>sum(C4:C8)</f>
        <v>6580</v>
      </c>
      <c r="D9" s="291">
        <f>C9/43905</f>
        <v>0.1498690354</v>
      </c>
      <c r="E9" s="319">
        <f>sum(E4:E8)</f>
        <v>824</v>
      </c>
      <c r="F9" s="291">
        <f>E9/4733</f>
        <v>0.1740967674</v>
      </c>
      <c r="G9" s="319">
        <f>sum(G4:G8)</f>
        <v>32218</v>
      </c>
      <c r="H9" s="291">
        <f>G9/52603</f>
        <v>0.6124745737</v>
      </c>
      <c r="I9" s="319">
        <f>sum(I4:I8)</f>
        <v>38402</v>
      </c>
      <c r="J9" s="291">
        <f>I9/66674</f>
        <v>0.5759666437</v>
      </c>
      <c r="K9" s="319">
        <f>sum(K4:K8)</f>
        <v>7399</v>
      </c>
      <c r="L9" s="291">
        <f>K9/29565</f>
        <v>0.2502621343</v>
      </c>
      <c r="M9" s="319">
        <f>sum(M4:M8)</f>
        <v>26743</v>
      </c>
      <c r="N9" s="291">
        <f>M9/64012</f>
        <v>0.4177810411</v>
      </c>
      <c r="O9" s="319">
        <f>sum(O4:O8)</f>
        <v>112166</v>
      </c>
      <c r="P9" s="291">
        <f>O9/261492</f>
        <v>0.428946201</v>
      </c>
    </row>
    <row r="11">
      <c r="P11" s="261"/>
    </row>
    <row r="12">
      <c r="A12" s="321"/>
      <c r="B12" s="322"/>
    </row>
    <row r="13">
      <c r="A13" s="243"/>
      <c r="B13" s="323"/>
    </row>
    <row r="14">
      <c r="A14" s="50" t="s">
        <v>152</v>
      </c>
      <c r="B14" s="51"/>
      <c r="C14" s="170" t="s">
        <v>26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6"/>
      <c r="O14" s="324" t="s">
        <v>19</v>
      </c>
      <c r="P14" s="169"/>
    </row>
    <row r="15">
      <c r="A15" s="55"/>
      <c r="B15" s="56"/>
      <c r="C15" s="170" t="s">
        <v>13</v>
      </c>
      <c r="D15" s="6"/>
      <c r="E15" s="170" t="s">
        <v>14</v>
      </c>
      <c r="F15" s="6"/>
      <c r="G15" s="170" t="s">
        <v>15</v>
      </c>
      <c r="H15" s="6"/>
      <c r="I15" s="170" t="s">
        <v>16</v>
      </c>
      <c r="J15" s="6"/>
      <c r="K15" s="170" t="s">
        <v>17</v>
      </c>
      <c r="L15" s="6"/>
      <c r="M15" s="170" t="s">
        <v>18</v>
      </c>
      <c r="N15" s="6"/>
      <c r="O15" s="176"/>
      <c r="P15" s="177"/>
    </row>
    <row r="16">
      <c r="A16" s="61"/>
      <c r="B16" s="62"/>
      <c r="C16" s="315" t="s">
        <v>141</v>
      </c>
      <c r="D16" s="178" t="s">
        <v>28</v>
      </c>
      <c r="E16" s="315" t="s">
        <v>141</v>
      </c>
      <c r="F16" s="178" t="s">
        <v>28</v>
      </c>
      <c r="G16" s="315" t="s">
        <v>141</v>
      </c>
      <c r="H16" s="178" t="s">
        <v>28</v>
      </c>
      <c r="I16" s="315" t="s">
        <v>141</v>
      </c>
      <c r="J16" s="178" t="s">
        <v>28</v>
      </c>
      <c r="K16" s="315" t="s">
        <v>141</v>
      </c>
      <c r="L16" s="178" t="s">
        <v>28</v>
      </c>
      <c r="M16" s="315" t="s">
        <v>141</v>
      </c>
      <c r="N16" s="178" t="s">
        <v>28</v>
      </c>
      <c r="O16" s="315" t="s">
        <v>141</v>
      </c>
      <c r="P16" s="178" t="s">
        <v>28</v>
      </c>
    </row>
    <row r="17">
      <c r="A17" s="181" t="s">
        <v>29</v>
      </c>
      <c r="B17" s="74" t="s">
        <v>30</v>
      </c>
      <c r="C17" s="325">
        <f t="shared" ref="C17:C22" si="14">D38</f>
        <v>2550</v>
      </c>
      <c r="D17" s="291">
        <f t="shared" ref="D17:D22" si="15">C17/G38</f>
        <v>0.355996091</v>
      </c>
      <c r="E17" s="325" t="str">
        <f t="shared" ref="E17:E21" si="16">D88</f>
        <v/>
      </c>
      <c r="F17" s="291">
        <f t="shared" ref="F17:F21" si="17">E17/G88</f>
        <v>0</v>
      </c>
      <c r="G17" s="325">
        <f t="shared" ref="G17:G22" si="18">D73</f>
        <v>4997</v>
      </c>
      <c r="H17" s="291">
        <f t="shared" ref="H17:H31" si="19">G17/G73</f>
        <v>0.6662666667</v>
      </c>
      <c r="I17" s="325">
        <f t="shared" ref="I17:I26" si="20">D63</f>
        <v>6959</v>
      </c>
      <c r="J17" s="291">
        <f t="shared" ref="J17:J26" si="21">I17/G63</f>
        <v>0.9278666667</v>
      </c>
      <c r="K17" s="325">
        <f t="shared" ref="K17:K21" si="22">D52</f>
        <v>930</v>
      </c>
      <c r="L17" s="291">
        <f t="shared" ref="L17:L21" si="23">K17/G52</f>
        <v>0.2070808283</v>
      </c>
      <c r="M17" s="325">
        <f t="shared" ref="M17:M26" si="24">D93</f>
        <v>2975</v>
      </c>
      <c r="N17" s="291">
        <f t="shared" ref="N17:N26" si="25">M17/G93</f>
        <v>0.3966666667</v>
      </c>
      <c r="O17" s="325">
        <f t="shared" ref="O17:O31" si="26">sum(C17,E17,G17,I17,K17,M17)</f>
        <v>18411</v>
      </c>
      <c r="P17" s="291">
        <f t="shared" ref="P17:P21" si="27">O17/ sum(G38,G52,G63,G73,G88,G93)</f>
        <v>0.5274904736</v>
      </c>
    </row>
    <row r="18">
      <c r="A18" s="191"/>
      <c r="B18" s="74" t="s">
        <v>31</v>
      </c>
      <c r="C18" s="325" t="str">
        <f t="shared" si="14"/>
        <v/>
      </c>
      <c r="D18" s="291">
        <f t="shared" si="15"/>
        <v>0</v>
      </c>
      <c r="E18" s="325">
        <f t="shared" si="16"/>
        <v>75</v>
      </c>
      <c r="F18" s="291">
        <f t="shared" si="17"/>
        <v>0.1666666667</v>
      </c>
      <c r="G18" s="325">
        <f t="shared" si="18"/>
        <v>4446</v>
      </c>
      <c r="H18" s="291">
        <f t="shared" si="19"/>
        <v>0.5928</v>
      </c>
      <c r="I18" s="325">
        <f t="shared" si="20"/>
        <v>5201</v>
      </c>
      <c r="J18" s="291">
        <f t="shared" si="21"/>
        <v>0.6934666667</v>
      </c>
      <c r="K18" s="325">
        <f t="shared" si="22"/>
        <v>809</v>
      </c>
      <c r="L18" s="291">
        <f t="shared" si="23"/>
        <v>0.247703613</v>
      </c>
      <c r="M18" s="325">
        <f t="shared" si="24"/>
        <v>2803</v>
      </c>
      <c r="N18" s="291">
        <f t="shared" si="25"/>
        <v>0.3737333333</v>
      </c>
      <c r="O18" s="325">
        <f t="shared" si="26"/>
        <v>13334</v>
      </c>
      <c r="P18" s="291">
        <f t="shared" si="27"/>
        <v>0.4146788991</v>
      </c>
    </row>
    <row r="19">
      <c r="A19" s="191"/>
      <c r="B19" s="74" t="s">
        <v>32</v>
      </c>
      <c r="C19" s="325">
        <f t="shared" si="14"/>
        <v>3280</v>
      </c>
      <c r="D19" s="291">
        <f t="shared" si="15"/>
        <v>0.4412160344</v>
      </c>
      <c r="E19" s="325">
        <f t="shared" si="16"/>
        <v>74</v>
      </c>
      <c r="F19" s="291">
        <f t="shared" si="17"/>
        <v>0.1323792487</v>
      </c>
      <c r="G19" s="325">
        <f t="shared" si="18"/>
        <v>7026</v>
      </c>
      <c r="H19" s="291">
        <f t="shared" si="19"/>
        <v>0.9368</v>
      </c>
      <c r="I19" s="325">
        <f t="shared" si="20"/>
        <v>7500</v>
      </c>
      <c r="J19" s="291">
        <f t="shared" si="21"/>
        <v>1</v>
      </c>
      <c r="K19" s="325">
        <f t="shared" si="22"/>
        <v>1140</v>
      </c>
      <c r="L19" s="291">
        <f t="shared" si="23"/>
        <v>0.2313311688</v>
      </c>
      <c r="M19" s="325">
        <f t="shared" si="24"/>
        <v>7467</v>
      </c>
      <c r="N19" s="291">
        <f t="shared" si="25"/>
        <v>0.9956</v>
      </c>
      <c r="O19" s="325">
        <f t="shared" si="26"/>
        <v>26487</v>
      </c>
      <c r="P19" s="291">
        <f t="shared" si="27"/>
        <v>0.7477767426</v>
      </c>
    </row>
    <row r="20">
      <c r="A20" s="191"/>
      <c r="B20" s="74" t="s">
        <v>33</v>
      </c>
      <c r="C20" s="325" t="str">
        <f t="shared" si="14"/>
        <v/>
      </c>
      <c r="D20" s="291">
        <f t="shared" si="15"/>
        <v>0</v>
      </c>
      <c r="E20" s="325">
        <f t="shared" si="16"/>
        <v>75</v>
      </c>
      <c r="F20" s="291">
        <f t="shared" si="17"/>
        <v>0.1002673797</v>
      </c>
      <c r="G20" s="325">
        <f t="shared" si="18"/>
        <v>7500</v>
      </c>
      <c r="H20" s="291">
        <f t="shared" si="19"/>
        <v>1</v>
      </c>
      <c r="I20" s="325">
        <f t="shared" si="20"/>
        <v>7500</v>
      </c>
      <c r="J20" s="291">
        <f t="shared" si="21"/>
        <v>1</v>
      </c>
      <c r="K20" s="325">
        <f t="shared" si="22"/>
        <v>1389</v>
      </c>
      <c r="L20" s="291">
        <f t="shared" si="23"/>
        <v>0.2099773243</v>
      </c>
      <c r="M20" s="325">
        <f t="shared" si="24"/>
        <v>4227</v>
      </c>
      <c r="N20" s="291">
        <f t="shared" si="25"/>
        <v>0.5636</v>
      </c>
      <c r="O20" s="325">
        <f t="shared" si="26"/>
        <v>20691</v>
      </c>
      <c r="P20" s="291">
        <f t="shared" si="27"/>
        <v>0.5548523772</v>
      </c>
    </row>
    <row r="21">
      <c r="A21" s="191"/>
      <c r="B21" s="74" t="s">
        <v>34</v>
      </c>
      <c r="C21" s="325" t="str">
        <f t="shared" si="14"/>
        <v/>
      </c>
      <c r="D21" s="291">
        <f t="shared" si="15"/>
        <v>0</v>
      </c>
      <c r="E21" s="325">
        <f t="shared" si="16"/>
        <v>600</v>
      </c>
      <c r="F21" s="291">
        <f t="shared" si="17"/>
        <v>0.2694207454</v>
      </c>
      <c r="G21" s="325">
        <f t="shared" si="18"/>
        <v>7500</v>
      </c>
      <c r="H21" s="291">
        <f t="shared" si="19"/>
        <v>1</v>
      </c>
      <c r="I21" s="325">
        <f t="shared" si="20"/>
        <v>7500</v>
      </c>
      <c r="J21" s="291">
        <f t="shared" si="21"/>
        <v>1</v>
      </c>
      <c r="K21" s="325">
        <f t="shared" si="22"/>
        <v>3131</v>
      </c>
      <c r="L21" s="291">
        <f t="shared" si="23"/>
        <v>0.4174666667</v>
      </c>
      <c r="M21" s="325">
        <f t="shared" si="24"/>
        <v>7500</v>
      </c>
      <c r="N21" s="291">
        <f t="shared" si="25"/>
        <v>1</v>
      </c>
      <c r="O21" s="325">
        <f t="shared" si="26"/>
        <v>26231</v>
      </c>
      <c r="P21" s="291">
        <f t="shared" si="27"/>
        <v>0.6602814207</v>
      </c>
    </row>
    <row r="22">
      <c r="A22" s="191"/>
      <c r="B22" s="74" t="s">
        <v>35</v>
      </c>
      <c r="C22" s="325" t="str">
        <f t="shared" si="14"/>
        <v/>
      </c>
      <c r="D22" s="291">
        <f t="shared" si="15"/>
        <v>0</v>
      </c>
      <c r="E22" s="326"/>
      <c r="F22" s="326"/>
      <c r="G22" s="325" t="str">
        <f t="shared" si="18"/>
        <v/>
      </c>
      <c r="H22" s="291">
        <f t="shared" si="19"/>
        <v>0</v>
      </c>
      <c r="I22" s="325" t="str">
        <f t="shared" si="20"/>
        <v/>
      </c>
      <c r="J22" s="291">
        <f t="shared" si="21"/>
        <v>0</v>
      </c>
      <c r="K22" s="326"/>
      <c r="L22" s="326"/>
      <c r="M22" s="325" t="str">
        <f t="shared" si="24"/>
        <v/>
      </c>
      <c r="N22" s="291">
        <f t="shared" si="25"/>
        <v>0</v>
      </c>
      <c r="O22" s="325">
        <f t="shared" si="26"/>
        <v>0</v>
      </c>
      <c r="P22" s="291">
        <f>O22/sum(G43,G68,G78,G98)</f>
        <v>0</v>
      </c>
    </row>
    <row r="23">
      <c r="A23" s="191"/>
      <c r="B23" s="74" t="s">
        <v>36</v>
      </c>
      <c r="C23" s="326"/>
      <c r="D23" s="326"/>
      <c r="E23" s="326"/>
      <c r="F23" s="326"/>
      <c r="G23" s="325" t="str">
        <f t="shared" ref="G23:G31" si="28">D78</f>
        <v/>
      </c>
      <c r="H23" s="291">
        <f t="shared" si="19"/>
        <v>0</v>
      </c>
      <c r="I23" s="325" t="str">
        <f t="shared" si="20"/>
        <v/>
      </c>
      <c r="J23" s="291">
        <f t="shared" si="21"/>
        <v>0</v>
      </c>
      <c r="K23" s="326"/>
      <c r="L23" s="326"/>
      <c r="M23" s="325" t="str">
        <f t="shared" si="24"/>
        <v/>
      </c>
      <c r="N23" s="291">
        <f t="shared" si="25"/>
        <v>0</v>
      </c>
      <c r="O23" s="325">
        <f t="shared" si="26"/>
        <v>0</v>
      </c>
      <c r="P23" s="291">
        <f>O23/sum(G69,G79,G99)</f>
        <v>0</v>
      </c>
    </row>
    <row r="24">
      <c r="A24" s="191"/>
      <c r="B24" s="74" t="s">
        <v>37</v>
      </c>
      <c r="C24" s="325" t="str">
        <f t="shared" ref="C24:C31" si="29">D44</f>
        <v/>
      </c>
      <c r="D24" s="291">
        <f t="shared" ref="D24:D31" si="30">C24/G44</f>
        <v>0</v>
      </c>
      <c r="E24" s="326"/>
      <c r="F24" s="326"/>
      <c r="G24" s="325" t="str">
        <f t="shared" si="28"/>
        <v/>
      </c>
      <c r="H24" s="291">
        <f t="shared" si="19"/>
        <v>0</v>
      </c>
      <c r="I24" s="325">
        <f t="shared" si="20"/>
        <v>599</v>
      </c>
      <c r="J24" s="291">
        <f t="shared" si="21"/>
        <v>0.1119207773</v>
      </c>
      <c r="K24" s="326"/>
      <c r="L24" s="326"/>
      <c r="M24" s="325">
        <f t="shared" si="24"/>
        <v>754</v>
      </c>
      <c r="N24" s="291">
        <f t="shared" si="25"/>
        <v>0.1203895897</v>
      </c>
      <c r="O24" s="325">
        <f t="shared" si="26"/>
        <v>1353</v>
      </c>
      <c r="P24" s="291">
        <f t="shared" ref="P24:P25" si="31">O24/sum(G45,G70,G80,G100)</f>
        <v>0.1031643157</v>
      </c>
    </row>
    <row r="25">
      <c r="A25" s="191"/>
      <c r="B25" s="74" t="s">
        <v>38</v>
      </c>
      <c r="C25" s="325" t="str">
        <f t="shared" si="29"/>
        <v/>
      </c>
      <c r="D25" s="291">
        <f t="shared" si="30"/>
        <v>0</v>
      </c>
      <c r="E25" s="326"/>
      <c r="F25" s="326"/>
      <c r="G25" s="325" t="str">
        <f t="shared" si="28"/>
        <v/>
      </c>
      <c r="H25" s="291">
        <f t="shared" si="19"/>
        <v>0</v>
      </c>
      <c r="I25" s="325">
        <f t="shared" si="20"/>
        <v>1033</v>
      </c>
      <c r="J25" s="291">
        <f t="shared" si="21"/>
        <v>0.2231101512</v>
      </c>
      <c r="K25" s="326"/>
      <c r="L25" s="326"/>
      <c r="M25" s="325" t="str">
        <f t="shared" si="24"/>
        <v/>
      </c>
      <c r="N25" s="291">
        <f t="shared" si="25"/>
        <v>0</v>
      </c>
      <c r="O25" s="325">
        <f t="shared" si="26"/>
        <v>1033</v>
      </c>
      <c r="P25" s="291">
        <f t="shared" si="31"/>
        <v>0.0908850959</v>
      </c>
    </row>
    <row r="26">
      <c r="A26" s="191"/>
      <c r="B26" s="74" t="s">
        <v>39</v>
      </c>
      <c r="C26" s="325">
        <f t="shared" si="29"/>
        <v>750</v>
      </c>
      <c r="D26" s="291">
        <f t="shared" si="30"/>
        <v>1</v>
      </c>
      <c r="E26" s="326"/>
      <c r="F26" s="326"/>
      <c r="G26" s="325" t="str">
        <f t="shared" si="28"/>
        <v/>
      </c>
      <c r="H26" s="291">
        <f t="shared" si="19"/>
        <v>0</v>
      </c>
      <c r="I26" s="325">
        <f t="shared" si="20"/>
        <v>2110</v>
      </c>
      <c r="J26" s="291">
        <f t="shared" si="21"/>
        <v>0.2537582682</v>
      </c>
      <c r="K26" s="325" t="str">
        <f t="shared" ref="K26:K31" si="32">D57</f>
        <v/>
      </c>
      <c r="L26" s="291">
        <f t="shared" ref="L26:L31" si="33">K26/G57</f>
        <v>0</v>
      </c>
      <c r="M26" s="325">
        <f t="shared" si="24"/>
        <v>1017</v>
      </c>
      <c r="N26" s="291">
        <f t="shared" si="25"/>
        <v>0.1037014377</v>
      </c>
      <c r="O26" s="325">
        <f t="shared" si="26"/>
        <v>3877</v>
      </c>
      <c r="P26" s="291">
        <f>O26/sum(G47,G57,G72,G82,G102)</f>
        <v>0.187748184</v>
      </c>
    </row>
    <row r="27">
      <c r="A27" s="191"/>
      <c r="B27" s="74" t="s">
        <v>40</v>
      </c>
      <c r="C27" s="325" t="str">
        <f t="shared" si="29"/>
        <v/>
      </c>
      <c r="D27" s="291">
        <f t="shared" si="30"/>
        <v>0</v>
      </c>
      <c r="E27" s="326"/>
      <c r="F27" s="326"/>
      <c r="G27" s="325">
        <f t="shared" si="28"/>
        <v>749</v>
      </c>
      <c r="H27" s="291">
        <f t="shared" si="19"/>
        <v>0.2172903974</v>
      </c>
      <c r="I27" s="326"/>
      <c r="J27" s="326"/>
      <c r="K27" s="325" t="str">
        <f t="shared" si="32"/>
        <v/>
      </c>
      <c r="L27" s="291">
        <f t="shared" si="33"/>
        <v>0</v>
      </c>
      <c r="M27" s="326"/>
      <c r="N27" s="326"/>
      <c r="O27" s="325">
        <f t="shared" si="26"/>
        <v>749</v>
      </c>
      <c r="P27" s="291">
        <f t="shared" ref="P27:P31" si="34">O27/sum(G47,G83,G58)</f>
        <v>0.1407894737</v>
      </c>
    </row>
    <row r="28">
      <c r="A28" s="191"/>
      <c r="B28" s="74" t="s">
        <v>41</v>
      </c>
      <c r="C28" s="325" t="str">
        <f t="shared" si="29"/>
        <v/>
      </c>
      <c r="D28" s="291">
        <f t="shared" si="30"/>
        <v>0</v>
      </c>
      <c r="E28" s="326"/>
      <c r="F28" s="326"/>
      <c r="G28" s="325" t="str">
        <f t="shared" si="28"/>
        <v/>
      </c>
      <c r="H28" s="291">
        <f t="shared" si="19"/>
        <v>0</v>
      </c>
      <c r="I28" s="326"/>
      <c r="J28" s="326"/>
      <c r="K28" s="325" t="str">
        <f t="shared" si="32"/>
        <v/>
      </c>
      <c r="L28" s="291">
        <f t="shared" si="33"/>
        <v>0</v>
      </c>
      <c r="M28" s="326"/>
      <c r="N28" s="326"/>
      <c r="O28" s="325">
        <f t="shared" si="26"/>
        <v>0</v>
      </c>
      <c r="P28" s="291">
        <f t="shared" si="34"/>
        <v>0</v>
      </c>
    </row>
    <row r="29">
      <c r="A29" s="191"/>
      <c r="B29" s="74" t="s">
        <v>42</v>
      </c>
      <c r="C29" s="325" t="str">
        <f t="shared" si="29"/>
        <v/>
      </c>
      <c r="D29" s="291">
        <f t="shared" si="30"/>
        <v>0</v>
      </c>
      <c r="E29" s="326"/>
      <c r="F29" s="326"/>
      <c r="G29" s="325" t="str">
        <f t="shared" si="28"/>
        <v/>
      </c>
      <c r="H29" s="291">
        <f t="shared" si="19"/>
        <v>0</v>
      </c>
      <c r="I29" s="326"/>
      <c r="J29" s="326"/>
      <c r="K29" s="325" t="str">
        <f t="shared" si="32"/>
        <v/>
      </c>
      <c r="L29" s="291">
        <f t="shared" si="33"/>
        <v>0</v>
      </c>
      <c r="M29" s="326"/>
      <c r="N29" s="326"/>
      <c r="O29" s="325">
        <f t="shared" si="26"/>
        <v>0</v>
      </c>
      <c r="P29" s="291">
        <f t="shared" si="34"/>
        <v>0</v>
      </c>
    </row>
    <row r="30">
      <c r="A30" s="191"/>
      <c r="B30" s="74" t="s">
        <v>43</v>
      </c>
      <c r="C30" s="325" t="str">
        <f t="shared" si="29"/>
        <v/>
      </c>
      <c r="D30" s="291">
        <f t="shared" si="30"/>
        <v>0</v>
      </c>
      <c r="E30" s="326"/>
      <c r="F30" s="326"/>
      <c r="G30" s="325" t="str">
        <f t="shared" si="28"/>
        <v/>
      </c>
      <c r="H30" s="291">
        <f t="shared" si="19"/>
        <v>0</v>
      </c>
      <c r="I30" s="326"/>
      <c r="J30" s="326"/>
      <c r="K30" s="325" t="str">
        <f t="shared" si="32"/>
        <v/>
      </c>
      <c r="L30" s="291">
        <f t="shared" si="33"/>
        <v>0</v>
      </c>
      <c r="M30" s="326"/>
      <c r="N30" s="326"/>
      <c r="O30" s="325">
        <f t="shared" si="26"/>
        <v>0</v>
      </c>
      <c r="P30" s="291">
        <f t="shared" si="34"/>
        <v>0</v>
      </c>
    </row>
    <row r="31">
      <c r="A31" s="195"/>
      <c r="B31" s="74" t="s">
        <v>44</v>
      </c>
      <c r="C31" s="325" t="str">
        <f t="shared" si="29"/>
        <v/>
      </c>
      <c r="D31" s="291">
        <f t="shared" si="30"/>
        <v>0</v>
      </c>
      <c r="E31" s="326"/>
      <c r="F31" s="326"/>
      <c r="G31" s="325" t="str">
        <f t="shared" si="28"/>
        <v/>
      </c>
      <c r="H31" s="291">
        <f t="shared" si="19"/>
        <v>0</v>
      </c>
      <c r="I31" s="326"/>
      <c r="J31" s="326"/>
      <c r="K31" s="325" t="str">
        <f t="shared" si="32"/>
        <v/>
      </c>
      <c r="L31" s="291">
        <f t="shared" si="33"/>
        <v>0</v>
      </c>
      <c r="M31" s="326"/>
      <c r="N31" s="326"/>
      <c r="O31" s="325">
        <f t="shared" si="26"/>
        <v>0</v>
      </c>
      <c r="P31" s="291">
        <f t="shared" si="34"/>
        <v>0</v>
      </c>
    </row>
    <row r="32">
      <c r="A32" s="327" t="s">
        <v>19</v>
      </c>
      <c r="B32" s="6"/>
      <c r="C32" s="328">
        <f>SUM(C17:C31)</f>
        <v>6580</v>
      </c>
      <c r="D32" s="329">
        <f>C32/sum(G38:G51)</f>
        <v>0.1498690354</v>
      </c>
      <c r="E32" s="328">
        <f>SUM(E17:E31)</f>
        <v>824</v>
      </c>
      <c r="F32" s="329">
        <f>E32/sum(G88:G92)</f>
        <v>0.1740967674</v>
      </c>
      <c r="G32" s="328">
        <f>SUM(G17:G31)</f>
        <v>32218</v>
      </c>
      <c r="H32" s="329">
        <f>G32/sum(G73:G87)</f>
        <v>0.6124745737</v>
      </c>
      <c r="I32" s="328">
        <f>SUM(I17:I31)</f>
        <v>38402</v>
      </c>
      <c r="J32" s="329">
        <f>I32/sum(G63:G72)</f>
        <v>0.5759666437</v>
      </c>
      <c r="K32" s="328">
        <f>SUM(K17:K31)</f>
        <v>7399</v>
      </c>
      <c r="L32" s="329">
        <f>K32/sum(G52:G62)</f>
        <v>0.2502621343</v>
      </c>
      <c r="M32" s="328">
        <f>SUM(M17:M31)</f>
        <v>26743</v>
      </c>
      <c r="N32" s="329">
        <f>M32/sum(G93:G102)</f>
        <v>0.4177810411</v>
      </c>
      <c r="O32" s="328">
        <f>SUM(O17:O31)</f>
        <v>112166</v>
      </c>
      <c r="P32" s="329">
        <f>O32/sum(G38:G102)</f>
        <v>0.428946201</v>
      </c>
    </row>
    <row r="33">
      <c r="A33" s="330"/>
      <c r="B33" s="331"/>
      <c r="E33" s="332"/>
    </row>
    <row r="34">
      <c r="A34" s="243"/>
      <c r="B34" s="331"/>
      <c r="E34" s="332"/>
    </row>
    <row r="35">
      <c r="A35" s="243"/>
      <c r="B35" s="331"/>
      <c r="E35" s="332"/>
    </row>
    <row r="36">
      <c r="A36" s="243"/>
      <c r="B36" s="331"/>
      <c r="E36" s="332"/>
    </row>
    <row r="37">
      <c r="A37" s="333" t="s">
        <v>45</v>
      </c>
      <c r="B37" s="333" t="s">
        <v>142</v>
      </c>
      <c r="C37" s="334" t="s">
        <v>46</v>
      </c>
      <c r="D37" s="315" t="s">
        <v>137</v>
      </c>
      <c r="E37" s="142"/>
      <c r="F37" s="142"/>
      <c r="G37" s="134" t="s">
        <v>49</v>
      </c>
    </row>
    <row r="38">
      <c r="A38" s="248">
        <v>13301.0</v>
      </c>
      <c r="B38" s="248">
        <v>1.0</v>
      </c>
      <c r="C38" s="249" t="s">
        <v>53</v>
      </c>
      <c r="D38" s="335">
        <v>2550.0</v>
      </c>
      <c r="E38" s="142"/>
      <c r="F38" s="142"/>
      <c r="G38" s="141">
        <v>7163.0</v>
      </c>
    </row>
    <row r="39">
      <c r="A39" s="248">
        <v>13302.0</v>
      </c>
      <c r="B39" s="248">
        <v>2.0</v>
      </c>
      <c r="C39" s="249" t="s">
        <v>55</v>
      </c>
      <c r="D39" s="335"/>
      <c r="E39" s="142"/>
      <c r="F39" s="142"/>
      <c r="G39" s="141">
        <v>5939.0</v>
      </c>
    </row>
    <row r="40">
      <c r="A40" s="248">
        <v>13303.0</v>
      </c>
      <c r="B40" s="248">
        <v>3.0</v>
      </c>
      <c r="C40" s="249" t="s">
        <v>58</v>
      </c>
      <c r="D40" s="335">
        <v>3280.0</v>
      </c>
      <c r="E40" s="142"/>
      <c r="F40" s="142"/>
      <c r="G40" s="150">
        <v>7434.0</v>
      </c>
    </row>
    <row r="41">
      <c r="A41" s="248">
        <v>13304.0</v>
      </c>
      <c r="B41" s="248">
        <v>4.0</v>
      </c>
      <c r="C41" s="249" t="s">
        <v>59</v>
      </c>
      <c r="D41" s="335"/>
      <c r="E41" s="142"/>
      <c r="F41" s="142"/>
      <c r="G41" s="150">
        <v>7428.0</v>
      </c>
    </row>
    <row r="42">
      <c r="A42" s="256">
        <v>13305.0</v>
      </c>
      <c r="B42" s="256">
        <v>5.0</v>
      </c>
      <c r="C42" s="257" t="s">
        <v>60</v>
      </c>
      <c r="D42" s="338"/>
      <c r="E42" s="142"/>
      <c r="F42" s="142"/>
      <c r="G42" s="156">
        <v>7500.0</v>
      </c>
      <c r="P42" s="351"/>
    </row>
    <row r="43">
      <c r="A43" s="248">
        <v>14408.0</v>
      </c>
      <c r="B43" s="248">
        <v>6.0</v>
      </c>
      <c r="C43" s="249" t="s">
        <v>61</v>
      </c>
      <c r="D43" s="352"/>
      <c r="E43" s="142"/>
      <c r="F43" s="142"/>
      <c r="G43" s="141">
        <v>720.0</v>
      </c>
    </row>
    <row r="44">
      <c r="A44" s="248">
        <v>14410.0</v>
      </c>
      <c r="B44" s="248">
        <v>7.0</v>
      </c>
      <c r="C44" s="249" t="s">
        <v>62</v>
      </c>
      <c r="D44" s="338"/>
      <c r="E44" s="142"/>
      <c r="F44" s="142"/>
      <c r="G44" s="156">
        <v>750.0</v>
      </c>
    </row>
    <row r="45">
      <c r="A45" s="248">
        <v>14423.0</v>
      </c>
      <c r="B45" s="248">
        <v>8.0</v>
      </c>
      <c r="C45" s="249" t="s">
        <v>63</v>
      </c>
      <c r="D45" s="352"/>
      <c r="E45" s="142"/>
      <c r="F45" s="142"/>
      <c r="G45" s="156">
        <v>750.0</v>
      </c>
    </row>
    <row r="46">
      <c r="A46" s="256">
        <v>13959.0</v>
      </c>
      <c r="B46" s="256">
        <v>9.0</v>
      </c>
      <c r="C46" s="257" t="s">
        <v>64</v>
      </c>
      <c r="D46" s="338">
        <v>750.0</v>
      </c>
      <c r="E46" s="142"/>
      <c r="F46" s="142"/>
      <c r="G46" s="161">
        <v>750.0</v>
      </c>
    </row>
    <row r="47">
      <c r="A47" s="310">
        <v>15136.0</v>
      </c>
      <c r="B47" s="310">
        <v>11.0</v>
      </c>
      <c r="C47" s="249" t="s">
        <v>65</v>
      </c>
      <c r="D47" s="353"/>
      <c r="E47" s="142"/>
      <c r="F47" s="142"/>
      <c r="G47" s="141">
        <v>1125.0</v>
      </c>
    </row>
    <row r="48">
      <c r="A48" s="248">
        <v>15139.0</v>
      </c>
      <c r="B48" s="248">
        <v>12.0</v>
      </c>
      <c r="C48" s="249" t="s">
        <v>66</v>
      </c>
      <c r="D48" s="353"/>
      <c r="E48" s="142"/>
      <c r="F48" s="142"/>
      <c r="G48" s="141">
        <v>1266.0</v>
      </c>
    </row>
    <row r="49">
      <c r="A49" s="248">
        <v>15140.0</v>
      </c>
      <c r="B49" s="248">
        <v>13.0</v>
      </c>
      <c r="C49" s="249" t="s">
        <v>67</v>
      </c>
      <c r="D49" s="353"/>
      <c r="E49" s="142"/>
      <c r="F49" s="142"/>
      <c r="G49" s="150">
        <v>897.0</v>
      </c>
    </row>
    <row r="50">
      <c r="A50" s="248">
        <v>15141.0</v>
      </c>
      <c r="B50" s="248">
        <v>14.0</v>
      </c>
      <c r="C50" s="249" t="s">
        <v>68</v>
      </c>
      <c r="D50" s="352"/>
      <c r="E50" s="142"/>
      <c r="F50" s="142"/>
      <c r="G50" s="150">
        <v>1141.0</v>
      </c>
    </row>
    <row r="51">
      <c r="A51" s="310">
        <v>15135.0</v>
      </c>
      <c r="B51" s="248">
        <v>15.0</v>
      </c>
      <c r="C51" s="249" t="s">
        <v>69</v>
      </c>
      <c r="D51" s="352"/>
      <c r="E51" s="142"/>
      <c r="F51" s="142"/>
      <c r="G51" s="150">
        <v>1042.0</v>
      </c>
    </row>
    <row r="52">
      <c r="A52" s="248">
        <v>13318.0</v>
      </c>
      <c r="B52" s="248">
        <v>21.0</v>
      </c>
      <c r="C52" s="249" t="s">
        <v>70</v>
      </c>
      <c r="D52" s="338">
        <v>930.0</v>
      </c>
      <c r="E52" s="142"/>
      <c r="F52" s="142"/>
      <c r="G52" s="141">
        <v>4491.0</v>
      </c>
    </row>
    <row r="53">
      <c r="A53" s="248">
        <v>13319.0</v>
      </c>
      <c r="B53" s="248">
        <v>22.0</v>
      </c>
      <c r="C53" s="249" t="s">
        <v>71</v>
      </c>
      <c r="D53" s="338">
        <v>809.0</v>
      </c>
      <c r="E53" s="142"/>
      <c r="F53" s="142"/>
      <c r="G53" s="141">
        <v>3266.0</v>
      </c>
    </row>
    <row r="54">
      <c r="A54" s="248">
        <v>13320.0</v>
      </c>
      <c r="B54" s="248">
        <v>23.0</v>
      </c>
      <c r="C54" s="249" t="s">
        <v>72</v>
      </c>
      <c r="D54" s="338">
        <v>1140.0</v>
      </c>
      <c r="E54" s="142"/>
      <c r="F54" s="142"/>
      <c r="G54" s="150">
        <v>4928.0</v>
      </c>
    </row>
    <row r="55">
      <c r="A55" s="248">
        <v>13321.0</v>
      </c>
      <c r="B55" s="248">
        <v>24.0</v>
      </c>
      <c r="C55" s="249" t="s">
        <v>73</v>
      </c>
      <c r="D55" s="338">
        <v>1389.0</v>
      </c>
      <c r="E55" s="142"/>
      <c r="F55" s="142"/>
      <c r="G55" s="150">
        <v>6615.0</v>
      </c>
    </row>
    <row r="56">
      <c r="A56" s="256">
        <v>13322.0</v>
      </c>
      <c r="B56" s="256">
        <v>25.0</v>
      </c>
      <c r="C56" s="257" t="s">
        <v>74</v>
      </c>
      <c r="D56" s="338">
        <v>3131.0</v>
      </c>
      <c r="E56" s="142"/>
      <c r="F56" s="142"/>
      <c r="G56" s="161">
        <v>7500.0</v>
      </c>
    </row>
    <row r="57">
      <c r="A57" s="248">
        <v>14429.0</v>
      </c>
      <c r="B57" s="248">
        <v>26.0</v>
      </c>
      <c r="C57" s="249" t="s">
        <v>75</v>
      </c>
      <c r="D57" s="352"/>
      <c r="E57" s="142"/>
      <c r="F57" s="142"/>
      <c r="G57" s="150">
        <v>653.0</v>
      </c>
    </row>
    <row r="58">
      <c r="A58" s="248">
        <v>15143.0</v>
      </c>
      <c r="B58" s="248">
        <v>31.0</v>
      </c>
      <c r="C58" s="249" t="s">
        <v>76</v>
      </c>
      <c r="D58" s="352"/>
      <c r="E58" s="142"/>
      <c r="F58" s="142"/>
      <c r="G58" s="141">
        <v>748.0</v>
      </c>
    </row>
    <row r="59">
      <c r="A59" s="248">
        <v>15144.0</v>
      </c>
      <c r="B59" s="248">
        <v>32.0</v>
      </c>
      <c r="C59" s="249" t="s">
        <v>77</v>
      </c>
      <c r="D59" s="352"/>
      <c r="E59" s="142"/>
      <c r="F59" s="142"/>
      <c r="G59" s="141">
        <v>496.0</v>
      </c>
    </row>
    <row r="60">
      <c r="A60" s="248">
        <v>15145.0</v>
      </c>
      <c r="B60" s="248">
        <v>33.0</v>
      </c>
      <c r="C60" s="249" t="s">
        <v>78</v>
      </c>
      <c r="D60" s="352"/>
      <c r="E60" s="142"/>
      <c r="F60" s="142"/>
      <c r="G60" s="150">
        <v>281.0</v>
      </c>
    </row>
    <row r="61">
      <c r="A61" s="248">
        <v>15146.0</v>
      </c>
      <c r="B61" s="248">
        <v>34.0</v>
      </c>
      <c r="C61" s="249" t="s">
        <v>79</v>
      </c>
      <c r="D61" s="352"/>
      <c r="E61" s="142"/>
      <c r="F61" s="142"/>
      <c r="G61" s="150">
        <v>157.0</v>
      </c>
    </row>
    <row r="62">
      <c r="A62" s="310">
        <v>15142.0</v>
      </c>
      <c r="B62" s="248">
        <v>35.0</v>
      </c>
      <c r="C62" s="249" t="s">
        <v>80</v>
      </c>
      <c r="D62" s="352"/>
      <c r="E62" s="142"/>
      <c r="F62" s="142"/>
      <c r="G62" s="150">
        <v>430.0</v>
      </c>
    </row>
    <row r="63">
      <c r="A63" s="256">
        <v>13323.0</v>
      </c>
      <c r="B63" s="256">
        <v>41.0</v>
      </c>
      <c r="C63" s="257" t="s">
        <v>81</v>
      </c>
      <c r="D63" s="338">
        <v>6959.0</v>
      </c>
      <c r="E63" s="142"/>
      <c r="F63" s="142"/>
      <c r="G63" s="161">
        <v>7500.0</v>
      </c>
    </row>
    <row r="64">
      <c r="A64" s="256">
        <v>13324.0</v>
      </c>
      <c r="B64" s="256">
        <v>42.0</v>
      </c>
      <c r="C64" s="257" t="s">
        <v>82</v>
      </c>
      <c r="D64" s="338">
        <v>5201.0</v>
      </c>
      <c r="E64" s="142"/>
      <c r="F64" s="142"/>
      <c r="G64" s="161">
        <v>7500.0</v>
      </c>
    </row>
    <row r="65">
      <c r="A65" s="256">
        <v>13325.0</v>
      </c>
      <c r="B65" s="256">
        <v>43.0</v>
      </c>
      <c r="C65" s="257" t="s">
        <v>83</v>
      </c>
      <c r="D65" s="338">
        <v>7500.0</v>
      </c>
      <c r="E65" s="142"/>
      <c r="F65" s="142"/>
      <c r="G65" s="161">
        <v>7500.0</v>
      </c>
    </row>
    <row r="66">
      <c r="A66" s="256">
        <v>13326.0</v>
      </c>
      <c r="B66" s="256">
        <v>44.0</v>
      </c>
      <c r="C66" s="257" t="s">
        <v>84</v>
      </c>
      <c r="D66" s="338">
        <v>7500.0</v>
      </c>
      <c r="E66" s="142"/>
      <c r="F66" s="142"/>
      <c r="G66" s="161">
        <v>7500.0</v>
      </c>
    </row>
    <row r="67">
      <c r="A67" s="256">
        <v>13327.0</v>
      </c>
      <c r="B67" s="256">
        <v>45.0</v>
      </c>
      <c r="C67" s="257" t="s">
        <v>85</v>
      </c>
      <c r="D67" s="338">
        <v>7500.0</v>
      </c>
      <c r="E67" s="142"/>
      <c r="F67" s="142"/>
      <c r="G67" s="161">
        <v>7500.0</v>
      </c>
    </row>
    <row r="68">
      <c r="A68" s="248">
        <v>14106.0</v>
      </c>
      <c r="B68" s="248">
        <v>46.0</v>
      </c>
      <c r="C68" s="249" t="s">
        <v>86</v>
      </c>
      <c r="D68" s="352"/>
      <c r="E68" s="142"/>
      <c r="F68" s="142"/>
      <c r="G68" s="141">
        <v>6598.0</v>
      </c>
    </row>
    <row r="69">
      <c r="A69" s="248">
        <v>14422.0</v>
      </c>
      <c r="B69" s="248">
        <v>47.0</v>
      </c>
      <c r="C69" s="249" t="s">
        <v>87</v>
      </c>
      <c r="D69" s="352"/>
      <c r="E69" s="142"/>
      <c r="F69" s="142"/>
      <c r="G69" s="141">
        <v>4279.0</v>
      </c>
    </row>
    <row r="70">
      <c r="A70" s="248">
        <v>13960.0</v>
      </c>
      <c r="B70" s="248">
        <v>48.0</v>
      </c>
      <c r="C70" s="249" t="s">
        <v>88</v>
      </c>
      <c r="D70" s="338">
        <v>599.0</v>
      </c>
      <c r="E70" s="142"/>
      <c r="F70" s="142"/>
      <c r="G70" s="150">
        <v>5352.0</v>
      </c>
    </row>
    <row r="71">
      <c r="A71" s="248">
        <v>13779.0</v>
      </c>
      <c r="B71" s="248">
        <v>49.0</v>
      </c>
      <c r="C71" s="249" t="s">
        <v>89</v>
      </c>
      <c r="D71" s="338">
        <v>1033.0</v>
      </c>
      <c r="E71" s="142"/>
      <c r="F71" s="142"/>
      <c r="G71" s="150">
        <v>4630.0</v>
      </c>
    </row>
    <row r="72">
      <c r="A72" s="248">
        <v>13543.0</v>
      </c>
      <c r="B72" s="248">
        <v>50.0</v>
      </c>
      <c r="C72" s="249" t="s">
        <v>90</v>
      </c>
      <c r="D72" s="338">
        <v>2110.0</v>
      </c>
      <c r="E72" s="142"/>
      <c r="F72" s="142"/>
      <c r="G72" s="150">
        <v>8315.0</v>
      </c>
    </row>
    <row r="73">
      <c r="A73" s="248">
        <v>13328.0</v>
      </c>
      <c r="B73" s="248">
        <v>61.0</v>
      </c>
      <c r="C73" s="249" t="s">
        <v>91</v>
      </c>
      <c r="D73" s="338">
        <v>4997.0</v>
      </c>
      <c r="E73" s="151"/>
      <c r="F73" s="342"/>
      <c r="G73" s="165">
        <v>7500.0</v>
      </c>
    </row>
    <row r="74">
      <c r="A74" s="248">
        <v>13329.0</v>
      </c>
      <c r="B74" s="248">
        <v>62.0</v>
      </c>
      <c r="C74" s="249" t="s">
        <v>92</v>
      </c>
      <c r="D74" s="338">
        <v>4446.0</v>
      </c>
      <c r="E74" s="151"/>
      <c r="F74" s="342"/>
      <c r="G74" s="141">
        <v>7500.0</v>
      </c>
    </row>
    <row r="75">
      <c r="A75" s="256">
        <v>13330.0</v>
      </c>
      <c r="B75" s="256">
        <v>63.0</v>
      </c>
      <c r="C75" s="257" t="s">
        <v>93</v>
      </c>
      <c r="D75" s="338">
        <v>7026.0</v>
      </c>
      <c r="E75" s="142"/>
      <c r="F75" s="142"/>
      <c r="G75" s="161">
        <v>7500.0</v>
      </c>
    </row>
    <row r="76">
      <c r="A76" s="256">
        <v>13331.0</v>
      </c>
      <c r="B76" s="256">
        <v>64.0</v>
      </c>
      <c r="C76" s="257" t="s">
        <v>94</v>
      </c>
      <c r="D76" s="338">
        <v>7500.0</v>
      </c>
      <c r="E76" s="142"/>
      <c r="F76" s="142"/>
      <c r="G76" s="161">
        <v>7500.0</v>
      </c>
    </row>
    <row r="77">
      <c r="A77" s="256">
        <v>13332.0</v>
      </c>
      <c r="B77" s="256">
        <v>65.0</v>
      </c>
      <c r="C77" s="257" t="s">
        <v>95</v>
      </c>
      <c r="D77" s="338">
        <v>7500.0</v>
      </c>
      <c r="E77" s="142"/>
      <c r="F77" s="142"/>
      <c r="G77" s="161">
        <v>7500.0</v>
      </c>
    </row>
    <row r="78">
      <c r="A78" s="248">
        <v>14417.0</v>
      </c>
      <c r="B78" s="248">
        <v>66.0</v>
      </c>
      <c r="C78" s="249" t="s">
        <v>96</v>
      </c>
      <c r="D78" s="338"/>
      <c r="E78" s="142"/>
      <c r="F78" s="142"/>
      <c r="G78" s="165">
        <v>750.0</v>
      </c>
    </row>
    <row r="79">
      <c r="A79" s="248">
        <v>14418.0</v>
      </c>
      <c r="B79" s="248">
        <v>67.0</v>
      </c>
      <c r="C79" s="249" t="s">
        <v>97</v>
      </c>
      <c r="D79" s="338"/>
      <c r="E79" s="142"/>
      <c r="F79" s="142"/>
      <c r="G79" s="165">
        <v>750.0</v>
      </c>
    </row>
    <row r="80">
      <c r="A80" s="256">
        <v>14104.0</v>
      </c>
      <c r="B80" s="256">
        <v>68.0</v>
      </c>
      <c r="C80" s="257" t="s">
        <v>98</v>
      </c>
      <c r="D80" s="352"/>
      <c r="E80" s="142"/>
      <c r="F80" s="142"/>
      <c r="G80" s="161">
        <v>750.0</v>
      </c>
    </row>
    <row r="81">
      <c r="A81" s="256">
        <v>14105.0</v>
      </c>
      <c r="B81" s="256">
        <v>69.0</v>
      </c>
      <c r="C81" s="257" t="s">
        <v>99</v>
      </c>
      <c r="D81" s="352"/>
      <c r="E81" s="142"/>
      <c r="F81" s="142"/>
      <c r="G81" s="161">
        <v>750.0</v>
      </c>
    </row>
    <row r="82">
      <c r="A82" s="256">
        <v>13788.0</v>
      </c>
      <c r="B82" s="256">
        <v>70.0</v>
      </c>
      <c r="C82" s="257" t="s">
        <v>100</v>
      </c>
      <c r="D82" s="335">
        <v>749.0</v>
      </c>
      <c r="E82" s="142"/>
      <c r="F82" s="142"/>
      <c r="G82" s="161">
        <v>750.0</v>
      </c>
    </row>
    <row r="83">
      <c r="A83" s="248">
        <v>15148.0</v>
      </c>
      <c r="B83" s="248">
        <v>71.0</v>
      </c>
      <c r="C83" s="249" t="s">
        <v>101</v>
      </c>
      <c r="D83" s="352"/>
      <c r="E83" s="142"/>
      <c r="F83" s="142"/>
      <c r="G83" s="141">
        <v>3447.0</v>
      </c>
    </row>
    <row r="84">
      <c r="A84" s="248">
        <v>15149.0</v>
      </c>
      <c r="B84" s="248">
        <v>72.0</v>
      </c>
      <c r="C84" s="249" t="s">
        <v>102</v>
      </c>
      <c r="D84" s="352"/>
      <c r="E84" s="142"/>
      <c r="F84" s="142"/>
      <c r="G84" s="141">
        <v>3386.0</v>
      </c>
    </row>
    <row r="85">
      <c r="A85" s="248">
        <v>15150.0</v>
      </c>
      <c r="B85" s="248">
        <v>73.0</v>
      </c>
      <c r="C85" s="249" t="s">
        <v>103</v>
      </c>
      <c r="D85" s="352"/>
      <c r="E85" s="142"/>
      <c r="F85" s="142"/>
      <c r="G85" s="150">
        <v>1384.0</v>
      </c>
    </row>
    <row r="86">
      <c r="A86" s="248">
        <v>15151.0</v>
      </c>
      <c r="B86" s="248">
        <v>74.0</v>
      </c>
      <c r="C86" s="249" t="s">
        <v>104</v>
      </c>
      <c r="D86" s="352"/>
      <c r="E86" s="142"/>
      <c r="F86" s="142"/>
      <c r="G86" s="150">
        <v>1711.0</v>
      </c>
    </row>
    <row r="87">
      <c r="A87" s="310">
        <v>15147.0</v>
      </c>
      <c r="B87" s="248">
        <v>75.0</v>
      </c>
      <c r="C87" s="249" t="s">
        <v>105</v>
      </c>
      <c r="D87" s="352"/>
      <c r="E87" s="142"/>
      <c r="F87" s="142"/>
      <c r="G87" s="150">
        <v>1425.0</v>
      </c>
    </row>
    <row r="88">
      <c r="A88" s="248">
        <v>13333.0</v>
      </c>
      <c r="B88" s="248">
        <v>81.0</v>
      </c>
      <c r="C88" s="249" t="s">
        <v>106</v>
      </c>
      <c r="D88" s="338"/>
      <c r="E88" s="142"/>
      <c r="F88" s="343"/>
      <c r="G88" s="141">
        <v>749.0</v>
      </c>
    </row>
    <row r="89">
      <c r="A89" s="248">
        <v>13334.0</v>
      </c>
      <c r="B89" s="248">
        <v>82.0</v>
      </c>
      <c r="C89" s="249" t="s">
        <v>107</v>
      </c>
      <c r="D89" s="338">
        <v>75.0</v>
      </c>
      <c r="E89" s="142"/>
      <c r="F89" s="343"/>
      <c r="G89" s="141">
        <v>450.0</v>
      </c>
    </row>
    <row r="90">
      <c r="A90" s="248">
        <v>13335.0</v>
      </c>
      <c r="B90" s="248">
        <v>83.0</v>
      </c>
      <c r="C90" s="249" t="s">
        <v>108</v>
      </c>
      <c r="D90" s="335">
        <v>74.0</v>
      </c>
      <c r="E90" s="142"/>
      <c r="F90" s="343"/>
      <c r="G90" s="141">
        <v>559.0</v>
      </c>
    </row>
    <row r="91">
      <c r="A91" s="248">
        <v>13336.0</v>
      </c>
      <c r="B91" s="248">
        <v>84.0</v>
      </c>
      <c r="C91" s="249" t="s">
        <v>109</v>
      </c>
      <c r="D91" s="335">
        <v>75.0</v>
      </c>
      <c r="E91" s="142"/>
      <c r="F91" s="343"/>
      <c r="G91" s="141">
        <v>748.0</v>
      </c>
    </row>
    <row r="92">
      <c r="A92" s="248">
        <v>13337.0</v>
      </c>
      <c r="B92" s="248">
        <v>85.0</v>
      </c>
      <c r="C92" s="249" t="s">
        <v>110</v>
      </c>
      <c r="D92" s="335">
        <v>600.0</v>
      </c>
      <c r="E92" s="142"/>
      <c r="F92" s="343"/>
      <c r="G92" s="150">
        <v>2227.0</v>
      </c>
    </row>
    <row r="93">
      <c r="A93" s="256">
        <v>13338.0</v>
      </c>
      <c r="B93" s="256">
        <v>91.0</v>
      </c>
      <c r="C93" s="257" t="s">
        <v>111</v>
      </c>
      <c r="D93" s="335">
        <v>2975.0</v>
      </c>
      <c r="E93" s="142"/>
      <c r="F93" s="142"/>
      <c r="G93" s="161">
        <v>7500.0</v>
      </c>
    </row>
    <row r="94">
      <c r="A94" s="256">
        <v>13339.0</v>
      </c>
      <c r="B94" s="256">
        <v>92.0</v>
      </c>
      <c r="C94" s="257" t="s">
        <v>112</v>
      </c>
      <c r="D94" s="335">
        <v>2803.0</v>
      </c>
      <c r="E94" s="151"/>
      <c r="F94" s="342"/>
      <c r="G94" s="161">
        <v>7500.0</v>
      </c>
    </row>
    <row r="95">
      <c r="A95" s="256">
        <v>13437.0</v>
      </c>
      <c r="B95" s="256">
        <v>93.0</v>
      </c>
      <c r="C95" s="257" t="s">
        <v>113</v>
      </c>
      <c r="D95" s="335">
        <v>7467.0</v>
      </c>
      <c r="E95" s="142"/>
      <c r="F95" s="142"/>
      <c r="G95" s="161">
        <v>7500.0</v>
      </c>
    </row>
    <row r="96">
      <c r="A96" s="256">
        <v>13341.0</v>
      </c>
      <c r="B96" s="256">
        <v>94.0</v>
      </c>
      <c r="C96" s="257" t="s">
        <v>114</v>
      </c>
      <c r="D96" s="335">
        <v>4227.0</v>
      </c>
      <c r="E96" s="151"/>
      <c r="F96" s="342"/>
      <c r="G96" s="161">
        <v>7500.0</v>
      </c>
    </row>
    <row r="97">
      <c r="A97" s="256">
        <v>13342.0</v>
      </c>
      <c r="B97" s="256">
        <v>95.0</v>
      </c>
      <c r="C97" s="257" t="s">
        <v>115</v>
      </c>
      <c r="D97" s="338">
        <v>7500.0</v>
      </c>
      <c r="E97" s="151"/>
      <c r="F97" s="342"/>
      <c r="G97" s="161">
        <v>7500.0</v>
      </c>
    </row>
    <row r="98">
      <c r="A98" s="248">
        <v>14405.0</v>
      </c>
      <c r="B98" s="248">
        <v>96.0</v>
      </c>
      <c r="C98" s="249" t="s">
        <v>116</v>
      </c>
      <c r="D98" s="352"/>
      <c r="E98" s="142"/>
      <c r="F98" s="142"/>
      <c r="G98" s="141">
        <v>2638.0</v>
      </c>
    </row>
    <row r="99">
      <c r="A99" s="248">
        <v>14406.0</v>
      </c>
      <c r="B99" s="248">
        <v>97.0</v>
      </c>
      <c r="C99" s="249" t="s">
        <v>117</v>
      </c>
      <c r="D99" s="338"/>
      <c r="E99" s="142"/>
      <c r="F99" s="142"/>
      <c r="G99" s="141">
        <v>2568.0</v>
      </c>
    </row>
    <row r="100">
      <c r="A100" s="248">
        <v>13780.0</v>
      </c>
      <c r="B100" s="248">
        <v>98.0</v>
      </c>
      <c r="C100" s="249" t="s">
        <v>118</v>
      </c>
      <c r="D100" s="338">
        <v>754.0</v>
      </c>
      <c r="E100" s="142"/>
      <c r="F100" s="142"/>
      <c r="G100" s="150">
        <v>6263.0</v>
      </c>
    </row>
    <row r="101">
      <c r="A101" s="248">
        <v>14407.0</v>
      </c>
      <c r="B101" s="248">
        <v>99.0</v>
      </c>
      <c r="C101" s="249" t="s">
        <v>119</v>
      </c>
      <c r="D101" s="338"/>
      <c r="E101" s="142"/>
      <c r="F101" s="142"/>
      <c r="G101" s="150">
        <v>5236.0</v>
      </c>
    </row>
    <row r="102">
      <c r="A102" s="248">
        <v>13792.0</v>
      </c>
      <c r="B102" s="248">
        <v>100.0</v>
      </c>
      <c r="C102" s="249" t="s">
        <v>120</v>
      </c>
      <c r="D102" s="338">
        <v>1017.0</v>
      </c>
      <c r="E102" s="142"/>
      <c r="F102" s="142"/>
      <c r="G102" s="150">
        <v>9807.0</v>
      </c>
    </row>
    <row r="103">
      <c r="D103" s="261">
        <f>SUM(D38:D102)</f>
        <v>112166</v>
      </c>
      <c r="G103" s="167">
        <f>SUM(G38:G102)</f>
        <v>261492</v>
      </c>
    </row>
  </sheetData>
  <mergeCells count="22">
    <mergeCell ref="A4:A8"/>
    <mergeCell ref="A9:B9"/>
    <mergeCell ref="A14:B16"/>
    <mergeCell ref="A17:A31"/>
    <mergeCell ref="A32:B32"/>
    <mergeCell ref="A1:B3"/>
    <mergeCell ref="C1:N1"/>
    <mergeCell ref="O1:P2"/>
    <mergeCell ref="C2:D2"/>
    <mergeCell ref="E2:F2"/>
    <mergeCell ref="G2:H2"/>
    <mergeCell ref="I2:J2"/>
    <mergeCell ref="I15:J15"/>
    <mergeCell ref="K15:L15"/>
    <mergeCell ref="K2:L2"/>
    <mergeCell ref="M2:N2"/>
    <mergeCell ref="C14:N14"/>
    <mergeCell ref="O14:P15"/>
    <mergeCell ref="C15:D15"/>
    <mergeCell ref="E15:F15"/>
    <mergeCell ref="G15:H15"/>
    <mergeCell ref="M15:N15"/>
  </mergeCells>
  <conditionalFormatting sqref="D4:D9 F4:F9 H4:H9 J4:J9 L4:L9 N4:N9 P4:P9 D17:D32 F17:F21 H17:H32 J17:J26 L17:L21 N17:N26 P17:P32 L26:L32 F32 J32 N32">
    <cfRule type="cellIs" dxfId="3" priority="1" operator="lessThanOrEqual">
      <formula>"20%"</formula>
    </cfRule>
  </conditionalFormatting>
  <conditionalFormatting sqref="D4:D9 F4:F9 H4:H9 J4:J9 L4:L9 N4:N9 P4:P9 D17:D32 F17:F21 H17:H32 J17:J26 L17:L21 N17:N26 P17:P32 L26:L32 F32 J32 N32">
    <cfRule type="cellIs" dxfId="2" priority="2" operator="greaterThanOrEqual">
      <formula>"80%"</formula>
    </cfRule>
  </conditionalFormatting>
  <conditionalFormatting sqref="D4:D9 F4:F9 H4:H9 J4:J9 L4:L9 N4:N9 P4:P9 D17:D32 F17:F21 H17:H32 J17:J26 L17:L21 N17:N26 P17:P32 L26:L32 F32 J32 N32">
    <cfRule type="cellIs" dxfId="4" priority="3" operator="between">
      <formula>"20%"</formula>
      <formula>"80%"</formula>
    </cfRule>
  </conditionalFormatting>
  <drawing r:id="rId2"/>
  <legacyDrawing r:id="rId3"/>
</worksheet>
</file>